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Users\bca-yuxuan\Desktop\GM International\"/>
    </mc:Choice>
  </mc:AlternateContent>
  <xr:revisionPtr revIDLastSave="0" documentId="13_ncr:1_{1FDA1049-8349-4615-81DF-86A4FA7B94DD}" xr6:coauthVersionLast="47" xr6:coauthVersionMax="47" xr10:uidLastSave="{00000000-0000-0000-0000-000000000000}"/>
  <bookViews>
    <workbookView xWindow="-120" yWindow="-120" windowWidth="29040" windowHeight="15840" tabRatio="647"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Maintainability'!$A$1:$G$76</definedName>
    <definedName name="Step">'[1]Raw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3" l="1"/>
  <c r="H65" i="3"/>
  <c r="H64" i="3"/>
  <c r="I32" i="2"/>
  <c r="J32" i="2" s="1"/>
  <c r="I33" i="2"/>
  <c r="I34" i="2"/>
  <c r="J34" i="2"/>
  <c r="M46" i="26"/>
  <c r="E46" i="26" s="1"/>
  <c r="M41" i="26"/>
  <c r="E41" i="26" s="1"/>
  <c r="M23" i="26"/>
  <c r="E23" i="26" s="1"/>
  <c r="M26" i="26"/>
  <c r="E26" i="26" s="1"/>
  <c r="M60" i="26"/>
  <c r="E60" i="26" s="1"/>
  <c r="M68" i="26"/>
  <c r="E68" i="26" s="1"/>
  <c r="M34" i="26"/>
  <c r="E34" i="26" s="1"/>
  <c r="M74" i="26"/>
  <c r="C74" i="26" s="1"/>
  <c r="K75" i="26"/>
  <c r="K12" i="26"/>
  <c r="M64" i="26"/>
  <c r="E64" i="26" s="1"/>
  <c r="K74" i="26"/>
  <c r="K73" i="26"/>
  <c r="K72" i="26"/>
  <c r="K71" i="26"/>
  <c r="K70" i="26"/>
  <c r="K68" i="26"/>
  <c r="K67" i="26"/>
  <c r="K66" i="26"/>
  <c r="K65" i="26"/>
  <c r="K64" i="26"/>
  <c r="K63" i="26"/>
  <c r="K62" i="26"/>
  <c r="K61" i="26"/>
  <c r="K60" i="26"/>
  <c r="K59" i="26"/>
  <c r="K58" i="26"/>
  <c r="K57" i="26"/>
  <c r="K56" i="26"/>
  <c r="K55" i="26"/>
  <c r="K54" i="26"/>
  <c r="K53" i="26"/>
  <c r="K52" i="26"/>
  <c r="K51" i="26"/>
  <c r="K50" i="26"/>
  <c r="K49" i="26"/>
  <c r="K48" i="26"/>
  <c r="K47" i="26"/>
  <c r="K46" i="26"/>
  <c r="K45" i="26"/>
  <c r="K44" i="26"/>
  <c r="K43" i="26"/>
  <c r="K42" i="26"/>
  <c r="K41" i="26"/>
  <c r="K40" i="26"/>
  <c r="K39" i="26"/>
  <c r="K38" i="26"/>
  <c r="K37" i="26"/>
  <c r="K36" i="26"/>
  <c r="K35" i="26"/>
  <c r="K34" i="26"/>
  <c r="K33" i="26"/>
  <c r="K32" i="26"/>
  <c r="K31" i="26"/>
  <c r="K30" i="26"/>
  <c r="K29" i="26"/>
  <c r="K28" i="26"/>
  <c r="K27" i="26"/>
  <c r="K26" i="26"/>
  <c r="K25" i="26"/>
  <c r="K24" i="26"/>
  <c r="K23" i="26"/>
  <c r="K22" i="26"/>
  <c r="K21" i="26"/>
  <c r="K20" i="26"/>
  <c r="K19" i="26"/>
  <c r="K18" i="26"/>
  <c r="K17" i="26"/>
  <c r="K14" i="26"/>
  <c r="K13" i="26"/>
  <c r="K11" i="26"/>
  <c r="K10" i="26"/>
  <c r="K9" i="26"/>
  <c r="K8" i="26"/>
  <c r="B9" i="26"/>
  <c r="C68" i="26"/>
  <c r="C67" i="26"/>
  <c r="C65" i="26"/>
  <c r="B65" i="26"/>
  <c r="C64" i="26"/>
  <c r="B64" i="26"/>
  <c r="C63" i="26"/>
  <c r="B63" i="26"/>
  <c r="C62" i="26"/>
  <c r="B62" i="26"/>
  <c r="C61" i="26"/>
  <c r="A61" i="26"/>
  <c r="C60" i="26"/>
  <c r="B60" i="26"/>
  <c r="C59" i="26"/>
  <c r="B59" i="26"/>
  <c r="C58" i="26"/>
  <c r="A58" i="26"/>
  <c r="C57" i="26"/>
  <c r="C56" i="26"/>
  <c r="B56" i="26"/>
  <c r="C55" i="26"/>
  <c r="B55" i="26"/>
  <c r="C54" i="26"/>
  <c r="B54" i="26"/>
  <c r="C53" i="26"/>
  <c r="B53" i="26"/>
  <c r="C52" i="26"/>
  <c r="C51" i="26"/>
  <c r="B51" i="26"/>
  <c r="C50" i="26"/>
  <c r="B50" i="26"/>
  <c r="C49" i="26"/>
  <c r="C48" i="26"/>
  <c r="B48" i="26"/>
  <c r="C47" i="26"/>
  <c r="B47" i="26"/>
  <c r="C46" i="26"/>
  <c r="B46" i="26"/>
  <c r="C45" i="26"/>
  <c r="B45" i="26"/>
  <c r="C44" i="26"/>
  <c r="B44" i="26"/>
  <c r="C43" i="26"/>
  <c r="C42" i="26"/>
  <c r="B42" i="26"/>
  <c r="C41" i="26"/>
  <c r="B41" i="26"/>
  <c r="C40" i="26"/>
  <c r="B40" i="26"/>
  <c r="C39" i="26"/>
  <c r="B39" i="26"/>
  <c r="C38" i="26"/>
  <c r="B38" i="26"/>
  <c r="C37" i="26"/>
  <c r="C36" i="26"/>
  <c r="B36" i="26"/>
  <c r="C35" i="26"/>
  <c r="B35" i="26"/>
  <c r="C34" i="26"/>
  <c r="B34" i="26"/>
  <c r="C33" i="26"/>
  <c r="B33" i="26"/>
  <c r="C32" i="26"/>
  <c r="A32" i="26"/>
  <c r="C31" i="26"/>
  <c r="B31" i="26"/>
  <c r="C30" i="26"/>
  <c r="B30" i="26"/>
  <c r="C29" i="26"/>
  <c r="A29" i="26"/>
  <c r="C28" i="26"/>
  <c r="C27" i="26"/>
  <c r="B27" i="26"/>
  <c r="C26" i="26"/>
  <c r="B26" i="26"/>
  <c r="C25" i="26"/>
  <c r="B25" i="26"/>
  <c r="C24" i="26"/>
  <c r="B24" i="26"/>
  <c r="C23" i="26"/>
  <c r="B23" i="26"/>
  <c r="C22" i="26"/>
  <c r="B22" i="26"/>
  <c r="C21" i="26"/>
  <c r="C20" i="26"/>
  <c r="B20" i="26"/>
  <c r="C19" i="26"/>
  <c r="B19" i="26"/>
  <c r="C18" i="26"/>
  <c r="B18" i="26"/>
  <c r="C17" i="26"/>
  <c r="A17" i="26"/>
  <c r="B16" i="26"/>
  <c r="B15" i="26"/>
  <c r="C14" i="26"/>
  <c r="B14" i="26"/>
  <c r="C13" i="26"/>
  <c r="A13" i="26"/>
  <c r="C12" i="26"/>
  <c r="B12" i="26"/>
  <c r="C11" i="26"/>
  <c r="A11" i="26"/>
  <c r="C10" i="26"/>
  <c r="C9" i="26"/>
  <c r="C8" i="26"/>
  <c r="C7" i="26"/>
  <c r="J76" i="26"/>
  <c r="G66" i="26"/>
  <c r="G61" i="26"/>
  <c r="G58" i="26"/>
  <c r="G43" i="26"/>
  <c r="G52" i="26"/>
  <c r="G49" i="26"/>
  <c r="G37" i="26"/>
  <c r="G32" i="26"/>
  <c r="G29" i="26"/>
  <c r="G21" i="26"/>
  <c r="G17" i="26"/>
  <c r="G13" i="26"/>
  <c r="G11" i="26"/>
  <c r="G8" i="26"/>
  <c r="M24" i="26" l="1"/>
  <c r="E24" i="26" s="1"/>
  <c r="M42" i="26"/>
  <c r="E42" i="26" s="1"/>
  <c r="M39" i="26"/>
  <c r="E39" i="26" s="1"/>
  <c r="M71" i="26"/>
  <c r="C71" i="26" s="1"/>
  <c r="M62" i="26"/>
  <c r="E62" i="26" s="1"/>
  <c r="M35" i="26"/>
  <c r="E35" i="26" s="1"/>
  <c r="M55" i="26"/>
  <c r="E55" i="26" s="1"/>
  <c r="M47" i="26"/>
  <c r="E47" i="26" s="1"/>
  <c r="M54" i="26"/>
  <c r="E54" i="26" s="1"/>
  <c r="M56" i="26"/>
  <c r="E56" i="26" s="1"/>
  <c r="M65" i="26"/>
  <c r="E65" i="26" s="1"/>
  <c r="M27" i="26"/>
  <c r="E27" i="26" s="1"/>
  <c r="M45" i="26"/>
  <c r="E45" i="26" s="1"/>
  <c r="M67" i="26"/>
  <c r="M48" i="26"/>
  <c r="E48" i="26" s="1"/>
  <c r="J74" i="26"/>
  <c r="M36" i="26"/>
  <c r="E36" i="26" s="1"/>
  <c r="G57" i="26"/>
  <c r="G28" i="26"/>
  <c r="G10" i="26"/>
  <c r="M19" i="26" l="1"/>
  <c r="E19" i="26" s="1"/>
  <c r="M40" i="26"/>
  <c r="E40" i="26" s="1"/>
  <c r="M43" i="26"/>
  <c r="E43" i="26" s="1"/>
  <c r="M20" i="26"/>
  <c r="E20" i="26" s="1"/>
  <c r="M52" i="26"/>
  <c r="E52" i="26" s="1"/>
  <c r="M61" i="26"/>
  <c r="E61" i="26" s="1"/>
  <c r="M8" i="26"/>
  <c r="E8" i="26" s="1"/>
  <c r="M9" i="26"/>
  <c r="E9" i="26" s="1"/>
  <c r="M31" i="26"/>
  <c r="E31" i="26" s="1"/>
  <c r="E67" i="26"/>
  <c r="M66" i="26"/>
  <c r="E66" i="26" s="1"/>
  <c r="M53" i="26"/>
  <c r="E53" i="26" s="1"/>
  <c r="M50" i="26"/>
  <c r="E50" i="26" s="1"/>
  <c r="M32" i="26"/>
  <c r="E32" i="26" s="1"/>
  <c r="M58" i="26"/>
  <c r="E58" i="26" s="1"/>
  <c r="M59" i="26"/>
  <c r="E59" i="26" s="1"/>
  <c r="M63" i="26"/>
  <c r="E63" i="26" s="1"/>
  <c r="M17" i="26"/>
  <c r="E17" i="26" s="1"/>
  <c r="M18" i="26"/>
  <c r="E18" i="26" s="1"/>
  <c r="J72" i="26"/>
  <c r="M70" i="26" l="1"/>
  <c r="C70" i="26" s="1"/>
  <c r="M57" i="26"/>
  <c r="E57" i="26" s="1"/>
  <c r="M44" i="26"/>
  <c r="E44" i="26" s="1"/>
  <c r="M49" i="26"/>
  <c r="E49" i="26" s="1"/>
  <c r="M51" i="26"/>
  <c r="E51" i="26" s="1"/>
  <c r="M11" i="26"/>
  <c r="E11" i="26" s="1"/>
  <c r="M21" i="26"/>
  <c r="E21" i="26" s="1"/>
  <c r="M25" i="26"/>
  <c r="E25" i="26" s="1"/>
  <c r="M22" i="26"/>
  <c r="E22" i="26" s="1"/>
  <c r="M37" i="26"/>
  <c r="E37" i="26" s="1"/>
  <c r="M38" i="26"/>
  <c r="E38" i="26" s="1"/>
  <c r="M12" i="26"/>
  <c r="E12" i="26" s="1"/>
  <c r="M33" i="26"/>
  <c r="E33" i="26" s="1"/>
  <c r="K69" i="26"/>
  <c r="B32" i="1"/>
  <c r="M14" i="26" l="1"/>
  <c r="E14" i="26" s="1"/>
  <c r="M13" i="26"/>
  <c r="E13" i="26" s="1"/>
  <c r="M75" i="26"/>
  <c r="J75" i="26" s="1"/>
  <c r="M10" i="26"/>
  <c r="E10" i="26" s="1"/>
  <c r="M30" i="26"/>
  <c r="E30" i="26" s="1"/>
  <c r="M29" i="26"/>
  <c r="E29" i="26" s="1"/>
  <c r="H32" i="5"/>
  <c r="H30" i="5"/>
  <c r="H29" i="5"/>
  <c r="H33" i="5"/>
  <c r="H16" i="3"/>
  <c r="F32" i="2"/>
  <c r="F22" i="2"/>
  <c r="M69" i="26" l="1"/>
  <c r="J69" i="26" s="1"/>
  <c r="C69" i="26" s="1"/>
  <c r="G72" i="26" s="1"/>
  <c r="M28" i="26"/>
  <c r="E28" i="26" s="1"/>
  <c r="G71" i="26" l="1"/>
  <c r="G73" i="26" s="1"/>
  <c r="M72" i="26"/>
  <c r="E72" i="26" s="1"/>
  <c r="H25" i="5"/>
  <c r="H34" i="5" s="1"/>
  <c r="C76" i="26" l="1"/>
  <c r="C75" i="26"/>
  <c r="D32" i="1"/>
  <c r="C12" i="1" s="1"/>
  <c r="M73" i="26"/>
  <c r="E73" i="26" s="1"/>
  <c r="C32" i="1" s="1"/>
  <c r="F34" i="16"/>
  <c r="F18" i="16" l="1"/>
  <c r="F17" i="16"/>
  <c r="F19" i="16" l="1"/>
  <c r="F23" i="16"/>
  <c r="F13" i="16"/>
  <c r="F14" i="16"/>
  <c r="F12" i="16"/>
  <c r="H85" i="5" l="1"/>
  <c r="H86" i="5" s="1"/>
  <c r="H49" i="5"/>
  <c r="H20" i="5"/>
  <c r="H21" i="5"/>
  <c r="H7" i="5"/>
  <c r="H6" i="5"/>
  <c r="H77" i="3"/>
  <c r="H78" i="3" s="1"/>
  <c r="H60" i="3"/>
  <c r="H58" i="3"/>
  <c r="H27" i="3"/>
  <c r="H18" i="3"/>
  <c r="F16" i="2"/>
  <c r="F52" i="2"/>
  <c r="F46" i="2"/>
  <c r="F45" i="2"/>
  <c r="F27" i="2"/>
  <c r="F14" i="2"/>
  <c r="F13" i="2"/>
  <c r="F12" i="2"/>
  <c r="F11" i="2"/>
  <c r="H52" i="3" l="1"/>
  <c r="H50" i="3"/>
  <c r="H10" i="5"/>
  <c r="H36" i="5" l="1"/>
  <c r="F27" i="16" l="1"/>
  <c r="F28" i="16"/>
  <c r="H91" i="5"/>
  <c r="H90" i="5"/>
  <c r="H89" i="5"/>
  <c r="H81" i="5"/>
  <c r="H78" i="5"/>
  <c r="H77" i="5"/>
  <c r="H72" i="5"/>
  <c r="H68" i="5"/>
  <c r="H67" i="5"/>
  <c r="H66" i="5"/>
  <c r="H61" i="5"/>
  <c r="H57" i="5"/>
  <c r="H56" i="5"/>
  <c r="H55" i="5"/>
  <c r="H51" i="5"/>
  <c r="H50" i="5"/>
  <c r="H48" i="5"/>
  <c r="H43" i="5"/>
  <c r="H42" i="5"/>
  <c r="H41" i="5"/>
  <c r="H38" i="5"/>
  <c r="H37" i="5"/>
  <c r="H11" i="5"/>
  <c r="H74" i="3"/>
  <c r="H73" i="3"/>
  <c r="H70" i="3"/>
  <c r="H47" i="3"/>
  <c r="H33" i="3"/>
  <c r="H41" i="3"/>
  <c r="H56" i="3" l="1"/>
  <c r="F45" i="16"/>
  <c r="F44" i="16"/>
  <c r="F40" i="16"/>
  <c r="F39" i="16"/>
  <c r="F35" i="16"/>
  <c r="F33" i="16"/>
  <c r="F29" i="16"/>
  <c r="F30" i="16" s="1"/>
  <c r="F24" i="16"/>
  <c r="F22" i="16"/>
  <c r="F25" i="16" s="1"/>
  <c r="F5" i="16"/>
  <c r="F9" i="16"/>
  <c r="F50" i="16"/>
  <c r="F49" i="16"/>
  <c r="F47" i="16" s="1"/>
  <c r="F36" i="16" l="1"/>
  <c r="F41" i="16"/>
  <c r="F10" i="16"/>
  <c r="F20" i="16"/>
  <c r="F46" i="16"/>
  <c r="F31" i="16"/>
  <c r="D29" i="1" s="1"/>
  <c r="D28" i="1"/>
  <c r="F15" i="16"/>
  <c r="F3" i="16" s="1"/>
  <c r="F2" i="16" l="1"/>
  <c r="C11" i="1" s="1"/>
  <c r="D27" i="1"/>
  <c r="H92" i="5" l="1"/>
  <c r="H82" i="5"/>
  <c r="H79" i="5"/>
  <c r="H73" i="5"/>
  <c r="H70" i="5" s="1"/>
  <c r="H69" i="5"/>
  <c r="H62" i="5"/>
  <c r="H58" i="5"/>
  <c r="H52" i="5"/>
  <c r="H12" i="5"/>
  <c r="H8" i="5"/>
  <c r="H39" i="5"/>
  <c r="H44" i="5"/>
  <c r="H96" i="5"/>
  <c r="H95" i="5"/>
  <c r="H93" i="5" l="1"/>
  <c r="D26" i="1"/>
  <c r="H45" i="5"/>
  <c r="D25" i="1" s="1"/>
  <c r="H3" i="5"/>
  <c r="H2" i="5" l="1"/>
  <c r="C10" i="1" s="1"/>
  <c r="D24" i="1"/>
  <c r="H25" i="3"/>
  <c r="H28" i="3"/>
  <c r="H61" i="3"/>
  <c r="H67" i="3"/>
  <c r="H29" i="3" s="1"/>
  <c r="H71" i="3"/>
  <c r="H75" i="3"/>
  <c r="H82" i="3"/>
  <c r="H81" i="3"/>
  <c r="H68" i="3" l="1"/>
  <c r="D23" i="1" s="1"/>
  <c r="D22" i="1"/>
  <c r="H79" i="3"/>
  <c r="H3" i="3"/>
  <c r="F6" i="2"/>
  <c r="F7" i="2"/>
  <c r="F19" i="2"/>
  <c r="F20" i="2" s="1"/>
  <c r="F23" i="2"/>
  <c r="F69" i="2"/>
  <c r="F68" i="2"/>
  <c r="F64" i="2"/>
  <c r="F63" i="2"/>
  <c r="F59" i="2"/>
  <c r="F58" i="2"/>
  <c r="F57" i="2"/>
  <c r="F50" i="2"/>
  <c r="F53" i="2" s="1"/>
  <c r="F44" i="2"/>
  <c r="F43" i="2"/>
  <c r="F47" i="2" s="1"/>
  <c r="F38" i="2"/>
  <c r="F37" i="2"/>
  <c r="F34" i="2" l="1"/>
  <c r="F35" i="2" s="1"/>
  <c r="D21" i="1"/>
  <c r="H2" i="3"/>
  <c r="C9" i="1" s="1"/>
  <c r="F66" i="2"/>
  <c r="F8" i="2"/>
  <c r="F3" i="2" s="1"/>
  <c r="F39" i="2"/>
  <c r="F65" i="2"/>
  <c r="F60" i="2"/>
  <c r="F54" i="2" l="1"/>
  <c r="D20" i="1" s="1"/>
  <c r="D18" i="1"/>
  <c r="F28" i="2"/>
  <c r="D19" i="1" s="1"/>
  <c r="F2" i="2" l="1"/>
  <c r="C8" i="1" s="1"/>
  <c r="C13" i="1" l="1"/>
</calcChain>
</file>

<file path=xl/sharedStrings.xml><?xml version="1.0" encoding="utf-8"?>
<sst xmlns="http://schemas.openxmlformats.org/spreadsheetml/2006/main" count="893" uniqueCount="517">
  <si>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</si>
  <si>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</si>
  <si>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</si>
  <si>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</si>
  <si>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</si>
  <si>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</si>
  <si>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</si>
  <si>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</si>
  <si>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</si>
  <si>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</si>
  <si>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</si>
  <si>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</si>
  <si>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</si>
  <si>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</si>
  <si>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</si>
  <si>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</si>
  <si>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</si>
  <si>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</si>
  <si>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</si>
  <si>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GM Ref No.</t>
  </si>
  <si>
    <t>Project Name:</t>
  </si>
  <si>
    <t>Revision:</t>
  </si>
  <si>
    <t>SUMMARY</t>
  </si>
  <si>
    <t>MAX POINTS</t>
  </si>
  <si>
    <t>SCORING POINTS</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</si>
  <si>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</si>
  <si>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</si>
  <si>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</si>
  <si>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</si>
  <si>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</si>
  <si>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</si>
  <si>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</si>
  <si>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</si>
  <si>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</si>
  <si>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</si>
  <si>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</si>
  <si>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</si>
  <si>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</si>
  <si>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</si>
  <si>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</si>
  <si>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</si>
  <si>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</si>
  <si>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</si>
  <si>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</si>
  <si>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</si>
  <si>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</si>
  <si>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</si>
  <si>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</si>
  <si>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</si>
  <si>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</si>
  <si>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</si>
  <si>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</si>
  <si>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</si>
  <si>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</si>
  <si>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</si>
  <si>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</si>
  <si>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</si>
  <si>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</si>
  <si>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</si>
  <si>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</si>
  <si>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</si>
  <si>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</si>
  <si>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</si>
  <si>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</si>
  <si>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</si>
  <si>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</si>
  <si>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1 - EUI</t>
  </si>
  <si>
    <t>Energy Usage Intensity</t>
  </si>
  <si>
    <t>Input (#)</t>
  </si>
  <si>
    <t>PATHWAY 2 - FIXED METRICS</t>
  </si>
  <si>
    <t>(i)</t>
  </si>
  <si>
    <t>Reduced Heat Gain (ETTV)</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</si>
  <si>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</si>
  <si>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</si>
  <si>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</si>
  <si>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</si>
  <si>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</si>
  <si>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</si>
  <si>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</si>
  <si>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</si>
  <si>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</si>
  <si>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</si>
  <si>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</si>
  <si>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</si>
  <si>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</si>
  <si>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</si>
  <si>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</si>
  <si>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</si>
  <si>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</si>
  <si>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</si>
  <si>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</si>
  <si>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</si>
  <si>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</si>
  <si>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</si>
  <si>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</si>
  <si>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</si>
  <si>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</si>
  <si>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</si>
  <si>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Existing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</si>
  <si>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</si>
  <si>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</si>
  <si>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</si>
  <si>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</si>
  <si>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</si>
  <si>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</si>
  <si>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</si>
  <si>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</si>
  <si>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</si>
  <si>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</si>
  <si>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</si>
  <si>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</si>
  <si>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</si>
  <si>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</si>
  <si>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</si>
  <si>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</si>
  <si>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</si>
  <si>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b) Water Management Policy and Water Improvement Plan</t>
  </si>
  <si>
    <t>c) Waste Management Policy &amp; 3R Plan</t>
  </si>
  <si>
    <t>a) Achieved PUB Water Efficient Building certification?  
OR 
b) PUB WELS 3-ticks rating for 90% of all relevant water fittings.</t>
  </si>
  <si>
    <t>0.5 point for (a)
1 point for (b)</t>
  </si>
  <si>
    <t>SUB-TOTAL FOR RE 1.1 b (Max 3 points)</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</si>
  <si>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</si>
  <si>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</si>
  <si>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</si>
  <si>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</si>
  <si>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</si>
  <si>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</si>
  <si>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</si>
  <si>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</si>
  <si>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</si>
  <si>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</si>
  <si>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</si>
  <si>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</si>
  <si>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</si>
  <si>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</si>
  <si>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</si>
  <si>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</si>
  <si>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N.A.</t>
  </si>
  <si>
    <t xml:space="preserve">SUB-TOTAL FOR RE 1.3 </t>
  </si>
  <si>
    <t>RE2</t>
  </si>
  <si>
    <t>MANAGE</t>
  </si>
  <si>
    <t>RE2.1</t>
  </si>
  <si>
    <t>Leadership</t>
  </si>
  <si>
    <t>RE2.1a</t>
  </si>
  <si>
    <t>Project Team</t>
  </si>
  <si>
    <t>Appointment of accredited environmentalist specialists to drive and coordinate the environmental design approach.</t>
  </si>
  <si>
    <t>Sub-total</t>
  </si>
  <si>
    <t>No. of Certified GM AP</t>
  </si>
  <si>
    <t>0.5 pts/GM AP &amp; 0.5 pts /GM AAP 
(Capped at 1 pt)</t>
  </si>
  <si>
    <t>Max 0.5 pt</t>
  </si>
  <si>
    <t>No. of Certified GM AAP</t>
  </si>
  <si>
    <t>No. of firms certified under SGBC's SGBS certification or SIFMA's CFMC accreditation scheme.</t>
  </si>
  <si>
    <t>0.25 pts/firm 
(Capped at 0.5 pts)</t>
  </si>
  <si>
    <t>SUB-TOTAL FOR RE 2.1 a (Max 1 point)</t>
  </si>
  <si>
    <t>RE2.1b</t>
  </si>
  <si>
    <t>Procurement</t>
  </si>
  <si>
    <r>
      <t xml:space="preserve">Adoption of Sustainable or Green Procurement Policy for:-
- </t>
    </r>
    <r>
      <rPr>
        <b/>
        <sz val="12"/>
        <color theme="1"/>
        <rFont val="Calibri"/>
        <family val="2"/>
        <scheme val="minor"/>
      </rPr>
      <t>Existing Non-Residential Buildings</t>
    </r>
  </si>
  <si>
    <r>
      <t xml:space="preserve">Adoption of Energy Performance Contract (EPC) by accredited EPC firm for 
- </t>
    </r>
    <r>
      <rPr>
        <b/>
        <sz val="12"/>
        <color theme="1"/>
        <rFont val="Calibri"/>
        <family val="2"/>
        <scheme val="minor"/>
      </rPr>
      <t>Existing 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</si>
  <si>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</si>
  <si>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</si>
  <si>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</si>
  <si>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</si>
  <si>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</si>
  <si>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</si>
  <si>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</si>
  <si>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</si>
  <si>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</si>
  <si>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</si>
  <si>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</si>
  <si>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</si>
  <si>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</si>
  <si>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</si>
  <si>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</si>
  <si>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</si>
  <si>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</si>
  <si>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t>SUB-TOTAL FOR RE 2.3</t>
  </si>
  <si>
    <t>RE3</t>
  </si>
  <si>
    <t>RESTORE</t>
  </si>
  <si>
    <t>RE3.1</t>
  </si>
  <si>
    <t>Buildings In Nature</t>
  </si>
  <si>
    <t>Improving the ecology and quality of the natural environment on site through well-considered planting strategy.</t>
  </si>
  <si>
    <t>Greenery provision (GnPR shall be &gt;3 for Existing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</si>
  <si>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</si>
  <si>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</si>
  <si>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</si>
  <si>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</si>
  <si>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</si>
  <si>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</si>
  <si>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</si>
  <si>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</si>
  <si>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</si>
  <si>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</si>
  <si>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</si>
  <si>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</si>
  <si>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</si>
  <si>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</si>
  <si>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</si>
  <si>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</si>
  <si>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</si>
  <si>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</si>
  <si>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</si>
  <si>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</si>
  <si>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</si>
  <si>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</si>
  <si>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</si>
  <si>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</si>
  <si>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</si>
  <si>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</si>
  <si>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</si>
  <si>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</si>
  <si>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</si>
  <si>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</si>
  <si>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</si>
  <si>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</si>
  <si>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</si>
  <si>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</si>
  <si>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</si>
  <si>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</si>
  <si>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SUB-TOTAL FOR CN 1.1a</t>
  </si>
  <si>
    <t>CN1.1b</t>
  </si>
  <si>
    <t>Embodied Carbon Computation</t>
  </si>
  <si>
    <t xml:space="preserve">(i) </t>
  </si>
  <si>
    <t>Input (#) kg CO2e/m2</t>
  </si>
  <si>
    <t xml:space="preserve">(ii) </t>
  </si>
  <si>
    <t>(a) &gt;10% Reduction from the reference embodied carbon (for Concrete, Glass and Steel)
(b) &gt;30% Reduction from the reference embodied carbon (for Concrete, Glass and Steel)</t>
  </si>
  <si>
    <t>Reference Values
(kgCO2e/m2)</t>
  </si>
  <si>
    <t>Non-Residential</t>
  </si>
  <si>
    <t>Residential</t>
  </si>
  <si>
    <t>Industrial</t>
  </si>
  <si>
    <t>(Reference values based on A1-A4 emissions for superstructure)</t>
  </si>
  <si>
    <t>SUB-TOTAL FOR CN 1.1b</t>
  </si>
  <si>
    <t>CN1.2</t>
  </si>
  <si>
    <t>2030 Transition Plan</t>
  </si>
  <si>
    <t>Carbon and Energy transition plan - delineates steps to deliver a net zero carbon building from 2030 for the asset under assessment, based on scope 1 and 2 emissions</t>
  </si>
  <si>
    <t>5 points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</si>
  <si>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</si>
  <si>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</si>
  <si>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</si>
  <si>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</si>
  <si>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</si>
  <si>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</si>
  <si>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</si>
  <si>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</si>
  <si>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</si>
  <si>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</si>
  <si>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</si>
  <si>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</si>
  <si>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</si>
  <si>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</si>
  <si>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</si>
  <si>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</si>
  <si>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</si>
  <si>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</si>
  <si>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</si>
  <si>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</si>
  <si>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</si>
  <si>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</si>
  <si>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</si>
  <si>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</si>
  <si>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</si>
  <si>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</si>
  <si>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</si>
  <si>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</si>
  <si>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t>Minimum extent of usage of WCS ≥ 0.75% of GFA</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</si>
  <si>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</si>
  <si>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</si>
  <si>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</si>
  <si>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</si>
  <si>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</si>
  <si>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</si>
  <si>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</si>
  <si>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</si>
  <si>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3 points</t>
  </si>
  <si>
    <t>SUB-TOTAL FOR CN 2.2</t>
  </si>
  <si>
    <t>CN2.3</t>
  </si>
  <si>
    <t>Conservation, Resource Recovery and Waste Management</t>
  </si>
  <si>
    <t>Existing structures are conserved and not demolished</t>
  </si>
  <si>
    <t>Existing structures are demolished with an enhanced demolition protocol, where a recovery ratte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</si>
  <si>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</si>
  <si>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</si>
  <si>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</si>
  <si>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</si>
  <si>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</si>
  <si>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</si>
  <si>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</si>
  <si>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</si>
  <si>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 xml:space="preserve">1 point for (a)
2 points for (b)
3 points for (c)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</si>
  <si>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</si>
  <si>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</si>
  <si>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</si>
  <si>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</si>
  <si>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</si>
  <si>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</si>
  <si>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</si>
  <si>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</si>
  <si>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requires and actively assists the tenants to offset their operational energy through the procurement of renewables, or through the ongoing purchase of certified carbon offsets.
(a) ≥ 30% of tenants (by NLA)
(b) ≥ 60% of tenants (by NLA)
(c) ≥ 90% of tenants (by NLA)</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</si>
  <si>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</si>
  <si>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</si>
  <si>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</si>
  <si>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</si>
  <si>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</si>
  <si>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</si>
  <si>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</si>
  <si>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</si>
  <si>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</si>
  <si>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</si>
  <si>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</si>
  <si>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</si>
  <si>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</si>
  <si>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</si>
  <si>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</si>
  <si>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</si>
  <si>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t>
    </r>
    <r>
      <rPr>
        <sz val="12"/>
        <color theme="1"/>
        <rFont val="Calibri"/>
        <family val="2"/>
        <scheme val="minor"/>
      </rPr>
      <t>(a) at least 50% of floors
(b) all floors with internal staircases</t>
    </r>
  </si>
  <si>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</si>
  <si>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</si>
  <si>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</si>
  <si>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</si>
  <si>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</si>
  <si>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</si>
  <si>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</si>
  <si>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</si>
  <si>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</si>
  <si>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</si>
  <si>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</si>
  <si>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</si>
  <si>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</si>
  <si>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at least 80% of common areas with acceptable material finishes
</t>
    </r>
    <r>
      <rPr>
        <i/>
        <sz val="10"/>
        <color theme="1"/>
        <rFont val="Calibri"/>
        <family val="2"/>
        <scheme val="minor"/>
      </rPr>
      <t>*includes lettable areas for non-residential developments and dwelling units for residential developments</t>
    </r>
  </si>
  <si>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</si>
  <si>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</si>
  <si>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</si>
  <si>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</si>
  <si>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</si>
  <si>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</si>
  <si>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</si>
  <si>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</si>
  <si>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</si>
  <si>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</si>
  <si>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</si>
  <si>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</si>
  <si>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</si>
  <si>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</si>
  <si>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0.5 point</t>
  </si>
  <si>
    <r>
      <t xml:space="preserve">• Depth of Room vs Openings
</t>
    </r>
    <r>
      <rPr>
        <i/>
        <sz val="12"/>
        <color theme="1"/>
        <rFont val="Calibri"/>
        <family val="2"/>
        <scheme val="minor"/>
      </rPr>
      <t xml:space="preserve">A. Single sided ventilation:
the limiting depth(W) for effective ventilation is twice the floor-to-ceiling height (H) [W≤2H]
B. Cross Ventilation:
the limiting depth(W) for effective ventilation is five times the floor-to-ceiling height (H) [W≤5H]
C. Atria/ event space:
Atria to have an effective opening &gt;10% floor area:
Atria can be 1.5x the depth of room (A and B), or up to 2x depth where the use of fixed air movement technologies are employed (e.g. HVLS fans).
</t>
    </r>
    <r>
      <rPr>
        <sz val="12"/>
        <color theme="1"/>
        <rFont val="Calibri"/>
        <family val="2"/>
        <scheme val="minor"/>
      </rPr>
      <t xml:space="preserve">
(a) at least 50% of applicable spaces
(b) at least 70% of applicable spaces</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</si>
  <si>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</si>
  <si>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</si>
  <si>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</si>
  <si>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</si>
  <si>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t>1 point for (A)
2 points for (B)</t>
  </si>
  <si>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</si>
  <si>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</si>
  <si>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A/B</t>
  </si>
  <si>
    <t>0.5 points for (A)
1 point for (B)</t>
  </si>
  <si>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</si>
  <si>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</si>
  <si>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</si>
  <si>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</si>
  <si>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</si>
  <si>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</si>
  <si>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</si>
  <si>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</si>
  <si>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</si>
  <si>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</si>
  <si>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</si>
  <si>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</si>
  <si>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</si>
  <si>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</si>
  <si>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</si>
  <si>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</si>
  <si>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</si>
  <si>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</si>
  <si>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</si>
  <si>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</si>
  <si>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</si>
  <si>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</si>
  <si>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</si>
  <si>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</si>
  <si>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</si>
  <si>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</si>
  <si>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</si>
  <si>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</si>
  <si>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</si>
  <si>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</si>
  <si>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</si>
  <si>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</si>
  <si>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</si>
  <si>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</si>
  <si>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</si>
  <si>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</si>
  <si>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</si>
  <si>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</si>
  <si>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</si>
  <si>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</si>
  <si>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</si>
  <si>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</si>
  <si>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</si>
  <si>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</si>
  <si>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</si>
  <si>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</si>
  <si>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</si>
  <si>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</si>
  <si>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</si>
  <si>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</si>
  <si>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</si>
  <si>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</si>
  <si>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</si>
  <si>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</si>
  <si>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</si>
  <si>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</si>
  <si>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</si>
  <si>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</si>
  <si>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</si>
  <si>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</si>
  <si>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</si>
  <si>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</si>
  <si>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</si>
  <si>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</si>
  <si>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</si>
  <si>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</si>
  <si>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</si>
  <si>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</si>
  <si>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</si>
  <si>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</si>
  <si>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</si>
  <si>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</si>
  <si>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</si>
  <si>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</si>
  <si>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</si>
  <si>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</si>
  <si>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</si>
  <si>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</si>
  <si>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</si>
  <si>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</si>
  <si>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</si>
  <si>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</si>
  <si>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Common Data Environment</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</si>
  <si>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</si>
  <si>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</si>
  <si>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</si>
  <si>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</si>
  <si>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</si>
  <si>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</si>
  <si>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</si>
  <si>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</si>
  <si>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</si>
  <si>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</si>
  <si>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</si>
  <si>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</si>
  <si>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</si>
  <si>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</si>
  <si>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</si>
  <si>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</si>
  <si>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</si>
  <si>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</si>
  <si>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</si>
  <si>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</si>
  <si>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</si>
  <si>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</si>
  <si>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</si>
  <si>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</si>
  <si>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</si>
  <si>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</si>
  <si>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</si>
  <si>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</si>
  <si>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</si>
  <si>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</si>
  <si>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</si>
  <si>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</si>
  <si>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</si>
  <si>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</si>
  <si>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</si>
  <si>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</si>
  <si>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</si>
  <si>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</si>
  <si>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</si>
  <si>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</si>
  <si>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</si>
  <si>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</si>
  <si>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</si>
  <si>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</si>
  <si>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</si>
  <si>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t>CRITERIA FOR MAINTAINABILITY SECTION</t>
  </si>
  <si>
    <t>Section 0 - General</t>
  </si>
  <si>
    <t>Section 1 - Architectural Exterior</t>
  </si>
  <si>
    <t>1.5</t>
  </si>
  <si>
    <t>1.6</t>
  </si>
  <si>
    <t>1.7</t>
  </si>
  <si>
    <t>Section 2 - Architectural Interior</t>
  </si>
  <si>
    <t>Section 3 - Mechanical</t>
  </si>
  <si>
    <t>Section 4 - Electrical</t>
  </si>
  <si>
    <t>Section 5 - Landscape</t>
  </si>
  <si>
    <t>Section 6 - Smart FM - Innovative Solutions</t>
  </si>
  <si>
    <t>Section 7 - Smart FM - Building Management System</t>
  </si>
  <si>
    <t>Section 8 - Smart FM - Facilities Management System</t>
  </si>
  <si>
    <t>Bonus Points</t>
  </si>
  <si>
    <t>Section 1 Bonus Points</t>
  </si>
  <si>
    <t>Section 5 Bonus Points</t>
  </si>
  <si>
    <t>TOTAL Maintainability Section Points Scored</t>
  </si>
  <si>
    <t>Maintainability Prorated Points</t>
  </si>
  <si>
    <t>TOTAL Maintainability Section Points Scored After Pro-rating</t>
  </si>
  <si>
    <t>w/o Bonus</t>
  </si>
  <si>
    <t>w Bonus</t>
  </si>
  <si>
    <t>Cleared Pre-submission Meeting?</t>
  </si>
  <si>
    <t>Total Number of Green Mark 2021 Points</t>
  </si>
  <si>
    <t>Attained Maintainability Badge?</t>
  </si>
  <si>
    <r>
      <t xml:space="preserve">Replacement level of fine aggregate with WCS used for superstructure </t>
    </r>
    <r>
      <rPr>
        <sz val="12"/>
        <color theme="1"/>
        <rFont val="Calibri"/>
        <family val="2"/>
      </rPr>
      <t>≤</t>
    </r>
    <r>
      <rPr>
        <sz val="12"/>
        <color theme="1"/>
        <rFont val="Calibri"/>
        <family val="2"/>
        <scheme val="minor"/>
      </rPr>
      <t xml:space="preserve"> 10%</t>
    </r>
  </si>
  <si>
    <t>Manual input of Points</t>
  </si>
  <si>
    <t>Bonus scored</t>
  </si>
  <si>
    <t>Points Scored from Embedded Scoresheet</t>
  </si>
  <si>
    <t>Reason for Certification</t>
  </si>
  <si>
    <r>
      <t xml:space="preserve">Certification through BCA Universal Design Mark
(A) UD Mark Gold </t>
    </r>
    <r>
      <rPr>
        <sz val="12"/>
        <color theme="1"/>
        <rFont val="Calibri"/>
        <family val="2"/>
        <scheme val="minor"/>
      </rPr>
      <t xml:space="preserve">or </t>
    </r>
    <r>
      <rPr>
        <i/>
        <sz val="12"/>
        <color theme="1"/>
        <rFont val="Calibri"/>
        <family val="2"/>
        <scheme val="minor"/>
      </rPr>
      <t>UDi C Rating
(B) UD Mark Gold</t>
    </r>
    <r>
      <rPr>
        <i/>
        <vertAlign val="superscript"/>
        <sz val="12"/>
        <color theme="1"/>
        <rFont val="Calibri"/>
        <family val="2"/>
        <scheme val="minor"/>
      </rPr>
      <t>PLUS</t>
    </r>
    <r>
      <rPr>
        <i/>
        <sz val="12"/>
        <color theme="1"/>
        <rFont val="Calibri"/>
        <family val="2"/>
        <scheme val="minor"/>
      </rPr>
      <t xml:space="preserve"> </t>
    </r>
    <r>
      <rPr>
        <sz val="12"/>
        <color theme="1"/>
        <rFont val="Calibri"/>
        <family val="2"/>
        <scheme val="minor"/>
      </rPr>
      <t xml:space="preserve">or </t>
    </r>
    <r>
      <rPr>
        <i/>
        <sz val="12"/>
        <color theme="1"/>
        <rFont val="Calibri"/>
        <family val="2"/>
        <scheme val="minor"/>
      </rPr>
      <t xml:space="preserve">UDi A </t>
    </r>
    <r>
      <rPr>
        <sz val="12"/>
        <color theme="1"/>
        <rFont val="Calibri"/>
        <family val="2"/>
        <scheme val="minor"/>
      </rPr>
      <t xml:space="preserve">or </t>
    </r>
    <r>
      <rPr>
        <i/>
        <sz val="12"/>
        <color theme="1"/>
        <rFont val="Calibri"/>
        <family val="2"/>
        <scheme val="minor"/>
      </rPr>
      <t>B Rating</t>
    </r>
  </si>
  <si>
    <r>
      <rPr>
        <b/>
        <sz val="16"/>
        <color rgb="FF7030A0"/>
        <rFont val="Calibri"/>
        <family val="2"/>
        <scheme val="minor"/>
      </rPr>
      <t>1) Please ensure that this excel file is named as Green Mark 2021_Scoresheet (ENRB).xlsx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</si>
  <si>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</si>
  <si>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</si>
  <si>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r>
      <t xml:space="preserve">To encourage conservation of existing building structure, recovery of demolished building materials for reuse and/or recycling and waste management
</t>
    </r>
    <r>
      <rPr>
        <i/>
        <sz val="12"/>
        <color theme="1"/>
        <rFont val="Calibri"/>
        <family val="2"/>
        <scheme val="minor"/>
      </rPr>
      <t>(Applicable to existing buildings undergoing major retrofitting work and &gt;30 years old)</t>
    </r>
  </si>
  <si>
    <t>Space - Space utilisation and optimisation to adapt the building to cater for the occupancy, and to optimise the building services and spaces to adapt.</t>
  </si>
  <si>
    <t>GM International - Existing Non-Residential Buildings</t>
  </si>
  <si>
    <t>GM International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</si>
</sst>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i/>
      <vertAlign val="superscript"/>
      <sz val="12"/>
      <color theme="1"/>
      <name val="Calibri"/>
      <family val="2"/>
      <scheme val="minor"/>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b/>
      <u/>
      <sz val="16"/>
      <color theme="1"/>
      <name val="Calibri"/>
      <family val="2"/>
      <scheme val="minor"/>
    </font>
    <font>
      <sz val="11"/>
      <color rgb="FF3F3F76"/>
      <name val="Calibri"/>
      <family val="2"/>
      <scheme val="minor"/>
    </font>
    <font>
      <b/>
      <sz val="16"/>
      <color rgb="FF9933FF"/>
      <name val="Calibri"/>
      <family val="2"/>
      <scheme val="minor"/>
    </font>
    <font>
      <b/>
      <sz val="16"/>
      <color rgb="FF7030A0"/>
      <name val="Calibri"/>
      <family val="2"/>
      <scheme val="minor"/>
    </font>
    <font>
      <b/>
      <u/>
      <sz val="16"/>
      <color rgb="FFFFCC99"/>
      <name val="Calibri"/>
      <family val="2"/>
      <scheme val="minor"/>
    </font>
    <font>
      <b/>
      <u/>
      <sz val="16"/>
      <color rgb="FF9933FF"/>
      <name val="Calibri"/>
      <family val="2"/>
      <scheme val="minor"/>
    </font>
    <font>
      <b/>
      <u/>
      <sz val="16"/>
      <color rgb="FF7030A0"/>
      <name val="Calibri"/>
      <family val="2"/>
      <scheme val="minor"/>
    </font>
    <font>
      <b/>
      <sz val="16"/>
      <color theme="5"/>
      <name val="Calibri"/>
      <family val="2"/>
      <scheme val="minor"/>
    </font>
  </fonts>
  <fills count="3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2" fillId="34" borderId="34" applyNumberFormat="0" applyAlignment="0" applyProtection="0"/>
  </cellStyleXfs>
  <cellXfs count="563">
    <xf numFmtId="0" fontId="0" fillId="0" borderId="0" xfId="0"/>
    <xf numFmtId="0" fontId="4" fillId="0" borderId="0" xfId="0" applyFo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11" borderId="1" xfId="0" applyFont="1" applyFill="1" applyBorder="1" applyAlignment="1" applyProtection="1">
      <alignment horizontal="center" vertical="center"/>
      <protection locked="0"/>
    </xf>
    <xf numFmtId="0" fontId="11" fillId="11"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1" applyFont="1" applyBorder="1" applyAlignment="1">
      <alignment horizontal="justify"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11" fillId="8"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center"/>
    </xf>
    <xf numFmtId="0" fontId="10" fillId="7" borderId="1" xfId="0" applyFont="1" applyFill="1" applyBorder="1" applyAlignment="1">
      <alignment horizontal="left" vertical="center"/>
    </xf>
    <xf numFmtId="0" fontId="10" fillId="7" borderId="1" xfId="0" applyFont="1" applyFill="1" applyBorder="1" applyAlignment="1">
      <alignment horizontal="right" vertical="center"/>
    </xf>
    <xf numFmtId="0" fontId="32" fillId="7" borderId="1" xfId="0" applyFont="1" applyFill="1" applyBorder="1" applyAlignment="1">
      <alignment horizontal="right" vertical="center"/>
    </xf>
    <xf numFmtId="0" fontId="11" fillId="31" borderId="1" xfId="0" applyFont="1" applyFill="1" applyBorder="1" applyAlignment="1" applyProtection="1">
      <alignment horizontal="center" vertical="center"/>
      <protection locked="0"/>
    </xf>
    <xf numFmtId="0" fontId="0" fillId="0" borderId="1" xfId="0" applyBorder="1" applyProtection="1">
      <protection locked="0"/>
    </xf>
    <xf numFmtId="0" fontId="4"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0" fillId="0" borderId="0" xfId="0" applyProtection="1"/>
    <xf numFmtId="0" fontId="14" fillId="6" borderId="1" xfId="0"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0" fontId="5" fillId="6" borderId="1" xfId="0" quotePrefix="1" applyFont="1" applyFill="1" applyBorder="1" applyAlignment="1" applyProtection="1">
      <alignment horizontal="center" vertical="center"/>
    </xf>
    <xf numFmtId="0" fontId="11" fillId="26" borderId="1" xfId="0" applyFont="1" applyFill="1" applyBorder="1" applyAlignment="1" applyProtection="1">
      <alignment horizontal="center" vertical="center"/>
    </xf>
    <xf numFmtId="0" fontId="11" fillId="26" borderId="1" xfId="0" applyFont="1" applyFill="1" applyBorder="1" applyAlignment="1" applyProtection="1">
      <alignment horizontal="center" vertical="center" wrapText="1"/>
    </xf>
    <xf numFmtId="164" fontId="11" fillId="26" borderId="1" xfId="0" applyNumberFormat="1" applyFont="1" applyFill="1" applyBorder="1" applyAlignment="1" applyProtection="1">
      <alignment horizontal="center" vertical="center"/>
    </xf>
    <xf numFmtId="0" fontId="5" fillId="25" borderId="1" xfId="0" applyFont="1" applyFill="1" applyBorder="1" applyAlignment="1" applyProtection="1">
      <alignment horizontal="center" vertical="center"/>
    </xf>
    <xf numFmtId="0" fontId="9" fillId="25" borderId="1" xfId="0" applyFont="1" applyFill="1" applyBorder="1" applyAlignment="1" applyProtection="1">
      <alignment vertical="center" wrapText="1"/>
    </xf>
    <xf numFmtId="0" fontId="9" fillId="25" borderId="1" xfId="0" applyFont="1" applyFill="1" applyBorder="1" applyAlignment="1" applyProtection="1">
      <alignment horizontal="left" vertical="center" wrapText="1"/>
    </xf>
    <xf numFmtId="0" fontId="4" fillId="25" borderId="1" xfId="0" applyFont="1" applyFill="1" applyBorder="1" applyAlignment="1" applyProtection="1">
      <alignment vertical="center"/>
    </xf>
    <xf numFmtId="164" fontId="4" fillId="25" borderId="1" xfId="0" applyNumberFormat="1" applyFont="1" applyFill="1" applyBorder="1" applyAlignment="1" applyProtection="1">
      <alignment vertical="center"/>
    </xf>
    <xf numFmtId="0" fontId="4" fillId="0" borderId="1" xfId="1" applyFont="1" applyBorder="1" applyAlignment="1" applyProtection="1">
      <alignment horizontal="justify" vertical="center" wrapText="1"/>
    </xf>
    <xf numFmtId="0" fontId="11" fillId="0" borderId="1" xfId="0" applyFont="1" applyBorder="1" applyAlignment="1" applyProtection="1">
      <alignment horizontal="center" vertical="center"/>
    </xf>
    <xf numFmtId="164" fontId="11" fillId="0" borderId="1" xfId="0" applyNumberFormat="1" applyFont="1" applyBorder="1" applyAlignment="1" applyProtection="1">
      <alignment horizontal="center" vertical="center" wrapText="1"/>
    </xf>
    <xf numFmtId="0" fontId="11" fillId="33" borderId="1" xfId="0" applyFont="1" applyFill="1" applyBorder="1" applyAlignment="1" applyProtection="1">
      <alignment horizontal="center" vertical="center"/>
    </xf>
    <xf numFmtId="0" fontId="4" fillId="0" borderId="1" xfId="0" applyFont="1" applyBorder="1" applyAlignment="1" applyProtection="1">
      <alignment vertical="center"/>
    </xf>
    <xf numFmtId="0" fontId="12" fillId="33"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4" fillId="15" borderId="1" xfId="0" applyFont="1" applyFill="1" applyBorder="1" applyAlignment="1" applyProtection="1">
      <alignment horizontal="center" vertical="center"/>
    </xf>
    <xf numFmtId="164" fontId="11" fillId="15" borderId="1" xfId="0" applyNumberFormat="1" applyFont="1" applyFill="1" applyBorder="1" applyAlignment="1" applyProtection="1">
      <alignment horizontal="center" vertical="center" wrapText="1"/>
    </xf>
    <xf numFmtId="0" fontId="4" fillId="15" borderId="1" xfId="0" applyFont="1" applyFill="1" applyBorder="1" applyAlignment="1" applyProtection="1">
      <alignment vertical="center"/>
    </xf>
    <xf numFmtId="0" fontId="4" fillId="13" borderId="1" xfId="1" applyFont="1" applyFill="1" applyBorder="1" applyAlignment="1" applyProtection="1">
      <alignment vertical="center" wrapText="1"/>
    </xf>
    <xf numFmtId="0" fontId="4" fillId="13" borderId="1" xfId="1" applyFont="1" applyFill="1" applyBorder="1" applyAlignment="1" applyProtection="1">
      <alignment horizontal="center" vertical="center" wrapText="1"/>
    </xf>
    <xf numFmtId="0" fontId="4" fillId="0" borderId="1" xfId="1" applyFont="1" applyBorder="1" applyAlignment="1" applyProtection="1">
      <alignment vertical="center" wrapText="1"/>
    </xf>
    <xf numFmtId="0" fontId="4" fillId="0" borderId="1" xfId="0" applyFont="1" applyBorder="1" applyAlignment="1" applyProtection="1">
      <alignment vertical="center" wrapText="1"/>
    </xf>
    <xf numFmtId="0" fontId="4" fillId="0" borderId="1" xfId="1" applyFont="1" applyBorder="1" applyAlignment="1" applyProtection="1">
      <alignment horizontal="center" vertical="center"/>
    </xf>
    <xf numFmtId="0" fontId="4" fillId="0" borderId="1" xfId="1"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1" xfId="2" quotePrefix="1" applyFont="1" applyBorder="1" applyAlignment="1" applyProtection="1">
      <alignment horizontal="justify" vertical="center" wrapText="1"/>
    </xf>
    <xf numFmtId="0" fontId="4" fillId="0" borderId="1" xfId="2" applyFont="1" applyBorder="1" applyAlignment="1" applyProtection="1">
      <alignment horizontal="left" vertical="center" wrapText="1"/>
    </xf>
    <xf numFmtId="0" fontId="4" fillId="0" borderId="1" xfId="2" applyFont="1" applyBorder="1" applyAlignment="1" applyProtection="1">
      <alignment horizontal="justify" vertical="center" wrapText="1"/>
    </xf>
    <xf numFmtId="0" fontId="5" fillId="25" borderId="1" xfId="0" applyFont="1" applyFill="1" applyBorder="1" applyAlignment="1" applyProtection="1">
      <alignment vertical="center"/>
    </xf>
    <xf numFmtId="164" fontId="5" fillId="25" borderId="1" xfId="0" applyNumberFormat="1" applyFont="1" applyFill="1" applyBorder="1" applyAlignment="1" applyProtection="1">
      <alignment vertical="center"/>
    </xf>
    <xf numFmtId="0" fontId="5" fillId="25" borderId="1" xfId="0" applyFont="1" applyFill="1" applyBorder="1" applyAlignment="1" applyProtection="1">
      <alignment vertical="center" wrapText="1"/>
    </xf>
    <xf numFmtId="0" fontId="4" fillId="0" borderId="1" xfId="0" applyFont="1" applyBorder="1" applyAlignment="1" applyProtection="1">
      <alignment vertical="center"/>
      <protection locked="0"/>
    </xf>
    <xf numFmtId="164" fontId="5"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18" fillId="5" borderId="1" xfId="0" applyFont="1" applyFill="1" applyBorder="1" applyAlignment="1" applyProtection="1">
      <alignment horizontal="center" vertical="center" wrapText="1"/>
    </xf>
    <xf numFmtId="164" fontId="18" fillId="5" borderId="1" xfId="0" applyNumberFormat="1" applyFont="1" applyFill="1" applyBorder="1" applyAlignment="1" applyProtection="1">
      <alignment horizontal="center" vertical="center" wrapText="1"/>
    </xf>
    <xf numFmtId="0" fontId="11" fillId="5" borderId="1" xfId="0" quotePrefix="1" applyFont="1" applyFill="1" applyBorder="1" applyAlignment="1" applyProtection="1">
      <alignment horizontal="center" vertical="center"/>
    </xf>
    <xf numFmtId="0" fontId="11" fillId="23" borderId="1" xfId="0" applyFont="1" applyFill="1" applyBorder="1" applyAlignment="1" applyProtection="1">
      <alignment horizontal="center" vertical="center"/>
    </xf>
    <xf numFmtId="0" fontId="11" fillId="23" borderId="5" xfId="0" applyFont="1" applyFill="1" applyBorder="1" applyAlignment="1" applyProtection="1">
      <alignment horizontal="center" vertical="center"/>
    </xf>
    <xf numFmtId="164" fontId="11" fillId="23" borderId="5" xfId="0" applyNumberFormat="1" applyFont="1" applyFill="1" applyBorder="1" applyAlignment="1" applyProtection="1">
      <alignment horizontal="center" vertical="center"/>
    </xf>
    <xf numFmtId="0" fontId="11" fillId="23" borderId="6" xfId="0" applyFont="1" applyFill="1" applyBorder="1" applyAlignment="1" applyProtection="1">
      <alignment vertical="center"/>
    </xf>
    <xf numFmtId="0" fontId="11" fillId="21" borderId="1" xfId="0" applyFont="1" applyFill="1" applyBorder="1" applyAlignment="1" applyProtection="1">
      <alignment horizontal="center" vertical="top"/>
    </xf>
    <xf numFmtId="0" fontId="11" fillId="21" borderId="1" xfId="0" applyFont="1" applyFill="1" applyBorder="1" applyAlignment="1" applyProtection="1">
      <alignment horizontal="center" vertical="center"/>
    </xf>
    <xf numFmtId="164" fontId="11" fillId="21" borderId="1" xfId="0" applyNumberFormat="1" applyFont="1" applyFill="1" applyBorder="1" applyAlignment="1" applyProtection="1">
      <alignment horizontal="center" vertical="center"/>
    </xf>
    <xf numFmtId="0" fontId="11" fillId="22" borderId="1" xfId="0" applyFont="1" applyFill="1" applyBorder="1" applyAlignment="1" applyProtection="1">
      <alignment horizontal="center" vertical="top"/>
    </xf>
    <xf numFmtId="0" fontId="12" fillId="22" borderId="1" xfId="0" applyFont="1" applyFill="1" applyBorder="1" applyAlignment="1" applyProtection="1">
      <alignment horizontal="center" vertical="center"/>
    </xf>
    <xf numFmtId="0" fontId="12" fillId="22" borderId="1" xfId="0" applyFont="1" applyFill="1" applyBorder="1" applyAlignment="1" applyProtection="1">
      <alignment horizontal="center" vertical="top"/>
    </xf>
    <xf numFmtId="164" fontId="11" fillId="22" borderId="1" xfId="0" applyNumberFormat="1" applyFont="1" applyFill="1" applyBorder="1" applyAlignment="1" applyProtection="1">
      <alignment horizontal="center" vertical="center"/>
    </xf>
    <xf numFmtId="164" fontId="5" fillId="24" borderId="1" xfId="0" applyNumberFormat="1" applyFont="1" applyFill="1" applyBorder="1" applyAlignment="1" applyProtection="1">
      <alignment horizontal="center" vertical="center"/>
    </xf>
    <xf numFmtId="0" fontId="4" fillId="24" borderId="1" xfId="0" applyFont="1" applyFill="1" applyBorder="1" applyAlignment="1" applyProtection="1">
      <alignment vertical="top"/>
    </xf>
    <xf numFmtId="0" fontId="25" fillId="0" borderId="18" xfId="0" applyFont="1" applyBorder="1" applyAlignment="1" applyProtection="1">
      <alignment horizontal="left" vertical="center" wrapText="1"/>
    </xf>
    <xf numFmtId="0" fontId="26" fillId="0" borderId="19" xfId="0" applyFont="1" applyBorder="1" applyAlignment="1" applyProtection="1">
      <alignment vertical="top" wrapText="1"/>
    </xf>
    <xf numFmtId="0" fontId="25" fillId="0" borderId="18" xfId="0" applyFont="1" applyBorder="1" applyAlignment="1" applyProtection="1">
      <alignment vertical="center" wrapText="1"/>
    </xf>
    <xf numFmtId="0" fontId="11" fillId="21" borderId="6" xfId="0" applyFont="1" applyFill="1" applyBorder="1" applyAlignment="1" applyProtection="1">
      <alignment horizontal="center" vertical="top"/>
    </xf>
    <xf numFmtId="0" fontId="11" fillId="22" borderId="6" xfId="0" applyFont="1" applyFill="1" applyBorder="1" applyAlignment="1" applyProtection="1">
      <alignment horizontal="center" vertical="top"/>
    </xf>
    <xf numFmtId="0" fontId="5"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33" borderId="1" xfId="0" applyFont="1" applyFill="1" applyBorder="1" applyAlignment="1" applyProtection="1">
      <alignment horizontal="center" vertical="center" wrapText="1"/>
    </xf>
    <xf numFmtId="164" fontId="11" fillId="23" borderId="1" xfId="0" applyNumberFormat="1" applyFont="1" applyFill="1" applyBorder="1" applyAlignment="1" applyProtection="1">
      <alignment horizontal="center" vertical="center"/>
    </xf>
    <xf numFmtId="0" fontId="11" fillId="23" borderId="1" xfId="0" applyFont="1" applyFill="1" applyBorder="1" applyAlignment="1" applyProtection="1">
      <alignment vertical="center"/>
    </xf>
    <xf numFmtId="0" fontId="11" fillId="0" borderId="1" xfId="0" applyFont="1" applyBorder="1" applyAlignment="1" applyProtection="1">
      <alignment horizontal="center" vertical="top"/>
    </xf>
    <xf numFmtId="0" fontId="5" fillId="0" borderId="1" xfId="0" applyFont="1" applyBorder="1" applyAlignment="1" applyProtection="1">
      <alignment vertical="center" wrapText="1"/>
    </xf>
    <xf numFmtId="164" fontId="5" fillId="0" borderId="1" xfId="0" applyNumberFormat="1" applyFont="1" applyBorder="1" applyAlignment="1" applyProtection="1">
      <alignment horizontal="center" vertical="center" wrapText="1"/>
    </xf>
    <xf numFmtId="0" fontId="11" fillId="22" borderId="1" xfId="0" applyFont="1" applyFill="1" applyBorder="1" applyAlignment="1" applyProtection="1">
      <alignment horizontal="center" vertical="center"/>
    </xf>
    <xf numFmtId="0" fontId="11" fillId="0" borderId="1" xfId="0" applyFont="1" applyBorder="1" applyAlignment="1" applyProtection="1">
      <alignment horizontal="center" vertical="center" wrapText="1"/>
    </xf>
    <xf numFmtId="0" fontId="0" fillId="0" borderId="1" xfId="0" applyBorder="1" applyProtection="1"/>
    <xf numFmtId="0" fontId="2" fillId="0" borderId="0" xfId="0" applyFont="1" applyProtection="1"/>
    <xf numFmtId="0" fontId="4" fillId="17" borderId="1" xfId="0" applyFont="1" applyFill="1" applyBorder="1" applyAlignment="1" applyProtection="1">
      <alignment horizontal="center" vertical="center"/>
      <protection locked="0"/>
    </xf>
    <xf numFmtId="0" fontId="4" fillId="0" borderId="1" xfId="0" applyFont="1" applyBorder="1" applyAlignment="1" applyProtection="1">
      <alignment vertical="top"/>
      <protection locked="0"/>
    </xf>
    <xf numFmtId="0" fontId="4" fillId="0" borderId="2" xfId="0"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17" fillId="0" borderId="1" xfId="0" applyFont="1" applyBorder="1" applyAlignment="1" applyProtection="1">
      <alignment vertical="top" wrapText="1"/>
      <protection locked="0"/>
    </xf>
    <xf numFmtId="0" fontId="13" fillId="4" borderId="1"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center" vertical="center" wrapText="1"/>
    </xf>
    <xf numFmtId="0" fontId="10" fillId="4" borderId="1" xfId="0" quotePrefix="1" applyFont="1" applyFill="1" applyBorder="1" applyAlignment="1" applyProtection="1">
      <alignment horizontal="center" vertical="center"/>
    </xf>
    <xf numFmtId="0" fontId="10" fillId="16" borderId="1" xfId="0" applyFont="1" applyFill="1" applyBorder="1" applyAlignment="1" applyProtection="1">
      <alignment horizontal="center" vertical="center"/>
    </xf>
    <xf numFmtId="164" fontId="10" fillId="16" borderId="5" xfId="0" applyNumberFormat="1" applyFont="1" applyFill="1" applyBorder="1" applyAlignment="1" applyProtection="1">
      <alignment horizontal="center" vertical="center"/>
    </xf>
    <xf numFmtId="0" fontId="10" fillId="16" borderId="6" xfId="0" applyFont="1" applyFill="1" applyBorder="1" applyAlignment="1" applyProtection="1">
      <alignment vertical="center"/>
    </xf>
    <xf numFmtId="0" fontId="10" fillId="20" borderId="1" xfId="0" applyFont="1" applyFill="1" applyBorder="1" applyAlignment="1" applyProtection="1">
      <alignment horizontal="center" vertical="top"/>
    </xf>
    <xf numFmtId="0" fontId="10" fillId="20" borderId="1" xfId="0" applyFont="1" applyFill="1" applyBorder="1" applyAlignment="1" applyProtection="1">
      <alignment horizontal="center" vertical="center"/>
    </xf>
    <xf numFmtId="164" fontId="10" fillId="20" borderId="1" xfId="0" applyNumberFormat="1" applyFont="1" applyFill="1" applyBorder="1" applyAlignment="1" applyProtection="1">
      <alignment horizontal="center" vertical="top"/>
    </xf>
    <xf numFmtId="164" fontId="4" fillId="0" borderId="1" xfId="0" applyNumberFormat="1" applyFont="1" applyBorder="1" applyAlignment="1" applyProtection="1">
      <alignment horizontal="center" vertical="top"/>
    </xf>
    <xf numFmtId="0" fontId="5" fillId="19" borderId="1" xfId="0" applyFont="1" applyFill="1" applyBorder="1" applyAlignment="1" applyProtection="1">
      <alignment horizontal="center" vertical="top"/>
    </xf>
    <xf numFmtId="0" fontId="5" fillId="19" borderId="1" xfId="0" applyFont="1" applyFill="1" applyBorder="1" applyAlignment="1" applyProtection="1">
      <alignment horizontal="center" vertical="center"/>
    </xf>
    <xf numFmtId="164" fontId="5" fillId="19" borderId="1" xfId="0" applyNumberFormat="1" applyFont="1" applyFill="1" applyBorder="1" applyAlignment="1" applyProtection="1">
      <alignment horizontal="center" vertical="top"/>
    </xf>
    <xf numFmtId="0" fontId="4" fillId="0" borderId="19" xfId="0" applyFont="1" applyBorder="1" applyAlignment="1" applyProtection="1">
      <alignment horizontal="left" vertical="top"/>
    </xf>
    <xf numFmtId="0" fontId="4" fillId="0" borderId="21" xfId="0" applyFont="1" applyBorder="1" applyAlignment="1" applyProtection="1">
      <alignment vertical="top"/>
    </xf>
    <xf numFmtId="0" fontId="0" fillId="33" borderId="1" xfId="0" applyFill="1" applyBorder="1" applyAlignment="1" applyProtection="1">
      <alignment horizontal="center" vertical="center"/>
    </xf>
    <xf numFmtId="0" fontId="2" fillId="0" borderId="1" xfId="0" applyFont="1" applyBorder="1" applyAlignment="1" applyProtection="1">
      <alignment horizontal="center" vertical="center"/>
    </xf>
    <xf numFmtId="0" fontId="4" fillId="5" borderId="1" xfId="2"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top"/>
    </xf>
    <xf numFmtId="0" fontId="4" fillId="5" borderId="1" xfId="0" applyFont="1" applyFill="1" applyBorder="1" applyAlignment="1" applyProtection="1">
      <alignment horizontal="center" vertical="top"/>
    </xf>
    <xf numFmtId="0" fontId="4" fillId="18" borderId="16" xfId="0" applyFont="1" applyFill="1" applyBorder="1" applyAlignment="1" applyProtection="1">
      <alignment vertical="top"/>
    </xf>
    <xf numFmtId="0" fontId="5" fillId="18" borderId="17" xfId="0" applyFont="1" applyFill="1" applyBorder="1" applyAlignment="1" applyProtection="1">
      <alignment horizontal="center" vertical="top" wrapText="1"/>
    </xf>
    <xf numFmtId="0" fontId="4" fillId="0" borderId="23" xfId="0" applyFont="1" applyBorder="1" applyAlignment="1" applyProtection="1">
      <alignment vertical="top"/>
    </xf>
    <xf numFmtId="0" fontId="4" fillId="0" borderId="18" xfId="0" applyFont="1" applyBorder="1" applyAlignment="1" applyProtection="1">
      <alignment horizontal="left" vertical="top"/>
    </xf>
    <xf numFmtId="0" fontId="4" fillId="0" borderId="19" xfId="0" applyFont="1" applyBorder="1" applyAlignment="1" applyProtection="1">
      <alignment horizontal="center" vertical="top"/>
    </xf>
    <xf numFmtId="0" fontId="4" fillId="0" borderId="0" xfId="0" applyFont="1" applyAlignment="1" applyProtection="1">
      <alignment horizontal="left" vertical="top"/>
    </xf>
    <xf numFmtId="0" fontId="4" fillId="0" borderId="20" xfId="0" applyFont="1" applyBorder="1" applyAlignment="1" applyProtection="1">
      <alignment horizontal="left" vertical="top"/>
    </xf>
    <xf numFmtId="0" fontId="4" fillId="0" borderId="21" xfId="0" applyFont="1" applyBorder="1" applyAlignment="1" applyProtection="1">
      <alignment horizontal="center" vertical="top"/>
    </xf>
    <xf numFmtId="164" fontId="10" fillId="16" borderId="6" xfId="0" applyNumberFormat="1" applyFont="1" applyFill="1" applyBorder="1" applyAlignment="1" applyProtection="1">
      <alignment horizontal="center" vertical="center"/>
    </xf>
    <xf numFmtId="0" fontId="4" fillId="19" borderId="1" xfId="0" applyFont="1" applyFill="1" applyBorder="1" applyAlignment="1" applyProtection="1">
      <alignment vertical="center"/>
    </xf>
    <xf numFmtId="0" fontId="4" fillId="19" borderId="1" xfId="0" applyFont="1" applyFill="1" applyBorder="1" applyAlignment="1" applyProtection="1">
      <alignment horizontal="center" vertical="center"/>
    </xf>
    <xf numFmtId="0" fontId="5" fillId="19" borderId="1" xfId="0" applyFont="1" applyFill="1" applyBorder="1" applyAlignment="1" applyProtection="1">
      <alignment vertical="center"/>
    </xf>
    <xf numFmtId="0" fontId="0" fillId="19" borderId="1" xfId="0" applyFill="1" applyBorder="1" applyProtection="1"/>
    <xf numFmtId="164" fontId="4" fillId="19" borderId="1" xfId="0" applyNumberFormat="1" applyFont="1" applyFill="1" applyBorder="1" applyAlignment="1" applyProtection="1">
      <alignment vertical="center"/>
    </xf>
    <xf numFmtId="0" fontId="5" fillId="0" borderId="1" xfId="0" applyFont="1" applyBorder="1" applyAlignment="1" applyProtection="1">
      <alignment vertical="center"/>
    </xf>
    <xf numFmtId="164" fontId="4" fillId="0" borderId="1" xfId="0" applyNumberFormat="1" applyFont="1" applyBorder="1" applyAlignment="1" applyProtection="1">
      <alignment vertical="center"/>
    </xf>
    <xf numFmtId="0" fontId="5" fillId="18" borderId="17" xfId="0" applyFont="1" applyFill="1" applyBorder="1" applyAlignment="1" applyProtection="1">
      <alignment horizontal="left" vertical="top" wrapText="1"/>
    </xf>
    <xf numFmtId="0" fontId="22" fillId="0" borderId="21" xfId="0" applyFont="1" applyBorder="1" applyAlignment="1" applyProtection="1">
      <alignment horizontal="center" vertical="top"/>
    </xf>
    <xf numFmtId="2" fontId="5" fillId="0" borderId="1" xfId="0" applyNumberFormat="1" applyFont="1" applyBorder="1" applyAlignment="1" applyProtection="1">
      <alignment horizontal="center" vertical="center"/>
    </xf>
    <xf numFmtId="164" fontId="4" fillId="0" borderId="1" xfId="0" applyNumberFormat="1" applyFont="1" applyBorder="1" applyAlignment="1" applyProtection="1">
      <alignment vertical="center" wrapText="1"/>
    </xf>
    <xf numFmtId="0" fontId="10" fillId="20" borderId="2" xfId="0" applyFont="1" applyFill="1" applyBorder="1" applyAlignment="1" applyProtection="1">
      <alignment horizontal="center" vertical="top"/>
    </xf>
    <xf numFmtId="0" fontId="4" fillId="5" borderId="3" xfId="2" applyFont="1" applyFill="1" applyBorder="1" applyAlignment="1" applyProtection="1">
      <alignment horizontal="center" vertical="center"/>
    </xf>
    <xf numFmtId="0" fontId="10" fillId="16" borderId="5" xfId="0" applyFont="1" applyFill="1" applyBorder="1" applyAlignment="1" applyProtection="1">
      <alignment horizontal="center" vertical="center"/>
    </xf>
    <xf numFmtId="0" fontId="4" fillId="0" borderId="10" xfId="0" applyFont="1" applyBorder="1" applyAlignment="1" applyProtection="1">
      <alignment horizontal="center" vertical="top"/>
    </xf>
    <xf numFmtId="0" fontId="5" fillId="0" borderId="1" xfId="0" applyFont="1" applyBorder="1" applyAlignment="1" applyProtection="1">
      <alignment horizontal="center" vertical="top"/>
      <protection locked="0"/>
    </xf>
    <xf numFmtId="0" fontId="14" fillId="3" borderId="1"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3" borderId="1" xfId="0" quotePrefix="1" applyFont="1" applyFill="1" applyBorder="1" applyAlignment="1" applyProtection="1">
      <alignment horizontal="center" vertical="center"/>
    </xf>
    <xf numFmtId="0" fontId="10" fillId="14" borderId="1" xfId="0" applyFont="1" applyFill="1" applyBorder="1" applyAlignment="1" applyProtection="1">
      <alignment horizontal="center" vertical="center"/>
    </xf>
    <xf numFmtId="0" fontId="10" fillId="14" borderId="1" xfId="0" applyFont="1" applyFill="1" applyBorder="1" applyAlignment="1" applyProtection="1">
      <alignment horizontal="center" vertical="center" wrapText="1"/>
    </xf>
    <xf numFmtId="164" fontId="10" fillId="14" borderId="1" xfId="0" applyNumberFormat="1" applyFont="1"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9" fillId="9" borderId="7" xfId="0" applyFont="1" applyFill="1" applyBorder="1" applyAlignment="1" applyProtection="1">
      <alignment vertical="center" wrapText="1"/>
    </xf>
    <xf numFmtId="0" fontId="9" fillId="9" borderId="5" xfId="0" applyFont="1" applyFill="1" applyBorder="1" applyAlignment="1" applyProtection="1">
      <alignment vertical="center" wrapText="1"/>
    </xf>
    <xf numFmtId="0" fontId="9" fillId="9" borderId="5" xfId="0" applyFont="1" applyFill="1" applyBorder="1" applyAlignment="1" applyProtection="1">
      <alignment horizontal="left" vertical="center" wrapText="1"/>
    </xf>
    <xf numFmtId="0" fontId="4" fillId="9" borderId="5" xfId="0" applyFont="1" applyFill="1" applyBorder="1" applyAlignment="1" applyProtection="1">
      <alignment vertical="center"/>
    </xf>
    <xf numFmtId="164" fontId="4" fillId="9" borderId="5" xfId="0" applyNumberFormat="1" applyFont="1" applyFill="1" applyBorder="1" applyAlignment="1" applyProtection="1">
      <alignment vertical="center"/>
    </xf>
    <xf numFmtId="0" fontId="4" fillId="9" borderId="6" xfId="0" applyFont="1" applyFill="1" applyBorder="1" applyAlignment="1" applyProtection="1">
      <alignment vertical="center"/>
    </xf>
    <xf numFmtId="0" fontId="5" fillId="10" borderId="1" xfId="0" applyFont="1" applyFill="1" applyBorder="1" applyAlignment="1" applyProtection="1">
      <alignment horizontal="center" vertical="center"/>
    </xf>
    <xf numFmtId="0" fontId="11" fillId="10" borderId="1" xfId="0" applyFont="1" applyFill="1" applyBorder="1" applyAlignment="1" applyProtection="1">
      <alignment vertical="center" wrapText="1"/>
    </xf>
    <xf numFmtId="0" fontId="11" fillId="10" borderId="6" xfId="0" applyFont="1" applyFill="1" applyBorder="1" applyAlignment="1" applyProtection="1">
      <alignment vertical="center" wrapText="1"/>
    </xf>
    <xf numFmtId="0" fontId="11" fillId="10" borderId="8" xfId="0" applyFont="1" applyFill="1" applyBorder="1" applyAlignment="1" applyProtection="1">
      <alignment horizontal="left" vertical="center" wrapText="1"/>
    </xf>
    <xf numFmtId="0" fontId="5" fillId="10" borderId="1" xfId="1" applyFont="1" applyFill="1" applyBorder="1" applyAlignment="1" applyProtection="1">
      <alignment horizontal="center" vertical="center"/>
    </xf>
    <xf numFmtId="164" fontId="4" fillId="10" borderId="1" xfId="0" applyNumberFormat="1" applyFont="1" applyFill="1" applyBorder="1" applyAlignment="1" applyProtection="1">
      <alignment vertical="center"/>
    </xf>
    <xf numFmtId="0" fontId="4" fillId="10" borderId="1" xfId="0" applyFont="1" applyFill="1" applyBorder="1" applyAlignment="1" applyProtection="1">
      <alignment vertical="center"/>
    </xf>
    <xf numFmtId="0" fontId="4" fillId="12" borderId="1" xfId="0" applyFont="1" applyFill="1" applyBorder="1" applyAlignment="1" applyProtection="1">
      <alignment horizontal="center" vertical="center"/>
    </xf>
    <xf numFmtId="164" fontId="11" fillId="12" borderId="2" xfId="0" applyNumberFormat="1" applyFont="1" applyFill="1" applyBorder="1" applyAlignment="1" applyProtection="1">
      <alignment horizontal="center" vertical="center" wrapText="1"/>
    </xf>
    <xf numFmtId="0" fontId="4" fillId="12" borderId="1" xfId="0" applyFont="1" applyFill="1" applyBorder="1" applyAlignment="1" applyProtection="1">
      <alignment vertical="center"/>
    </xf>
    <xf numFmtId="49" fontId="5" fillId="10" borderId="1" xfId="1" applyNumberFormat="1" applyFont="1" applyFill="1" applyBorder="1" applyAlignment="1" applyProtection="1">
      <alignment horizontal="center" vertical="center"/>
    </xf>
    <xf numFmtId="0" fontId="5" fillId="10" borderId="1" xfId="1" applyFont="1" applyFill="1" applyBorder="1" applyAlignment="1" applyProtection="1">
      <alignment vertical="center" wrapText="1"/>
    </xf>
    <xf numFmtId="0" fontId="5" fillId="10" borderId="6" xfId="1" applyFont="1" applyFill="1" applyBorder="1" applyAlignment="1" applyProtection="1">
      <alignment vertical="center" wrapText="1"/>
    </xf>
    <xf numFmtId="0" fontId="5" fillId="10" borderId="6" xfId="1" applyFont="1" applyFill="1" applyBorder="1" applyAlignment="1" applyProtection="1">
      <alignment horizontal="left" vertical="center" wrapText="1"/>
    </xf>
    <xf numFmtId="0" fontId="4" fillId="13" borderId="7" xfId="1" applyFont="1" applyFill="1" applyBorder="1" applyAlignment="1" applyProtection="1">
      <alignment vertical="center" wrapText="1"/>
    </xf>
    <xf numFmtId="0" fontId="4" fillId="33" borderId="1" xfId="1" applyFont="1" applyFill="1" applyBorder="1" applyAlignment="1" applyProtection="1">
      <alignment vertical="center" wrapText="1"/>
    </xf>
    <xf numFmtId="0" fontId="4" fillId="0" borderId="7" xfId="1" applyFont="1" applyBorder="1" applyAlignment="1" applyProtection="1">
      <alignment vertical="center" wrapText="1"/>
    </xf>
    <xf numFmtId="1" fontId="11" fillId="0" borderId="1" xfId="1" applyNumberFormat="1" applyFont="1" applyBorder="1" applyAlignment="1" applyProtection="1">
      <alignment horizontal="center" vertical="center" wrapText="1"/>
    </xf>
    <xf numFmtId="49" fontId="4" fillId="12" borderId="3" xfId="1" applyNumberFormat="1" applyFont="1" applyFill="1" applyBorder="1" applyAlignment="1" applyProtection="1">
      <alignment horizontal="center" vertical="center"/>
    </xf>
    <xf numFmtId="0" fontId="4" fillId="12" borderId="8" xfId="0" applyFont="1" applyFill="1" applyBorder="1" applyAlignment="1" applyProtection="1">
      <alignment horizontal="center" vertical="center"/>
    </xf>
    <xf numFmtId="0" fontId="5" fillId="9" borderId="11" xfId="0" applyFont="1" applyFill="1" applyBorder="1" applyAlignment="1" applyProtection="1">
      <alignment vertical="center"/>
    </xf>
    <xf numFmtId="0" fontId="5" fillId="9" borderId="5" xfId="0" applyFont="1" applyFill="1" applyBorder="1" applyAlignment="1" applyProtection="1">
      <alignment vertical="center"/>
    </xf>
    <xf numFmtId="0" fontId="5" fillId="9" borderId="5" xfId="0" applyFont="1" applyFill="1" applyBorder="1" applyAlignment="1" applyProtection="1">
      <alignment horizontal="left" vertical="center"/>
    </xf>
    <xf numFmtId="0" fontId="5" fillId="9" borderId="12" xfId="0" applyFont="1" applyFill="1" applyBorder="1" applyAlignment="1" applyProtection="1">
      <alignment vertical="center" wrapText="1"/>
    </xf>
    <xf numFmtId="0" fontId="5" fillId="9" borderId="5" xfId="0" applyFont="1" applyFill="1" applyBorder="1" applyAlignment="1" applyProtection="1">
      <alignment vertical="center" wrapText="1"/>
    </xf>
    <xf numFmtId="0" fontId="5" fillId="9" borderId="6"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10" borderId="8" xfId="0" applyFont="1" applyFill="1" applyBorder="1" applyAlignment="1" applyProtection="1">
      <alignment vertical="center" wrapText="1"/>
    </xf>
    <xf numFmtId="0" fontId="5" fillId="10" borderId="8" xfId="0" applyFont="1" applyFill="1" applyBorder="1" applyAlignment="1" applyProtection="1">
      <alignment horizontal="left" vertical="center" wrapText="1"/>
    </xf>
    <xf numFmtId="0" fontId="4" fillId="10" borderId="7" xfId="0" applyFont="1" applyFill="1" applyBorder="1" applyAlignment="1" applyProtection="1">
      <alignment vertical="center"/>
    </xf>
    <xf numFmtId="0" fontId="4" fillId="12" borderId="0" xfId="0" applyFont="1" applyFill="1" applyAlignment="1" applyProtection="1">
      <alignment vertical="center"/>
    </xf>
    <xf numFmtId="0" fontId="4" fillId="12" borderId="6" xfId="0" applyFont="1" applyFill="1" applyBorder="1" applyAlignment="1" applyProtection="1">
      <alignment vertical="center"/>
    </xf>
    <xf numFmtId="0" fontId="5" fillId="10" borderId="6" xfId="0" applyFont="1" applyFill="1" applyBorder="1" applyAlignment="1" applyProtection="1">
      <alignment vertical="center" wrapText="1"/>
    </xf>
    <xf numFmtId="0" fontId="5" fillId="10" borderId="6" xfId="0" applyFont="1" applyFill="1" applyBorder="1" applyAlignment="1" applyProtection="1">
      <alignment horizontal="left" vertical="center" wrapText="1"/>
    </xf>
    <xf numFmtId="0" fontId="4" fillId="0" borderId="3" xfId="0" applyFont="1" applyBorder="1" applyAlignment="1" applyProtection="1">
      <alignment vertical="center" wrapText="1"/>
    </xf>
    <xf numFmtId="0" fontId="4" fillId="13" borderId="2" xfId="1" applyFont="1" applyFill="1" applyBorder="1" applyAlignment="1" applyProtection="1">
      <alignment horizontal="center" vertical="center" wrapText="1"/>
    </xf>
    <xf numFmtId="164" fontId="11" fillId="0" borderId="13" xfId="0" applyNumberFormat="1" applyFont="1" applyBorder="1" applyAlignment="1" applyProtection="1">
      <alignment horizontal="center" vertical="center" wrapText="1"/>
    </xf>
    <xf numFmtId="164" fontId="11" fillId="12" borderId="1" xfId="0" applyNumberFormat="1" applyFont="1" applyFill="1" applyBorder="1" applyAlignment="1" applyProtection="1">
      <alignment horizontal="center" vertical="center" wrapText="1"/>
    </xf>
    <xf numFmtId="0" fontId="5" fillId="9" borderId="12" xfId="0" applyFont="1" applyFill="1" applyBorder="1" applyAlignment="1" applyProtection="1">
      <alignment vertical="center"/>
    </xf>
    <xf numFmtId="0" fontId="5" fillId="9" borderId="12" xfId="0" applyFont="1" applyFill="1" applyBorder="1" applyAlignment="1" applyProtection="1">
      <alignment horizontal="left" vertical="center"/>
    </xf>
    <xf numFmtId="0" fontId="4" fillId="10" borderId="11" xfId="0" applyFont="1" applyFill="1" applyBorder="1" applyAlignment="1" applyProtection="1">
      <alignment vertical="center"/>
    </xf>
    <xf numFmtId="0" fontId="4" fillId="10" borderId="6" xfId="0" applyFont="1" applyFill="1" applyBorder="1" applyAlignment="1" applyProtection="1">
      <alignment vertical="center"/>
    </xf>
    <xf numFmtId="0" fontId="4" fillId="33" borderId="1" xfId="2" applyFont="1" applyFill="1" applyBorder="1" applyAlignment="1" applyProtection="1">
      <alignment horizontal="center" vertical="center" wrapText="1"/>
    </xf>
    <xf numFmtId="0" fontId="4" fillId="0" borderId="1" xfId="2" applyFont="1" applyBorder="1" applyAlignment="1" applyProtection="1">
      <alignment horizontal="center" vertical="center" wrapText="1"/>
    </xf>
    <xf numFmtId="0" fontId="10" fillId="14" borderId="9" xfId="0" applyFont="1" applyFill="1" applyBorder="1" applyAlignment="1" applyProtection="1">
      <alignment horizontal="center" vertical="center"/>
    </xf>
    <xf numFmtId="164" fontId="10" fillId="14" borderId="9" xfId="0" applyNumberFormat="1" applyFont="1" applyFill="1" applyBorder="1" applyAlignment="1" applyProtection="1">
      <alignment horizontal="center" vertical="center"/>
    </xf>
    <xf numFmtId="0" fontId="5" fillId="14" borderId="9" xfId="0" applyFont="1" applyFill="1" applyBorder="1" applyAlignment="1" applyProtection="1">
      <alignment horizontal="center" vertical="center"/>
    </xf>
    <xf numFmtId="0" fontId="5" fillId="9" borderId="1" xfId="2" applyFont="1" applyFill="1" applyBorder="1" applyAlignment="1" applyProtection="1">
      <alignment horizontal="center" vertical="center"/>
    </xf>
    <xf numFmtId="0" fontId="5" fillId="9" borderId="5" xfId="2" applyFont="1" applyFill="1" applyBorder="1" applyAlignment="1" applyProtection="1">
      <alignment horizontal="left" vertical="center"/>
    </xf>
    <xf numFmtId="0" fontId="5" fillId="9" borderId="7" xfId="2" applyFont="1" applyFill="1" applyBorder="1" applyAlignment="1" applyProtection="1">
      <alignment horizontal="center" vertical="center" wrapText="1"/>
    </xf>
    <xf numFmtId="0" fontId="5" fillId="9" borderId="5" xfId="2" applyFont="1" applyFill="1" applyBorder="1" applyAlignment="1" applyProtection="1">
      <alignment horizontal="center" vertical="center" wrapText="1"/>
    </xf>
    <xf numFmtId="0" fontId="5" fillId="10" borderId="1" xfId="2" applyFont="1" applyFill="1" applyBorder="1" applyAlignment="1" applyProtection="1">
      <alignment horizontal="center" vertical="center"/>
    </xf>
    <xf numFmtId="0" fontId="5" fillId="10" borderId="1" xfId="2" applyFont="1" applyFill="1" applyBorder="1" applyAlignment="1" applyProtection="1">
      <alignment vertical="center" wrapText="1"/>
    </xf>
    <xf numFmtId="0" fontId="5" fillId="10" borderId="3" xfId="2" applyFont="1" applyFill="1" applyBorder="1" applyAlignment="1" applyProtection="1">
      <alignment vertical="center" wrapText="1"/>
    </xf>
    <xf numFmtId="0" fontId="4" fillId="10" borderId="3" xfId="2" applyFont="1" applyFill="1" applyBorder="1" applyAlignment="1" applyProtection="1">
      <alignment horizontal="center" vertical="center" wrapText="1"/>
    </xf>
    <xf numFmtId="0" fontId="4" fillId="10" borderId="3" xfId="0" applyFont="1" applyFill="1" applyBorder="1" applyAlignment="1" applyProtection="1">
      <alignment vertical="center"/>
    </xf>
    <xf numFmtId="0" fontId="4" fillId="0" borderId="7" xfId="2" applyFont="1" applyBorder="1" applyAlignment="1" applyProtection="1">
      <alignment vertical="center" wrapText="1"/>
    </xf>
    <xf numFmtId="0" fontId="4" fillId="33" borderId="1" xfId="2" applyFont="1" applyFill="1" applyBorder="1" applyAlignment="1" applyProtection="1">
      <alignment vertical="center" wrapText="1"/>
    </xf>
    <xf numFmtId="0" fontId="4" fillId="0" borderId="1" xfId="2" applyFont="1" applyBorder="1" applyAlignment="1" applyProtection="1">
      <alignment vertical="center" wrapText="1"/>
    </xf>
    <xf numFmtId="164" fontId="4" fillId="0" borderId="1" xfId="2" applyNumberFormat="1" applyFont="1" applyBorder="1" applyAlignment="1" applyProtection="1">
      <alignment vertical="center" wrapText="1"/>
    </xf>
    <xf numFmtId="0" fontId="4" fillId="0" borderId="7" xfId="2" applyFont="1" applyBorder="1" applyAlignment="1" applyProtection="1">
      <alignment horizontal="center" vertical="center" wrapText="1"/>
    </xf>
    <xf numFmtId="0" fontId="4" fillId="12" borderId="1" xfId="2" applyFont="1" applyFill="1" applyBorder="1" applyAlignment="1" applyProtection="1">
      <alignment horizontal="center" vertical="center"/>
    </xf>
    <xf numFmtId="164" fontId="5" fillId="12" borderId="1" xfId="0" applyNumberFormat="1" applyFont="1" applyFill="1" applyBorder="1" applyAlignment="1" applyProtection="1">
      <alignment horizontal="center" vertical="center"/>
    </xf>
    <xf numFmtId="0" fontId="5" fillId="10" borderId="1" xfId="2" applyFont="1" applyFill="1" applyBorder="1" applyAlignment="1" applyProtection="1">
      <alignment horizontal="center" vertical="center" wrapText="1"/>
    </xf>
    <xf numFmtId="0" fontId="4" fillId="0" borderId="3" xfId="2" quotePrefix="1" applyFont="1" applyBorder="1" applyAlignment="1" applyProtection="1">
      <alignment horizontal="justify" vertical="center" wrapText="1"/>
    </xf>
    <xf numFmtId="0" fontId="4" fillId="12" borderId="9" xfId="0" applyFont="1" applyFill="1" applyBorder="1" applyAlignment="1" applyProtection="1">
      <alignment vertical="center"/>
    </xf>
    <xf numFmtId="0" fontId="5" fillId="9" borderId="1" xfId="2" applyFont="1" applyFill="1" applyBorder="1" applyAlignment="1" applyProtection="1">
      <alignment vertical="center"/>
    </xf>
    <xf numFmtId="0" fontId="5" fillId="9" borderId="6" xfId="2" applyFont="1" applyFill="1" applyBorder="1" applyAlignment="1" applyProtection="1">
      <alignment vertical="center"/>
    </xf>
    <xf numFmtId="0" fontId="11" fillId="10" borderId="1" xfId="2" applyFont="1" applyFill="1" applyBorder="1" applyAlignment="1" applyProtection="1">
      <alignment horizontal="center" vertical="center" wrapText="1"/>
    </xf>
    <xf numFmtId="0" fontId="4" fillId="0" borderId="2" xfId="2" applyFont="1" applyBorder="1" applyAlignment="1" applyProtection="1">
      <alignment vertical="center" wrapText="1"/>
    </xf>
    <xf numFmtId="0" fontId="11" fillId="0" borderId="2" xfId="0" applyFont="1" applyBorder="1" applyAlignment="1" applyProtection="1">
      <alignment horizontal="center" vertical="center"/>
    </xf>
    <xf numFmtId="0" fontId="5" fillId="10" borderId="3" xfId="2" applyFont="1" applyFill="1" applyBorder="1" applyAlignment="1" applyProtection="1">
      <alignment horizontal="center" vertical="center"/>
    </xf>
    <xf numFmtId="0" fontId="5" fillId="10" borderId="3" xfId="2" applyFont="1" applyFill="1" applyBorder="1" applyAlignment="1" applyProtection="1">
      <alignment horizontal="justify" vertical="center" wrapText="1"/>
    </xf>
    <xf numFmtId="0" fontId="5" fillId="10" borderId="3" xfId="2" applyFont="1" applyFill="1" applyBorder="1" applyAlignment="1" applyProtection="1">
      <alignment horizontal="center" vertical="center" wrapText="1"/>
    </xf>
    <xf numFmtId="0" fontId="4" fillId="9" borderId="5" xfId="2" applyFont="1" applyFill="1" applyBorder="1" applyAlignment="1" applyProtection="1">
      <alignment horizontal="center" vertical="center"/>
    </xf>
    <xf numFmtId="0" fontId="4" fillId="10" borderId="3" xfId="2" applyFont="1" applyFill="1" applyBorder="1" applyAlignment="1" applyProtection="1">
      <alignment horizontal="center" vertical="center"/>
    </xf>
    <xf numFmtId="0" fontId="4" fillId="10" borderId="3" xfId="2" applyFont="1" applyFill="1" applyBorder="1" applyAlignment="1" applyProtection="1">
      <alignment vertical="center" wrapText="1"/>
    </xf>
    <xf numFmtId="0" fontId="4" fillId="10" borderId="1" xfId="2" applyFont="1" applyFill="1" applyBorder="1" applyAlignment="1" applyProtection="1">
      <alignment horizontal="center" vertical="center"/>
    </xf>
    <xf numFmtId="0" fontId="4" fillId="10" borderId="1" xfId="2" applyFont="1" applyFill="1" applyBorder="1" applyAlignment="1" applyProtection="1">
      <alignment vertical="center" wrapText="1"/>
    </xf>
    <xf numFmtId="0" fontId="11" fillId="10" borderId="1" xfId="2" applyFont="1" applyFill="1" applyBorder="1" applyAlignment="1" applyProtection="1">
      <alignment horizontal="justify" vertical="center" wrapText="1"/>
    </xf>
    <xf numFmtId="1" fontId="11" fillId="11" borderId="1" xfId="1"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11" fillId="11"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1" borderId="1" xfId="0" applyNumberFormat="1" applyFont="1" applyFill="1" applyBorder="1" applyAlignment="1" applyProtection="1">
      <alignment horizontal="center" vertical="center" wrapText="1"/>
      <protection locked="0"/>
    </xf>
    <xf numFmtId="0" fontId="18" fillId="30" borderId="1" xfId="0" applyFont="1" applyFill="1" applyBorder="1" applyAlignment="1" applyProtection="1">
      <alignment vertical="center"/>
    </xf>
    <xf numFmtId="0" fontId="11" fillId="32" borderId="1" xfId="0" applyFont="1" applyFill="1" applyBorder="1" applyAlignment="1" applyProtection="1">
      <alignment vertical="center"/>
    </xf>
    <xf numFmtId="0" fontId="10" fillId="32" borderId="1" xfId="0" applyFont="1" applyFill="1" applyBorder="1" applyAlignment="1" applyProtection="1">
      <alignment vertical="center"/>
    </xf>
    <xf numFmtId="0" fontId="4" fillId="0" borderId="1" xfId="0" applyFont="1" applyBorder="1" applyProtection="1"/>
    <xf numFmtId="0" fontId="4" fillId="0" borderId="1" xfId="0" quotePrefix="1" applyFont="1" applyBorder="1" applyAlignment="1" applyProtection="1">
      <alignment vertical="center" wrapText="1"/>
    </xf>
    <xf numFmtId="1" fontId="11" fillId="31" borderId="1" xfId="1" applyNumberFormat="1" applyFont="1" applyFill="1" applyBorder="1" applyAlignment="1" applyProtection="1">
      <alignment horizontal="center" vertical="center" wrapText="1"/>
      <protection locked="0"/>
    </xf>
    <xf numFmtId="0" fontId="3" fillId="0" borderId="0" xfId="0" applyFont="1" applyProtection="1"/>
    <xf numFmtId="0" fontId="7" fillId="0" borderId="0" xfId="0" applyFont="1" applyProtection="1"/>
    <xf numFmtId="0" fontId="6" fillId="2" borderId="2" xfId="0" applyFont="1" applyFill="1" applyBorder="1" applyAlignment="1" applyProtection="1">
      <alignment horizontal="center"/>
    </xf>
    <xf numFmtId="0" fontId="8" fillId="3" borderId="1" xfId="0" applyFont="1" applyFill="1" applyBorder="1" applyAlignment="1" applyProtection="1">
      <alignment horizontal="center" vertical="center"/>
    </xf>
    <xf numFmtId="0" fontId="7" fillId="0" borderId="1" xfId="0" applyFont="1" applyBorder="1" applyAlignment="1" applyProtection="1">
      <alignment horizontal="center"/>
    </xf>
    <xf numFmtId="1" fontId="7" fillId="0" borderId="1" xfId="0" applyNumberFormat="1" applyFont="1" applyBorder="1" applyAlignment="1" applyProtection="1">
      <alignment horizontal="center"/>
    </xf>
    <xf numFmtId="0" fontId="8"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2" fontId="7" fillId="0" borderId="1" xfId="0" applyNumberFormat="1" applyFont="1" applyBorder="1" applyAlignment="1" applyProtection="1">
      <alignment horizontal="center" vertical="center"/>
    </xf>
    <xf numFmtId="2" fontId="7" fillId="0" borderId="1" xfId="0" applyNumberFormat="1" applyFont="1" applyBorder="1" applyAlignment="1" applyProtection="1">
      <alignment horizontal="center"/>
    </xf>
    <xf numFmtId="0" fontId="34" fillId="29" borderId="15" xfId="0" applyFont="1" applyFill="1" applyBorder="1" applyAlignment="1" applyProtection="1">
      <alignment horizontal="left"/>
    </xf>
    <xf numFmtId="0" fontId="34" fillId="29" borderId="0" xfId="0" applyFont="1" applyFill="1" applyAlignment="1" applyProtection="1">
      <alignment horizontal="left"/>
    </xf>
    <xf numFmtId="0" fontId="34" fillId="29" borderId="27" xfId="0" applyFont="1" applyFill="1" applyBorder="1" applyAlignment="1" applyProtection="1">
      <alignment horizontal="left"/>
    </xf>
    <xf numFmtId="0" fontId="34" fillId="29" borderId="11" xfId="0" applyFont="1" applyFill="1" applyBorder="1" applyAlignment="1" applyProtection="1">
      <alignment horizontal="center" wrapText="1"/>
    </xf>
    <xf numFmtId="0" fontId="34" fillId="29" borderId="12" xfId="0" applyFont="1" applyFill="1" applyBorder="1" applyAlignment="1" applyProtection="1">
      <alignment horizontal="center"/>
    </xf>
    <xf numFmtId="0" fontId="34" fillId="29" borderId="8" xfId="0" applyFont="1" applyFill="1" applyBorder="1" applyAlignment="1" applyProtection="1">
      <alignment horizontal="center"/>
    </xf>
    <xf numFmtId="0" fontId="36" fillId="0" borderId="1" xfId="0" applyFont="1" applyBorder="1" applyProtection="1"/>
    <xf numFmtId="0" fontId="36" fillId="0" borderId="1" xfId="0" applyFont="1" applyBorder="1" applyAlignment="1" applyProtection="1">
      <alignment vertical="center"/>
    </xf>
    <xf numFmtId="0" fontId="36" fillId="0" borderId="1" xfId="0" applyFont="1" applyBorder="1" applyAlignment="1" applyProtection="1">
      <alignment horizontal="justify" vertical="center" wrapText="1"/>
      <protection locked="0"/>
    </xf>
    <xf numFmtId="3" fontId="39" fillId="0" borderId="1" xfId="0" applyNumberFormat="1" applyFont="1" applyBorder="1" applyAlignment="1" applyProtection="1">
      <alignment horizontal="justify" vertical="center" wrapText="1"/>
      <protection locked="0"/>
    </xf>
    <xf numFmtId="0" fontId="39" fillId="0" borderId="1"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2" fontId="40" fillId="0" borderId="1" xfId="0" applyNumberFormat="1" applyFont="1" applyBorder="1" applyAlignment="1" applyProtection="1">
      <alignment horizontal="left" vertical="center" wrapText="1"/>
      <protection locked="0"/>
    </xf>
    <xf numFmtId="165" fontId="39" fillId="0" borderId="1" xfId="0" applyNumberFormat="1" applyFont="1" applyBorder="1" applyAlignment="1" applyProtection="1">
      <alignment horizontal="left" vertical="center" wrapText="1"/>
      <protection locked="0"/>
    </xf>
    <xf numFmtId="164" fontId="39"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0" fillId="0" borderId="0" xfId="0" applyProtection="1">
      <protection locked="0"/>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0" borderId="4" xfId="2" applyFont="1" applyBorder="1" applyAlignment="1" applyProtection="1">
      <alignment horizontal="center" vertical="center"/>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2" applyFont="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5" fillId="0" borderId="1" xfId="0" applyFont="1" applyBorder="1" applyAlignment="1" applyProtection="1">
      <alignment horizontal="center" vertical="top"/>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top"/>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0" fontId="10" fillId="20" borderId="1" xfId="0" applyFont="1" applyFill="1" applyBorder="1" applyAlignment="1" applyProtection="1">
      <alignment horizontal="left" vertical="top" wrapText="1"/>
    </xf>
    <xf numFmtId="0" fontId="11" fillId="22" borderId="1" xfId="0" applyFont="1" applyFill="1" applyBorder="1" applyAlignment="1" applyProtection="1">
      <alignment horizontal="left" vertical="top" wrapText="1"/>
    </xf>
    <xf numFmtId="0" fontId="4" fillId="33" borderId="1" xfId="0"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0" fontId="4" fillId="0" borderId="1" xfId="2" applyFont="1" applyBorder="1" applyAlignment="1" applyProtection="1">
      <alignment horizontal="center" vertical="center"/>
    </xf>
    <xf numFmtId="0" fontId="35" fillId="0" borderId="0" xfId="0" applyFont="1" applyProtection="1">
      <protection locked="0"/>
    </xf>
    <xf numFmtId="0" fontId="37" fillId="0" borderId="0" xfId="0" applyFont="1" applyProtection="1">
      <protection locked="0"/>
    </xf>
    <xf numFmtId="0" fontId="33" fillId="0" borderId="0" xfId="0" applyFont="1" applyProtection="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2" fillId="0" borderId="0" xfId="0" applyFont="1" applyProtection="1">
      <protection locked="0"/>
    </xf>
    <xf numFmtId="0" fontId="5" fillId="2" borderId="1" xfId="0" applyFont="1" applyFill="1" applyBorder="1" applyAlignment="1" applyProtection="1">
      <alignment horizontal="center" vertical="center" wrapText="1"/>
      <protection locked="0"/>
    </xf>
    <xf numFmtId="0" fontId="18" fillId="30" borderId="1"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Protection="1">
      <protection locked="0"/>
    </xf>
    <xf numFmtId="0" fontId="11" fillId="11" borderId="1" xfId="0" applyFont="1" applyFill="1" applyBorder="1" applyAlignment="1" applyProtection="1">
      <alignment horizontal="center" vertical="center"/>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19"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0" fontId="4" fillId="0" borderId="1" xfId="0" applyFont="1" applyBorder="1" applyAlignment="1" applyProtection="1">
      <alignment vertical="top" wrapText="1"/>
      <protection locked="0"/>
    </xf>
    <xf numFmtId="0" fontId="0" fillId="0" borderId="0" xfId="0" applyAlignment="1" applyProtection="1">
      <protection locked="0"/>
    </xf>
    <xf numFmtId="0" fontId="0" fillId="0" borderId="1" xfId="0" applyBorder="1" applyAlignment="1" applyProtection="1"/>
    <xf numFmtId="0" fontId="2" fillId="0" borderId="1" xfId="0" applyFont="1" applyBorder="1" applyAlignment="1" applyProtection="1">
      <alignment horizontal="center"/>
    </xf>
    <xf numFmtId="0" fontId="0" fillId="0" borderId="0" xfId="0" applyAlignment="1" applyProtection="1">
      <alignment horizontal="center"/>
    </xf>
    <xf numFmtId="0" fontId="15" fillId="0" borderId="1" xfId="0" applyFont="1" applyBorder="1" applyAlignment="1" applyProtection="1">
      <alignment horizontal="center"/>
    </xf>
    <xf numFmtId="0" fontId="15" fillId="15" borderId="1" xfId="0" applyFont="1" applyFill="1" applyBorder="1" applyAlignment="1" applyProtection="1">
      <alignment horizontal="center" wrapText="1"/>
    </xf>
    <xf numFmtId="0" fontId="0" fillId="0" borderId="1" xfId="0" applyBorder="1" applyAlignment="1" applyProtection="1">
      <alignment horizontal="center"/>
    </xf>
    <xf numFmtId="2" fontId="10" fillId="27"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32" fillId="7" borderId="2" xfId="0" applyFont="1" applyFill="1" applyBorder="1" applyAlignment="1">
      <alignment horizontal="right" vertical="center"/>
    </xf>
    <xf numFmtId="2" fontId="12" fillId="13" borderId="1" xfId="4" applyNumberFormat="1" applyFont="1" applyFill="1" applyBorder="1" applyAlignment="1" applyProtection="1">
      <alignment horizontal="center" vertical="center" wrapText="1"/>
    </xf>
    <xf numFmtId="0" fontId="4" fillId="34" borderId="1" xfId="4" applyFont="1" applyBorder="1" applyAlignment="1" applyProtection="1">
      <alignment horizontal="center" vertical="center"/>
      <protection locked="0"/>
    </xf>
    <xf numFmtId="2" fontId="4" fillId="34" borderId="1" xfId="4" applyNumberFormat="1" applyFont="1" applyBorder="1" applyAlignment="1" applyProtection="1">
      <alignment horizontal="center" vertical="center"/>
      <protection locked="0"/>
    </xf>
    <xf numFmtId="0" fontId="0" fillId="0" borderId="0" xfId="0" applyAlignment="1">
      <alignment wrapText="1"/>
    </xf>
    <xf numFmtId="0" fontId="4" fillId="0" borderId="0" xfId="0" applyFont="1" applyAlignment="1" applyProtection="1">
      <alignment wrapText="1"/>
      <protection locked="0"/>
    </xf>
    <xf numFmtId="2" fontId="12" fillId="0" borderId="1" xfId="4" applyNumberFormat="1" applyFont="1" applyFill="1" applyBorder="1" applyAlignment="1" applyProtection="1">
      <alignment horizontal="center" vertical="center" wrapText="1"/>
    </xf>
    <xf numFmtId="2" fontId="4" fillId="0" borderId="0" xfId="0" applyNumberFormat="1" applyFont="1" applyAlignment="1">
      <alignment horizontal="center"/>
    </xf>
    <xf numFmtId="0" fontId="4" fillId="0" borderId="0" xfId="0" applyFont="1" applyAlignment="1">
      <alignment horizontal="center"/>
    </xf>
    <xf numFmtId="2" fontId="4" fillId="34" borderId="1" xfId="4" applyNumberFormat="1" applyFont="1" applyBorder="1" applyAlignment="1" applyProtection="1">
      <alignment horizontal="center" vertical="center"/>
      <protection locked="0"/>
    </xf>
    <xf numFmtId="2" fontId="4" fillId="15" borderId="0" xfId="0" applyNumberFormat="1" applyFont="1" applyFill="1" applyAlignment="1">
      <alignment horizontal="center"/>
    </xf>
    <xf numFmtId="0" fontId="6" fillId="8" borderId="1" xfId="0" applyFont="1" applyFill="1" applyBorder="1" applyAlignment="1" applyProtection="1">
      <alignment horizontal="center" vertical="center"/>
      <protection locked="0"/>
    </xf>
    <xf numFmtId="0" fontId="0" fillId="0" borderId="1" xfId="0" applyBorder="1" applyAlignment="1" applyProtection="1">
      <alignment vertical="top"/>
      <protection locked="0"/>
    </xf>
    <xf numFmtId="0" fontId="0" fillId="0" borderId="1" xfId="0" applyBorder="1" applyAlignment="1" applyProtection="1">
      <alignment horizontal="center" vertical="center"/>
    </xf>
    <xf numFmtId="0" fontId="5" fillId="0" borderId="1" xfId="0" applyFont="1" applyBorder="1" applyAlignment="1" applyProtection="1">
      <alignment horizontal="center" vertical="center"/>
    </xf>
    <xf numFmtId="0" fontId="21" fillId="0" borderId="1" xfId="0" applyFont="1" applyBorder="1" applyAlignment="1" applyProtection="1">
      <alignment horizontal="center" vertical="center" wrapText="1"/>
    </xf>
    <xf numFmtId="0" fontId="21" fillId="0" borderId="1" xfId="0" applyFont="1" applyBorder="1" applyAlignment="1" applyProtection="1">
      <alignment vertical="center" wrapText="1"/>
      <protection locked="0"/>
    </xf>
    <xf numFmtId="0" fontId="33" fillId="0" borderId="1" xfId="0" applyFont="1" applyBorder="1" applyAlignment="1" applyProtection="1">
      <alignment horizontal="left" vertical="center" wrapText="1"/>
    </xf>
    <xf numFmtId="0" fontId="34" fillId="0" borderId="1" xfId="0" applyFont="1" applyBorder="1" applyAlignment="1" applyProtection="1">
      <alignment horizontal="center"/>
      <protection locked="0"/>
    </xf>
    <xf numFmtId="0" fontId="36" fillId="0" borderId="3" xfId="0" applyFont="1" applyBorder="1" applyAlignment="1" applyProtection="1">
      <alignment horizontal="left" vertical="center"/>
    </xf>
    <xf numFmtId="0" fontId="36" fillId="0" borderId="1" xfId="0" applyFont="1" applyBorder="1" applyAlignment="1" applyProtection="1">
      <alignment horizontal="left" vertical="center"/>
    </xf>
    <xf numFmtId="0" fontId="33" fillId="0" borderId="1" xfId="0" applyFont="1" applyBorder="1" applyAlignment="1" applyProtection="1">
      <alignment horizontal="left" vertical="top" wrapText="1"/>
    </xf>
    <xf numFmtId="0" fontId="40" fillId="0" borderId="1" xfId="0" applyFont="1" applyBorder="1" applyAlignment="1" applyProtection="1">
      <alignment horizontal="left" vertical="center" wrapText="1"/>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8" fillId="7" borderId="1" xfId="0" applyFont="1" applyFill="1" applyBorder="1" applyAlignment="1" applyProtection="1">
      <alignment horizontal="center" vertical="center"/>
    </xf>
    <xf numFmtId="0" fontId="11" fillId="32" borderId="1" xfId="0" applyFont="1" applyFill="1" applyBorder="1" applyAlignment="1" applyProtection="1">
      <alignment horizontal="left" vertical="center"/>
    </xf>
    <xf numFmtId="0" fontId="13" fillId="30"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15" xfId="0" applyBorder="1" applyAlignment="1" applyProtection="1">
      <alignment horizontal="left"/>
      <protection locked="0"/>
    </xf>
    <xf numFmtId="0" fontId="0" fillId="0" borderId="0" xfId="0" applyAlignment="1" applyProtection="1">
      <alignment horizontal="left"/>
      <protection locked="0"/>
    </xf>
    <xf numFmtId="0" fontId="18" fillId="3" borderId="7"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5" fillId="12" borderId="7" xfId="2" applyFont="1" applyFill="1" applyBorder="1" applyAlignment="1" applyProtection="1">
      <alignment horizontal="right" vertical="center" wrapText="1"/>
    </xf>
    <xf numFmtId="0" fontId="5" fillId="12" borderId="5" xfId="2" applyFont="1" applyFill="1" applyBorder="1" applyAlignment="1" applyProtection="1">
      <alignment horizontal="right" vertical="center" wrapText="1"/>
    </xf>
    <xf numFmtId="0" fontId="4" fillId="0" borderId="2" xfId="2" applyFont="1" applyBorder="1" applyAlignment="1" applyProtection="1">
      <alignment horizontal="center" vertical="center"/>
    </xf>
    <xf numFmtId="0" fontId="4" fillId="0" borderId="10" xfId="2" applyFont="1" applyBorder="1" applyAlignment="1" applyProtection="1">
      <alignment horizontal="center" vertical="center"/>
    </xf>
    <xf numFmtId="0" fontId="5" fillId="9" borderId="7" xfId="2" applyFont="1" applyFill="1" applyBorder="1" applyAlignment="1" applyProtection="1">
      <alignment horizontal="left" vertical="center"/>
    </xf>
    <xf numFmtId="0" fontId="5" fillId="9" borderId="6" xfId="2" applyFont="1" applyFill="1" applyBorder="1" applyAlignment="1" applyProtection="1">
      <alignment horizontal="left" vertical="center"/>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9" fontId="4" fillId="13" borderId="2" xfId="1" applyNumberFormat="1" applyFont="1" applyFill="1" applyBorder="1" applyAlignment="1" applyProtection="1">
      <alignment horizontal="center" vertical="center"/>
    </xf>
    <xf numFmtId="49" fontId="4" fillId="13" borderId="10" xfId="1" applyNumberFormat="1" applyFont="1" applyFill="1" applyBorder="1" applyAlignment="1" applyProtection="1">
      <alignment horizontal="center" vertical="center"/>
    </xf>
    <xf numFmtId="49" fontId="4" fillId="13" borderId="1" xfId="1" applyNumberFormat="1" applyFont="1" applyFill="1" applyBorder="1" applyAlignment="1" applyProtection="1">
      <alignment horizontal="center" vertical="center"/>
    </xf>
    <xf numFmtId="0" fontId="4" fillId="13" borderId="2" xfId="1" applyFont="1" applyFill="1" applyBorder="1" applyAlignment="1" applyProtection="1">
      <alignment horizontal="left" vertical="center" wrapText="1"/>
    </xf>
    <xf numFmtId="0" fontId="4" fillId="13" borderId="3" xfId="1" applyFont="1" applyFill="1" applyBorder="1" applyAlignment="1" applyProtection="1">
      <alignment horizontal="left" vertical="center" wrapText="1"/>
    </xf>
    <xf numFmtId="0" fontId="10" fillId="14" borderId="7" xfId="0" applyFont="1" applyFill="1" applyBorder="1" applyAlignment="1" applyProtection="1">
      <alignment horizontal="left" vertical="center"/>
    </xf>
    <xf numFmtId="0" fontId="10" fillId="14" borderId="5" xfId="0" applyFont="1" applyFill="1" applyBorder="1" applyAlignment="1" applyProtection="1">
      <alignment horizontal="left" vertical="center"/>
    </xf>
    <xf numFmtId="0" fontId="10" fillId="14" borderId="6" xfId="0" applyFont="1" applyFill="1" applyBorder="1" applyAlignment="1" applyProtection="1">
      <alignment horizontal="left" vertical="center"/>
    </xf>
    <xf numFmtId="0" fontId="5" fillId="12" borderId="6" xfId="2" applyFont="1" applyFill="1" applyBorder="1" applyAlignment="1" applyProtection="1">
      <alignment horizontal="right" vertical="center" wrapText="1"/>
    </xf>
    <xf numFmtId="0" fontId="4" fillId="0" borderId="4" xfId="2" applyFont="1" applyBorder="1" applyAlignment="1" applyProtection="1">
      <alignment horizontal="center" vertical="center"/>
    </xf>
    <xf numFmtId="0" fontId="4" fillId="0" borderId="15" xfId="2" applyFont="1" applyBorder="1" applyAlignment="1" applyProtection="1">
      <alignment horizontal="center" vertical="center"/>
    </xf>
    <xf numFmtId="0" fontId="4" fillId="0" borderId="2" xfId="2" applyFont="1" applyBorder="1" applyAlignment="1" applyProtection="1">
      <alignment horizontal="left" vertical="top" wrapText="1"/>
    </xf>
    <xf numFmtId="0" fontId="4" fillId="0" borderId="3" xfId="2" applyFont="1" applyBorder="1" applyAlignment="1" applyProtection="1">
      <alignment horizontal="left" vertical="top" wrapText="1"/>
    </xf>
    <xf numFmtId="0" fontId="4" fillId="0" borderId="1" xfId="0" applyFont="1" applyBorder="1" applyAlignment="1" applyProtection="1">
      <alignment horizontal="center" vertical="center" wrapText="1"/>
    </xf>
    <xf numFmtId="164" fontId="5" fillId="0" borderId="1" xfId="0" applyNumberFormat="1" applyFont="1" applyBorder="1" applyAlignment="1" applyProtection="1">
      <alignment horizontal="center" vertical="center"/>
    </xf>
    <xf numFmtId="164" fontId="5" fillId="0" borderId="7" xfId="0" applyNumberFormat="1" applyFont="1" applyBorder="1" applyAlignment="1" applyProtection="1">
      <alignment horizontal="center" vertical="center"/>
    </xf>
    <xf numFmtId="0" fontId="10" fillId="14" borderId="1" xfId="0" applyFont="1" applyFill="1" applyBorder="1" applyAlignment="1" applyProtection="1">
      <alignment horizontal="left"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12" borderId="1" xfId="2" applyFont="1" applyFill="1" applyBorder="1" applyAlignment="1" applyProtection="1">
      <alignment horizontal="right" vertical="center" wrapText="1"/>
    </xf>
    <xf numFmtId="0" fontId="0" fillId="15" borderId="1" xfId="0" applyFill="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0" fillId="20" borderId="5" xfId="0" applyFont="1" applyFill="1" applyBorder="1" applyAlignment="1" applyProtection="1">
      <alignment horizontal="left" vertical="top"/>
    </xf>
    <xf numFmtId="0" fontId="10" fillId="20" borderId="6" xfId="0" applyFont="1" applyFill="1" applyBorder="1" applyAlignment="1" applyProtection="1">
      <alignment horizontal="left" vertical="top"/>
    </xf>
    <xf numFmtId="0" fontId="4" fillId="0" borderId="7"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19" borderId="5" xfId="0" applyFont="1" applyFill="1" applyBorder="1" applyAlignment="1" applyProtection="1">
      <alignment horizontal="left" vertical="top" wrapText="1"/>
    </xf>
    <xf numFmtId="0" fontId="5" fillId="2" borderId="7"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16" borderId="7" xfId="0" applyFont="1" applyFill="1" applyBorder="1" applyAlignment="1" applyProtection="1">
      <alignment horizontal="left" vertical="top"/>
    </xf>
    <xf numFmtId="0" fontId="10" fillId="16" borderId="5" xfId="0" applyFont="1" applyFill="1" applyBorder="1" applyAlignment="1" applyProtection="1">
      <alignment horizontal="left" vertical="top"/>
    </xf>
    <xf numFmtId="0" fontId="4" fillId="0" borderId="1" xfId="0" applyFont="1" applyBorder="1" applyAlignment="1" applyProtection="1">
      <alignment horizontal="left" vertical="top" wrapText="1"/>
    </xf>
    <xf numFmtId="0" fontId="5" fillId="5" borderId="7" xfId="2" applyFont="1" applyFill="1" applyBorder="1" applyAlignment="1" applyProtection="1">
      <alignment horizontal="right" vertical="center" wrapText="1"/>
    </xf>
    <xf numFmtId="0" fontId="5" fillId="5" borderId="5" xfId="2" applyFont="1" applyFill="1" applyBorder="1" applyAlignment="1" applyProtection="1">
      <alignment horizontal="right" vertical="center" wrapText="1"/>
    </xf>
    <xf numFmtId="0" fontId="5" fillId="5" borderId="6" xfId="2" applyFont="1" applyFill="1" applyBorder="1" applyAlignment="1" applyProtection="1">
      <alignment horizontal="right" vertical="center" wrapText="1"/>
    </xf>
    <xf numFmtId="0" fontId="10" fillId="20" borderId="1" xfId="0" applyFont="1" applyFill="1" applyBorder="1" applyAlignment="1" applyProtection="1">
      <alignment horizontal="left" vertical="top" wrapText="1"/>
    </xf>
    <xf numFmtId="0" fontId="5" fillId="0" borderId="7"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5" xfId="0" applyFont="1" applyBorder="1" applyAlignment="1" applyProtection="1">
      <alignment horizontal="left" vertical="center" wrapText="1"/>
    </xf>
    <xf numFmtId="0" fontId="8" fillId="4" borderId="7"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21" fillId="0" borderId="0" xfId="0" applyFont="1" applyAlignment="1" applyProtection="1">
      <alignment horizontal="left" vertical="top" wrapText="1"/>
    </xf>
    <xf numFmtId="0" fontId="5" fillId="0" borderId="7" xfId="0" applyFont="1" applyBorder="1" applyAlignment="1" applyProtection="1">
      <alignment horizontal="center" vertical="top"/>
    </xf>
    <xf numFmtId="0" fontId="5" fillId="0" borderId="23" xfId="0" applyFont="1" applyBorder="1" applyAlignment="1" applyProtection="1">
      <alignment horizontal="center" vertical="top"/>
    </xf>
    <xf numFmtId="0" fontId="5" fillId="0" borderId="24" xfId="0" applyFont="1" applyBorder="1" applyAlignment="1" applyProtection="1">
      <alignment horizontal="center" vertical="top"/>
    </xf>
    <xf numFmtId="0" fontId="10" fillId="20" borderId="7" xfId="0" applyFont="1" applyFill="1" applyBorder="1" applyAlignment="1" applyProtection="1">
      <alignment horizontal="left" vertical="top"/>
    </xf>
    <xf numFmtId="0" fontId="5" fillId="33" borderId="7" xfId="0" applyFont="1" applyFill="1" applyBorder="1" applyAlignment="1" applyProtection="1">
      <alignment horizontal="center" vertical="center"/>
    </xf>
    <xf numFmtId="0" fontId="4" fillId="0" borderId="24" xfId="0" applyFont="1" applyBorder="1" applyAlignment="1" applyProtection="1">
      <alignment horizontal="center" vertical="top" wrapText="1"/>
    </xf>
    <xf numFmtId="0" fontId="5" fillId="0" borderId="1" xfId="0" applyFont="1" applyBorder="1" applyAlignment="1" applyProtection="1">
      <alignment horizontal="center" vertical="top"/>
    </xf>
    <xf numFmtId="0" fontId="4" fillId="0" borderId="25"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33" borderId="2" xfId="0" applyFont="1" applyFill="1" applyBorder="1" applyAlignment="1" applyProtection="1">
      <alignment horizontal="center" vertical="center"/>
    </xf>
    <xf numFmtId="0" fontId="4" fillId="33" borderId="10" xfId="0" applyFont="1" applyFill="1" applyBorder="1" applyAlignment="1" applyProtection="1">
      <alignment horizontal="center" vertical="center"/>
    </xf>
    <xf numFmtId="0" fontId="4" fillId="33" borderId="3"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4" fillId="0" borderId="18"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4" fillId="17" borderId="2" xfId="0" applyFont="1" applyFill="1" applyBorder="1" applyAlignment="1" applyProtection="1">
      <alignment horizontal="center" vertical="center"/>
      <protection locked="0"/>
    </xf>
    <xf numFmtId="0" fontId="4" fillId="17" borderId="1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5" fillId="0" borderId="10" xfId="0" applyNumberFormat="1" applyFont="1" applyBorder="1" applyAlignment="1" applyProtection="1">
      <alignment horizontal="center" vertical="center"/>
    </xf>
    <xf numFmtId="0" fontId="4" fillId="0" borderId="4"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8" xfId="0" applyFont="1" applyBorder="1" applyAlignment="1" applyProtection="1">
      <alignment horizontal="left" vertical="top" wrapText="1"/>
    </xf>
    <xf numFmtId="164" fontId="5" fillId="0" borderId="3"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xf>
    <xf numFmtId="0" fontId="4" fillId="0" borderId="5" xfId="0" applyFont="1" applyBorder="1" applyAlignment="1" applyProtection="1">
      <alignment horizontal="left" vertical="top"/>
    </xf>
    <xf numFmtId="0" fontId="5" fillId="19" borderId="9" xfId="0" applyFont="1" applyFill="1" applyBorder="1" applyAlignment="1" applyProtection="1">
      <alignment horizontal="left" vertical="top"/>
    </xf>
    <xf numFmtId="0" fontId="5" fillId="19" borderId="2" xfId="0" applyFont="1" applyFill="1" applyBorder="1" applyAlignment="1" applyProtection="1">
      <alignment horizontal="left" vertical="top"/>
    </xf>
    <xf numFmtId="0" fontId="5" fillId="19" borderId="1" xfId="0" applyFont="1" applyFill="1" applyBorder="1" applyAlignment="1" applyProtection="1">
      <alignment horizontal="left" vertical="top"/>
    </xf>
    <xf numFmtId="0" fontId="4" fillId="0" borderId="10" xfId="0" applyFont="1" applyBorder="1" applyAlignment="1" applyProtection="1">
      <alignment horizontal="center" vertical="center" wrapText="1"/>
    </xf>
    <xf numFmtId="0" fontId="5" fillId="18" borderId="16" xfId="0" applyFont="1" applyFill="1" applyBorder="1" applyAlignment="1" applyProtection="1">
      <alignment horizontal="left" vertical="top"/>
    </xf>
    <xf numFmtId="0" fontId="5" fillId="18" borderId="17" xfId="0" applyFont="1" applyFill="1" applyBorder="1" applyAlignment="1" applyProtection="1">
      <alignment horizontal="left" vertical="top"/>
    </xf>
    <xf numFmtId="0" fontId="5" fillId="0" borderId="1" xfId="0" applyFont="1" applyBorder="1" applyAlignment="1" applyProtection="1">
      <alignment horizontal="center" vertical="top"/>
      <protection locked="0"/>
    </xf>
    <xf numFmtId="0" fontId="5" fillId="33" borderId="1" xfId="0" applyFont="1" applyFill="1" applyBorder="1" applyAlignment="1" applyProtection="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1" fillId="21" borderId="1" xfId="0" applyFont="1" applyFill="1" applyBorder="1" applyAlignment="1" applyProtection="1">
      <alignment horizontal="left" vertical="top" wrapText="1"/>
    </xf>
    <xf numFmtId="0" fontId="11" fillId="21" borderId="1" xfId="0" applyFont="1" applyFill="1" applyBorder="1" applyAlignment="1" applyProtection="1">
      <alignment horizontal="left" vertical="top"/>
    </xf>
    <xf numFmtId="0" fontId="11" fillId="22" borderId="1" xfId="0" applyFont="1" applyFill="1" applyBorder="1" applyAlignment="1" applyProtection="1">
      <alignment horizontal="left" vertical="top" wrapText="1"/>
    </xf>
    <xf numFmtId="0" fontId="5" fillId="24" borderId="1" xfId="0" applyFont="1" applyFill="1" applyBorder="1" applyAlignment="1" applyProtection="1">
      <alignment horizontal="right" vertical="center"/>
    </xf>
    <xf numFmtId="0" fontId="21" fillId="0" borderId="1" xfId="0" applyFont="1" applyBorder="1" applyAlignment="1">
      <alignment horizontal="left" vertical="top" wrapText="1"/>
    </xf>
    <xf numFmtId="0" fontId="11" fillId="22" borderId="1" xfId="0" applyFont="1" applyFill="1" applyBorder="1" applyAlignment="1" applyProtection="1">
      <alignment horizontal="left" vertical="center" wrapText="1"/>
    </xf>
    <xf numFmtId="0" fontId="11" fillId="23" borderId="1" xfId="0" applyFont="1" applyFill="1" applyBorder="1" applyAlignment="1" applyProtection="1">
      <alignment horizontal="left" vertical="top"/>
    </xf>
    <xf numFmtId="0" fontId="21" fillId="0" borderId="1" xfId="0" applyFont="1" applyBorder="1" applyAlignment="1" applyProtection="1">
      <alignment horizontal="left" vertical="top" wrapText="1"/>
    </xf>
    <xf numFmtId="0" fontId="4" fillId="33" borderId="1" xfId="0" applyFont="1" applyFill="1" applyBorder="1" applyAlignment="1" applyProtection="1">
      <alignment horizontal="center" vertical="center"/>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11" fillId="22" borderId="5" xfId="0" applyFont="1" applyFill="1" applyBorder="1" applyAlignment="1" applyProtection="1">
      <alignment horizontal="left" vertical="top" wrapText="1"/>
    </xf>
    <xf numFmtId="0" fontId="17" fillId="0" borderId="4"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5" fillId="0" borderId="1"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24" fillId="5" borderId="7" xfId="0" applyFont="1" applyFill="1" applyBorder="1" applyAlignment="1" applyProtection="1">
      <alignment horizontal="center" vertical="center"/>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11" fillId="23" borderId="7" xfId="0" applyFont="1" applyFill="1" applyBorder="1" applyAlignment="1" applyProtection="1">
      <alignment horizontal="left" vertical="top"/>
    </xf>
    <xf numFmtId="0" fontId="11" fillId="23" borderId="5" xfId="0" applyFont="1" applyFill="1" applyBorder="1" applyAlignment="1" applyProtection="1">
      <alignment horizontal="left" vertical="top"/>
    </xf>
    <xf numFmtId="0" fontId="11" fillId="21" borderId="5" xfId="0" applyFont="1" applyFill="1" applyBorder="1" applyAlignment="1" applyProtection="1">
      <alignment horizontal="left" vertical="top"/>
    </xf>
    <xf numFmtId="0" fontId="11" fillId="21" borderId="6" xfId="0" applyFont="1" applyFill="1" applyBorder="1" applyAlignment="1" applyProtection="1">
      <alignment horizontal="left" vertical="top"/>
    </xf>
    <xf numFmtId="0" fontId="11" fillId="22" borderId="1" xfId="0" applyFont="1" applyFill="1" applyBorder="1" applyAlignment="1" applyProtection="1">
      <alignment horizontal="left" vertical="top"/>
    </xf>
    <xf numFmtId="0" fontId="11" fillId="21" borderId="5" xfId="0" applyFont="1" applyFill="1" applyBorder="1" applyAlignment="1" applyProtection="1">
      <alignment horizontal="left" vertical="top" wrapText="1"/>
    </xf>
    <xf numFmtId="0" fontId="11" fillId="21" borderId="6" xfId="0" applyFont="1" applyFill="1" applyBorder="1" applyAlignment="1" applyProtection="1">
      <alignment horizontal="left" vertical="top" wrapText="1"/>
    </xf>
    <xf numFmtId="0" fontId="4" fillId="0" borderId="4"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7" borderId="16" xfId="0" applyFont="1" applyFill="1" applyBorder="1" applyAlignment="1" applyProtection="1">
      <alignment horizontal="center" vertical="top" wrapText="1"/>
    </xf>
    <xf numFmtId="0" fontId="5" fillId="17" borderId="17" xfId="0" applyFont="1" applyFill="1" applyBorder="1" applyAlignment="1" applyProtection="1">
      <alignment horizontal="center" vertical="top" wrapText="1"/>
    </xf>
    <xf numFmtId="0" fontId="29" fillId="0" borderId="18" xfId="0" applyFont="1" applyBorder="1" applyAlignment="1" applyProtection="1">
      <alignment horizontal="left" vertical="top" wrapText="1"/>
    </xf>
    <xf numFmtId="0" fontId="29" fillId="0" borderId="19" xfId="0" applyFont="1" applyBorder="1" applyAlignment="1" applyProtection="1">
      <alignment horizontal="left" vertical="top" wrapText="1"/>
    </xf>
    <xf numFmtId="0" fontId="28" fillId="0" borderId="20"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27" xfId="0" applyFont="1" applyBorder="1" applyAlignment="1" applyProtection="1">
      <alignment horizontal="left" vertical="top" wrapText="1"/>
    </xf>
    <xf numFmtId="0" fontId="4" fillId="0" borderId="26" xfId="0" applyFont="1" applyBorder="1" applyAlignment="1" applyProtection="1">
      <alignment horizontal="center" vertical="top" wrapText="1"/>
    </xf>
    <xf numFmtId="0" fontId="11" fillId="26" borderId="1" xfId="0" applyFont="1" applyFill="1" applyBorder="1" applyAlignment="1" applyProtection="1">
      <alignment horizontal="left" vertical="center" wrapText="1"/>
    </xf>
    <xf numFmtId="0" fontId="5" fillId="15" borderId="1" xfId="2" applyFont="1" applyFill="1" applyBorder="1" applyAlignment="1" applyProtection="1">
      <alignment horizontal="right" vertical="center" wrapText="1"/>
    </xf>
    <xf numFmtId="0" fontId="4" fillId="0" borderId="1" xfId="2" applyFont="1" applyBorder="1" applyAlignment="1" applyProtection="1">
      <alignment horizontal="center" vertical="center"/>
    </xf>
    <xf numFmtId="0" fontId="4" fillId="0" borderId="1" xfId="0" applyFont="1" applyBorder="1" applyAlignment="1" applyProtection="1">
      <alignment horizontal="left" vertical="center" wrapText="1"/>
    </xf>
    <xf numFmtId="0" fontId="24" fillId="6" borderId="1" xfId="0" applyFont="1" applyFill="1" applyBorder="1" applyAlignment="1" applyProtection="1">
      <alignment horizontal="center" vertical="center"/>
    </xf>
    <xf numFmtId="2" fontId="4" fillId="0" borderId="1" xfId="0" applyNumberFormat="1" applyFont="1" applyBorder="1" applyAlignment="1">
      <alignment horizontal="center"/>
    </xf>
    <xf numFmtId="0" fontId="0" fillId="0" borderId="1" xfId="0" applyBorder="1" applyAlignment="1">
      <alignment horizontal="center"/>
    </xf>
    <xf numFmtId="0" fontId="41" fillId="0" borderId="28" xfId="0" applyFont="1" applyBorder="1" applyAlignment="1">
      <alignment horizontal="center" vertical="top" wrapText="1"/>
    </xf>
    <xf numFmtId="0" fontId="41" fillId="0" borderId="29" xfId="0" applyFont="1" applyBorder="1" applyAlignment="1">
      <alignment horizontal="center" vertical="top" wrapText="1"/>
    </xf>
    <xf numFmtId="0" fontId="41" fillId="0" borderId="30" xfId="0" applyFont="1" applyBorder="1" applyAlignment="1">
      <alignment horizontal="center" vertical="top" wrapText="1"/>
    </xf>
    <xf numFmtId="0" fontId="5" fillId="28" borderId="7" xfId="0" applyFont="1" applyFill="1" applyBorder="1" applyAlignment="1">
      <alignment horizontal="left" vertical="center"/>
    </xf>
    <xf numFmtId="0" fontId="5" fillId="28" borderId="6" xfId="0" applyFont="1" applyFill="1" applyBorder="1" applyAlignment="1">
      <alignment horizontal="left" vertical="center"/>
    </xf>
    <xf numFmtId="0" fontId="4" fillId="0" borderId="1" xfId="0" applyFont="1" applyBorder="1" applyAlignment="1">
      <alignment horizontal="center" vertical="center" wrapText="1"/>
    </xf>
    <xf numFmtId="0" fontId="5" fillId="28" borderId="1" xfId="0" applyFont="1" applyFill="1" applyBorder="1" applyAlignment="1">
      <alignment horizontal="center" vertical="center"/>
    </xf>
    <xf numFmtId="0" fontId="10" fillId="27" borderId="1" xfId="0" applyFont="1" applyFill="1" applyBorder="1" applyAlignment="1">
      <alignment horizontal="left" vertical="center"/>
    </xf>
    <xf numFmtId="0" fontId="10" fillId="27" borderId="1"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9" fillId="2" borderId="1" xfId="0" applyFont="1" applyFill="1" applyBorder="1" applyAlignment="1">
      <alignment horizontal="center" vertical="center" wrapText="1"/>
    </xf>
    <xf numFmtId="2"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12" fillId="0" borderId="1" xfId="0" applyFont="1" applyBorder="1" applyAlignment="1">
      <alignment horizontal="center" vertical="center" wrapText="1"/>
    </xf>
    <xf numFmtId="0" fontId="41" fillId="0" borderId="24" xfId="0" applyFont="1" applyBorder="1" applyAlignment="1">
      <alignment horizontal="center" vertical="top" wrapText="1"/>
    </xf>
    <xf numFmtId="0" fontId="41" fillId="0" borderId="0" xfId="0" applyFont="1" applyBorder="1" applyAlignment="1">
      <alignment horizontal="center" vertical="top" wrapText="1"/>
    </xf>
    <xf numFmtId="0" fontId="41" fillId="0" borderId="35" xfId="0" applyFont="1" applyBorder="1" applyAlignment="1">
      <alignment horizontal="center" vertical="top" wrapText="1"/>
    </xf>
    <xf numFmtId="0" fontId="43" fillId="0" borderId="31" xfId="0" applyFont="1" applyBorder="1" applyAlignment="1">
      <alignment horizontal="left" vertical="top" wrapText="1"/>
    </xf>
    <xf numFmtId="0" fontId="46" fillId="0" borderId="32" xfId="0" applyFont="1" applyBorder="1" applyAlignment="1">
      <alignment horizontal="left" vertical="top" wrapText="1"/>
    </xf>
    <xf numFmtId="0" fontId="46" fillId="0" borderId="33" xfId="0" applyFont="1" applyBorder="1" applyAlignment="1">
      <alignment horizontal="left" vertical="top" wrapText="1"/>
    </xf>
    <xf numFmtId="2" fontId="4" fillId="34" borderId="1" xfId="4" applyNumberFormat="1" applyFont="1" applyBorder="1" applyAlignment="1" applyProtection="1">
      <alignment horizontal="center" vertical="center"/>
      <protection locked="0"/>
    </xf>
    <xf numFmtId="2"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2" fontId="4" fillId="0" borderId="1" xfId="0" applyNumberFormat="1" applyFont="1" applyBorder="1" applyAlignment="1">
      <alignment horizontal="center" vertical="center" wrapText="1"/>
    </xf>
    <xf numFmtId="2" fontId="12" fillId="0" borderId="7" xfId="0" applyNumberFormat="1" applyFont="1" applyBorder="1" applyAlignment="1">
      <alignment horizontal="center" vertical="center"/>
    </xf>
    <xf numFmtId="2" fontId="12" fillId="0" borderId="5"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1" fillId="0" borderId="1" xfId="0" applyNumberFormat="1" applyFont="1" applyBorder="1" applyAlignment="1">
      <alignment horizontal="center" vertical="center"/>
    </xf>
    <xf numFmtId="166" fontId="12" fillId="0" borderId="1" xfId="0" applyNumberFormat="1" applyFont="1" applyBorder="1" applyAlignment="1">
      <alignment horizontal="center" vertical="center"/>
    </xf>
    <xf numFmtId="2" fontId="10" fillId="27" borderId="1" xfId="0" applyNumberFormat="1" applyFont="1" applyFill="1" applyBorder="1" applyAlignment="1">
      <alignment horizontal="center" vertical="center" wrapText="1"/>
    </xf>
    <xf numFmtId="2" fontId="5" fillId="28" borderId="1" xfId="0" applyNumberFormat="1" applyFont="1" applyFill="1" applyBorder="1" applyAlignment="1">
      <alignment horizontal="center" vertical="center"/>
    </xf>
    <xf numFmtId="2" fontId="12" fillId="0" borderId="1" xfId="0" applyNumberFormat="1" applyFont="1" applyBorder="1" applyAlignment="1">
      <alignment horizontal="center" vertical="center" wrapText="1"/>
    </xf>
    <xf numFmtId="0" fontId="12" fillId="0" borderId="7" xfId="0" applyFont="1" applyBorder="1" applyAlignment="1">
      <alignment horizontal="center" vertical="center"/>
    </xf>
    <xf numFmtId="0" fontId="12" fillId="0" borderId="6" xfId="0" applyFont="1" applyBorder="1" applyAlignment="1">
      <alignment horizontal="center"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0"/>
  <tableStyles count="0" defaultTableStyle="TableStyleMedium2" defaultPivotStyle="PivotStyleLight16"/>
  <colors>
    <mruColors>
      <color rgb="FF0A0064"/>
      <color rgb="FF9966FF"/>
      <color rgb="FFCCCCFF"/>
      <color rgb="FF9933FF"/>
      <color rgb="FFFFFFCC"/>
      <color rgb="FFFFFF99"/>
      <color rgb="FFFFFF66"/>
      <color rgb="FF66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349154</xdr:rowOff>
    </xdr:from>
    <xdr:ext cx="6191247" cy="342786"/>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2684775" y="831007"/>
          <a:ext cx="619124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Scoresheet!</a:t>
          </a:r>
          <a:endParaRPr lang="en-SG" sz="1600" b="1">
            <a:solidFill>
              <a:srgbClr val="7030A0"/>
            </a:solidFill>
          </a:endParaRPr>
        </a:p>
      </xdr:txBody>
    </xdr:sp>
    <xdr:clientData/>
  </xdr:oneCellAnchor>
  <xdr:twoCellAnchor>
    <xdr:from>
      <xdr:col>1</xdr:col>
      <xdr:colOff>381000</xdr:colOff>
      <xdr:row>2</xdr:row>
      <xdr:rowOff>520547</xdr:rowOff>
    </xdr:from>
    <xdr:to>
      <xdr:col>1</xdr:col>
      <xdr:colOff>2135687</xdr:colOff>
      <xdr:row>2</xdr:row>
      <xdr:rowOff>520547</xdr:rowOff>
    </xdr:to>
    <xdr:cxnSp macro="">
      <xdr:nvCxnSpPr>
        <xdr:cNvPr id="2" name="Straight Arrow Connector 3">
          <a:extLst>
            <a:ext uri="{FF2B5EF4-FFF2-40B4-BE49-F238E27FC236}">
              <a16:creationId xmlns:a16="http://schemas.microsoft.com/office/drawing/2014/main" id="{00000000-0008-0000-0700-000002000000}"/>
            </a:ext>
          </a:extLst>
        </xdr:cNvPr>
        <xdr:cNvCxnSpPr>
          <a:stCxn id="3" idx="1"/>
        </xdr:cNvCxnSpPr>
      </xdr:nvCxnSpPr>
      <xdr:spPr>
        <a:xfrm flipH="1">
          <a:off x="933450" y="996797"/>
          <a:ext cx="1754687" cy="0"/>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57150</xdr:rowOff>
        </xdr:from>
        <xdr:to>
          <xdr:col>1</xdr:col>
          <xdr:colOff>342900</xdr:colOff>
          <xdr:row>2</xdr:row>
          <xdr:rowOff>1047750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EN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EN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0. General"/>
      <sheetName val="1. Arch Ext"/>
      <sheetName val="2. Arch Int"/>
      <sheetName val="3. Mech"/>
      <sheetName val="4. Elect"/>
      <sheetName val="5. Landscape"/>
      <sheetName val="6. Innovative Solutions"/>
      <sheetName val="7. BMS"/>
      <sheetName val="8. FMS"/>
    </sheetNames>
    <sheetDataSet>
      <sheetData sheetId="0" refreshError="1">
        <row r="6">
          <cell r="E6">
            <v>8.5</v>
          </cell>
          <cell r="F6">
            <v>0</v>
          </cell>
          <cell r="L6">
            <v>10.5</v>
          </cell>
          <cell r="M6">
            <v>0</v>
          </cell>
        </row>
        <row r="7">
          <cell r="B7" t="str">
            <v>General Project Requirement</v>
          </cell>
          <cell r="E7">
            <v>8.5</v>
          </cell>
          <cell r="F7">
            <v>0</v>
          </cell>
          <cell r="I7" t="str">
            <v>Softscape</v>
          </cell>
          <cell r="L7">
            <v>2</v>
          </cell>
          <cell r="M7">
            <v>0</v>
          </cell>
        </row>
        <row r="8">
          <cell r="E8">
            <v>14.5</v>
          </cell>
          <cell r="F8">
            <v>0</v>
          </cell>
          <cell r="I8" t="str">
            <v>Hardscape</v>
          </cell>
          <cell r="L8">
            <v>2.5</v>
          </cell>
          <cell r="M8">
            <v>0</v>
          </cell>
        </row>
        <row r="9">
          <cell r="A9" t="str">
            <v>Part A - General Façade</v>
          </cell>
          <cell r="E9">
            <v>2</v>
          </cell>
          <cell r="F9">
            <v>0</v>
          </cell>
          <cell r="I9" t="str">
            <v>Vertical Greenery</v>
          </cell>
          <cell r="L9">
            <v>0.5</v>
          </cell>
          <cell r="M9">
            <v>0</v>
          </cell>
        </row>
        <row r="10">
          <cell r="B10" t="str">
            <v>General Façade</v>
          </cell>
          <cell r="E10">
            <v>2</v>
          </cell>
          <cell r="F10">
            <v>0</v>
          </cell>
          <cell r="I10" t="str">
            <v>Roof, Sky Terraces, Planter boxes on building edge/façade</v>
          </cell>
          <cell r="L10">
            <v>3</v>
          </cell>
          <cell r="M10">
            <v>0</v>
          </cell>
        </row>
        <row r="11">
          <cell r="A11" t="str">
            <v>Part B - Façade System</v>
          </cell>
          <cell r="E11">
            <v>4</v>
          </cell>
          <cell r="F11">
            <v>0</v>
          </cell>
          <cell r="I11" t="str">
            <v>Standalone Structures</v>
          </cell>
          <cell r="L11">
            <v>2.5</v>
          </cell>
          <cell r="M11">
            <v>0</v>
          </cell>
        </row>
        <row r="12">
          <cell r="B12" t="str">
            <v>Cladding system: Tile/ Stone/ Metal/ Others</v>
          </cell>
          <cell r="E12">
            <v>4</v>
          </cell>
          <cell r="F12">
            <v>0</v>
          </cell>
          <cell r="L12">
            <v>11</v>
          </cell>
          <cell r="M12">
            <v>0</v>
          </cell>
        </row>
        <row r="13">
          <cell r="B13" t="str">
            <v>Curtain Wall: Glazing/ Others</v>
          </cell>
          <cell r="I13" t="str">
            <v>Cybersecurity</v>
          </cell>
          <cell r="L13">
            <v>1</v>
          </cell>
          <cell r="M13">
            <v>0</v>
          </cell>
        </row>
        <row r="14">
          <cell r="B14" t="str">
            <v>Masonry and Lightweight Concrete Panels</v>
          </cell>
          <cell r="I14" t="str">
            <v>Adoption of Smart FM solutions</v>
          </cell>
          <cell r="L14">
            <v>10</v>
          </cell>
          <cell r="M14">
            <v>0</v>
          </cell>
        </row>
        <row r="15">
          <cell r="A15" t="str">
            <v>Part C - Others</v>
          </cell>
          <cell r="E15">
            <v>8.5</v>
          </cell>
          <cell r="F15">
            <v>0</v>
          </cell>
          <cell r="L15">
            <v>10.5</v>
          </cell>
          <cell r="M15">
            <v>0</v>
          </cell>
        </row>
        <row r="16">
          <cell r="B16" t="str">
            <v>Façade Features/ considerations</v>
          </cell>
          <cell r="E16">
            <v>3.5</v>
          </cell>
          <cell r="F16">
            <v>0</v>
          </cell>
          <cell r="I16" t="str">
            <v>Central Computer</v>
          </cell>
          <cell r="L16">
            <v>2</v>
          </cell>
          <cell r="M16">
            <v>0</v>
          </cell>
        </row>
        <row r="17">
          <cell r="B17" t="str">
            <v>Entrance lobby</v>
          </cell>
          <cell r="E17">
            <v>3</v>
          </cell>
          <cell r="F17">
            <v>0</v>
          </cell>
          <cell r="I17" t="str">
            <v>Software Integration</v>
          </cell>
          <cell r="L17">
            <v>4</v>
          </cell>
          <cell r="M17">
            <v>0</v>
          </cell>
        </row>
        <row r="18">
          <cell r="B18" t="str">
            <v>Roof</v>
          </cell>
          <cell r="E18">
            <v>2</v>
          </cell>
          <cell r="F18">
            <v>0</v>
          </cell>
          <cell r="I18" t="str">
            <v>Controllers</v>
          </cell>
          <cell r="L18">
            <v>2.5</v>
          </cell>
          <cell r="M18">
            <v>0</v>
          </cell>
        </row>
        <row r="19">
          <cell r="E19">
            <v>19</v>
          </cell>
          <cell r="F19">
            <v>0</v>
          </cell>
          <cell r="I19" t="str">
            <v>Integration with M&amp;E systems</v>
          </cell>
          <cell r="L19">
            <v>2</v>
          </cell>
          <cell r="M19">
            <v>0</v>
          </cell>
        </row>
        <row r="20">
          <cell r="B20" t="str">
            <v>Floors</v>
          </cell>
          <cell r="E20">
            <v>2.5</v>
          </cell>
          <cell r="F20">
            <v>0</v>
          </cell>
          <cell r="L20">
            <v>12.5</v>
          </cell>
          <cell r="M20">
            <v>0</v>
          </cell>
        </row>
        <row r="21">
          <cell r="B21" t="str">
            <v>Walls and Partitions</v>
          </cell>
          <cell r="E21">
            <v>1</v>
          </cell>
          <cell r="F21">
            <v>0</v>
          </cell>
          <cell r="H21" t="str">
            <v>Part A - Asset Management</v>
          </cell>
          <cell r="L21">
            <v>3</v>
          </cell>
          <cell r="M21">
            <v>0</v>
          </cell>
        </row>
        <row r="22">
          <cell r="B22" t="str">
            <v>Ceiling</v>
          </cell>
          <cell r="E22">
            <v>4.5</v>
          </cell>
          <cell r="F22">
            <v>0</v>
          </cell>
          <cell r="I22" t="str">
            <v>Failure Analysis</v>
          </cell>
          <cell r="L22">
            <v>1.5</v>
          </cell>
          <cell r="M22">
            <v>0</v>
          </cell>
        </row>
        <row r="23">
          <cell r="B23" t="str">
            <v>Wet Rooms and Storage</v>
          </cell>
          <cell r="E23">
            <v>8</v>
          </cell>
          <cell r="F23">
            <v>0</v>
          </cell>
          <cell r="I23" t="str">
            <v>Life Cycle Management</v>
          </cell>
          <cell r="L23">
            <v>1.5</v>
          </cell>
          <cell r="M23">
            <v>0</v>
          </cell>
        </row>
        <row r="24">
          <cell r="B24" t="str">
            <v>Basements</v>
          </cell>
          <cell r="E24">
            <v>1</v>
          </cell>
          <cell r="F24">
            <v>0</v>
          </cell>
          <cell r="H24" t="str">
            <v>Part B - Operations Management and Supply Chain Management</v>
          </cell>
          <cell r="L24">
            <v>9.5</v>
          </cell>
          <cell r="M24">
            <v>0</v>
          </cell>
        </row>
        <row r="25">
          <cell r="B25" t="str">
            <v>Loading Bay/ Back of House Service Areas</v>
          </cell>
          <cell r="E25">
            <v>2</v>
          </cell>
          <cell r="F25">
            <v>0</v>
          </cell>
          <cell r="I25" t="str">
            <v>Service Management</v>
          </cell>
          <cell r="L25">
            <v>2.5</v>
          </cell>
          <cell r="M25">
            <v>0</v>
          </cell>
        </row>
        <row r="26">
          <cell r="E26">
            <v>26.5</v>
          </cell>
          <cell r="F26">
            <v>0</v>
          </cell>
          <cell r="I26" t="str">
            <v>Maintenance Management</v>
          </cell>
          <cell r="L26">
            <v>1.5</v>
          </cell>
          <cell r="M26">
            <v>0</v>
          </cell>
        </row>
        <row r="27">
          <cell r="A27" t="str">
            <v>Part A - Cooling Systems</v>
          </cell>
          <cell r="E27">
            <v>13.5</v>
          </cell>
          <cell r="F27">
            <v>0</v>
          </cell>
          <cell r="I27" t="str">
            <v>Other General Services</v>
          </cell>
          <cell r="L27">
            <v>1</v>
          </cell>
          <cell r="M27">
            <v>0</v>
          </cell>
        </row>
        <row r="28">
          <cell r="B28" t="str">
            <v>Chiller Plant</v>
          </cell>
          <cell r="E28">
            <v>13.5</v>
          </cell>
          <cell r="F28">
            <v>0</v>
          </cell>
          <cell r="I28" t="str">
            <v>Supply Chain Management</v>
          </cell>
          <cell r="L28">
            <v>4.5</v>
          </cell>
          <cell r="M28">
            <v>0</v>
          </cell>
        </row>
        <row r="29">
          <cell r="B29" t="str">
            <v>VRF</v>
          </cell>
          <cell r="E29">
            <v>1.5</v>
          </cell>
          <cell r="F29">
            <v>0</v>
          </cell>
        </row>
        <row r="30">
          <cell r="A30" t="str">
            <v>Part B - Other systems</v>
          </cell>
          <cell r="E30">
            <v>13</v>
          </cell>
          <cell r="F30">
            <v>0</v>
          </cell>
          <cell r="L30">
            <v>2</v>
          </cell>
          <cell r="M30">
            <v>0</v>
          </cell>
        </row>
        <row r="31">
          <cell r="B31" t="str">
            <v>Air Distribution System</v>
          </cell>
          <cell r="E31">
            <v>8</v>
          </cell>
          <cell r="F31">
            <v>0</v>
          </cell>
          <cell r="L31">
            <v>1</v>
          </cell>
          <cell r="M31">
            <v>0</v>
          </cell>
        </row>
        <row r="32">
          <cell r="B32" t="str">
            <v>Domestic Water Supply</v>
          </cell>
          <cell r="E32">
            <v>0.5</v>
          </cell>
          <cell r="F32">
            <v>0</v>
          </cell>
        </row>
        <row r="33">
          <cell r="B33" t="str">
            <v>Sanitary System</v>
          </cell>
          <cell r="E33">
            <v>1.5</v>
          </cell>
          <cell r="F33">
            <v>0</v>
          </cell>
        </row>
        <row r="34">
          <cell r="B34" t="str">
            <v>Fire Protection System</v>
          </cell>
          <cell r="E34">
            <v>3</v>
          </cell>
          <cell r="F34">
            <v>0</v>
          </cell>
        </row>
        <row r="35">
          <cell r="E35">
            <v>11</v>
          </cell>
          <cell r="F35">
            <v>0</v>
          </cell>
        </row>
        <row r="36">
          <cell r="B36" t="str">
            <v>Lighting System</v>
          </cell>
          <cell r="E36">
            <v>2.5</v>
          </cell>
          <cell r="F36">
            <v>0</v>
          </cell>
          <cell r="K36">
            <v>0</v>
          </cell>
          <cell r="N36">
            <v>0</v>
          </cell>
        </row>
        <row r="37">
          <cell r="B37" t="str">
            <v>Power Distribution System</v>
          </cell>
          <cell r="E37">
            <v>2.5</v>
          </cell>
          <cell r="F37">
            <v>0</v>
          </cell>
          <cell r="K37">
            <v>124</v>
          </cell>
        </row>
        <row r="38">
          <cell r="B38" t="str">
            <v>Extra Low Voltage System</v>
          </cell>
          <cell r="E38">
            <v>3.5</v>
          </cell>
          <cell r="F38">
            <v>0</v>
          </cell>
          <cell r="K38">
            <v>0</v>
          </cell>
        </row>
        <row r="39">
          <cell r="B39" t="str">
            <v>Lightning Protection System</v>
          </cell>
          <cell r="E39">
            <v>1</v>
          </cell>
          <cell r="F39">
            <v>0</v>
          </cell>
          <cell r="K39">
            <v>0</v>
          </cell>
          <cell r="M39">
            <v>0</v>
          </cell>
        </row>
        <row r="40">
          <cell r="B40" t="str">
            <v>Vertical Transportation System</v>
          </cell>
          <cell r="E40">
            <v>1.5</v>
          </cell>
          <cell r="F40">
            <v>0</v>
          </cell>
        </row>
        <row r="43">
          <cell r="M43">
            <v>0</v>
          </cell>
        </row>
        <row r="45">
          <cell r="M45" t="str">
            <v/>
          </cell>
        </row>
        <row r="49">
          <cell r="M49"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ainability Score Summary"/>
      <sheetName val="0. General"/>
      <sheetName val="1. Arch Ext"/>
      <sheetName val="2. Arch Int"/>
      <sheetName val="3. Mech"/>
      <sheetName val="4. Elect"/>
      <sheetName val="5. Landscape"/>
      <sheetName val="6. Innovative Solutions"/>
      <sheetName val="7. BMS"/>
      <sheetName val="8. FMS"/>
    </sheetNames>
    <sheetDataSet>
      <sheetData sheetId="0">
        <row r="6">
          <cell r="F6">
            <v>0</v>
          </cell>
          <cell r="M6">
            <v>0</v>
          </cell>
        </row>
        <row r="7">
          <cell r="F7">
            <v>0</v>
          </cell>
          <cell r="M7">
            <v>0</v>
          </cell>
        </row>
        <row r="8">
          <cell r="F8">
            <v>0</v>
          </cell>
          <cell r="M8">
            <v>0</v>
          </cell>
        </row>
        <row r="9">
          <cell r="F9">
            <v>0</v>
          </cell>
          <cell r="M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cell r="M17">
            <v>0</v>
          </cell>
        </row>
        <row r="18">
          <cell r="F18">
            <v>0</v>
          </cell>
          <cell r="M18">
            <v>0</v>
          </cell>
        </row>
        <row r="19">
          <cell r="F19">
            <v>0</v>
          </cell>
          <cell r="M19">
            <v>0</v>
          </cell>
        </row>
        <row r="20">
          <cell r="F20">
            <v>0</v>
          </cell>
          <cell r="M20">
            <v>0</v>
          </cell>
        </row>
        <row r="21">
          <cell r="F21">
            <v>0</v>
          </cell>
          <cell r="M21">
            <v>0</v>
          </cell>
        </row>
        <row r="22">
          <cell r="F22">
            <v>0</v>
          </cell>
          <cell r="M22">
            <v>0</v>
          </cell>
        </row>
        <row r="23">
          <cell r="F23">
            <v>0</v>
          </cell>
          <cell r="M23">
            <v>0</v>
          </cell>
        </row>
        <row r="24">
          <cell r="F24">
            <v>0</v>
          </cell>
          <cell r="M24">
            <v>0</v>
          </cell>
        </row>
        <row r="25">
          <cell r="F25">
            <v>0</v>
          </cell>
          <cell r="M25">
            <v>0</v>
          </cell>
        </row>
        <row r="26">
          <cell r="F26">
            <v>0</v>
          </cell>
          <cell r="M26">
            <v>0</v>
          </cell>
        </row>
        <row r="27">
          <cell r="F27">
            <v>0</v>
          </cell>
          <cell r="M27">
            <v>0</v>
          </cell>
        </row>
        <row r="28">
          <cell r="F28">
            <v>0</v>
          </cell>
          <cell r="M28">
            <v>0</v>
          </cell>
        </row>
        <row r="29">
          <cell r="F29">
            <v>0</v>
          </cell>
        </row>
        <row r="30">
          <cell r="F30">
            <v>0</v>
          </cell>
          <cell r="M30">
            <v>0</v>
          </cell>
        </row>
        <row r="31">
          <cell r="F31">
            <v>0</v>
          </cell>
          <cell r="M31">
            <v>0</v>
          </cell>
        </row>
        <row r="32">
          <cell r="F32">
            <v>0</v>
          </cell>
        </row>
        <row r="33">
          <cell r="F33">
            <v>0</v>
          </cell>
        </row>
        <row r="34">
          <cell r="F34">
            <v>0</v>
          </cell>
        </row>
        <row r="35">
          <cell r="F35">
            <v>0</v>
          </cell>
        </row>
        <row r="36">
          <cell r="F36">
            <v>0</v>
          </cell>
          <cell r="K36">
            <v>0</v>
          </cell>
          <cell r="N36">
            <v>0</v>
          </cell>
        </row>
        <row r="37">
          <cell r="F37">
            <v>0</v>
          </cell>
        </row>
        <row r="38">
          <cell r="F38">
            <v>0</v>
          </cell>
          <cell r="K38">
            <v>0</v>
          </cell>
        </row>
        <row r="39">
          <cell r="F39">
            <v>0</v>
          </cell>
          <cell r="K39">
            <v>0</v>
          </cell>
          <cell r="M39">
            <v>0</v>
          </cell>
        </row>
        <row r="40">
          <cell r="F40">
            <v>0</v>
          </cell>
        </row>
        <row r="43">
          <cell r="M43">
            <v>0</v>
          </cell>
        </row>
        <row r="49">
          <cell r="M49"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zoomScaleNormal="100" workbookViewId="0">
      <selection activeCell="A5" sqref="A5"/>
    </sheetView>
  </sheetViews>
  <sheetFormatPr defaultColWidth="8.85546875" defaultRowHeight="15" x14ac:dyDescent="0.25"/>
  <cols>
    <col min="1" max="1" width="33.85546875" style="307" customWidth="1"/>
    <col min="2" max="2" width="11.85546875" style="279" customWidth="1"/>
    <col min="3" max="3" width="63" style="279" customWidth="1"/>
    <col min="4" max="6" width="8.85546875" style="279"/>
    <col min="7" max="7" width="63" style="305" hidden="1" customWidth="1"/>
    <col min="8" max="16384" width="8.85546875" style="279"/>
  </cols>
  <sheetData>
    <row r="2" spans="1:7" s="303" customFormat="1" ht="20.25" x14ac:dyDescent="0.3">
      <c r="A2" s="349"/>
      <c r="B2" s="349"/>
      <c r="C2" s="349"/>
    </row>
    <row r="3" spans="1:7" s="303" customFormat="1" ht="20.25" x14ac:dyDescent="0.3">
      <c r="A3" s="263"/>
      <c r="B3" s="264"/>
      <c r="C3" s="265"/>
    </row>
    <row r="4" spans="1:7" s="303" customFormat="1" ht="20.25" x14ac:dyDescent="0.3">
      <c r="A4" s="263" t="s">
        <v>515</v>
      </c>
      <c r="B4" s="264"/>
      <c r="C4" s="265"/>
    </row>
    <row r="5" spans="1:7" s="303" customFormat="1" ht="20.25" x14ac:dyDescent="0.3">
      <c r="A5" s="263"/>
      <c r="B5" s="264"/>
      <c r="C5" s="265"/>
    </row>
    <row r="6" spans="1:7" s="303" customFormat="1" ht="31.5" customHeight="1" x14ac:dyDescent="0.3">
      <c r="A6" s="266"/>
      <c r="B6" s="267"/>
      <c r="C6" s="268"/>
    </row>
    <row r="7" spans="1:7" ht="20.100000000000001" customHeight="1" x14ac:dyDescent="0.25">
      <c r="A7" s="350" t="s">
        <v>0</v>
      </c>
      <c r="B7" s="350"/>
      <c r="C7" s="350"/>
      <c r="G7" s="304" t="s">
        <v>1</v>
      </c>
    </row>
    <row r="8" spans="1:7" ht="20.100000000000001" customHeight="1" x14ac:dyDescent="0.25">
      <c r="A8" s="348" t="s">
        <v>2</v>
      </c>
      <c r="B8" s="348"/>
      <c r="C8" s="271"/>
    </row>
    <row r="9" spans="1:7" ht="20.100000000000001" customHeight="1" x14ac:dyDescent="0.25">
      <c r="A9" s="348" t="s">
        <v>3</v>
      </c>
      <c r="B9" s="348"/>
      <c r="C9" s="271"/>
    </row>
    <row r="10" spans="1:7" ht="20.100000000000001" customHeight="1" x14ac:dyDescent="0.25">
      <c r="A10" s="348" t="s">
        <v>4</v>
      </c>
      <c r="B10" s="348"/>
      <c r="C10" s="271"/>
      <c r="G10" s="306" t="s">
        <v>5</v>
      </c>
    </row>
    <row r="11" spans="1:7" ht="20.100000000000001" customHeight="1" x14ac:dyDescent="0.25">
      <c r="A11" s="348" t="s">
        <v>6</v>
      </c>
      <c r="B11" s="348"/>
      <c r="C11" s="272"/>
      <c r="G11" s="306"/>
    </row>
    <row r="12" spans="1:7" ht="20.100000000000001" customHeight="1" x14ac:dyDescent="0.25">
      <c r="A12" s="348" t="s">
        <v>7</v>
      </c>
      <c r="B12" s="348"/>
      <c r="C12" s="272"/>
      <c r="G12" s="306"/>
    </row>
    <row r="13" spans="1:7" ht="20.100000000000001" customHeight="1" x14ac:dyDescent="0.25">
      <c r="A13" s="348" t="s">
        <v>8</v>
      </c>
      <c r="B13" s="348"/>
      <c r="C13" s="272"/>
      <c r="G13" s="306"/>
    </row>
    <row r="14" spans="1:7" ht="20.100000000000001" customHeight="1" x14ac:dyDescent="0.25">
      <c r="A14" s="351"/>
      <c r="B14" s="351"/>
      <c r="C14" s="269"/>
      <c r="G14" s="306"/>
    </row>
    <row r="15" spans="1:7" ht="20.100000000000001" customHeight="1" x14ac:dyDescent="0.25">
      <c r="A15" s="351" t="s">
        <v>9</v>
      </c>
      <c r="B15" s="351"/>
      <c r="C15" s="270"/>
      <c r="G15" s="306"/>
    </row>
    <row r="16" spans="1:7" ht="20.100000000000001" customHeight="1" x14ac:dyDescent="0.25">
      <c r="A16" s="348" t="s">
        <v>10</v>
      </c>
      <c r="B16" s="348"/>
      <c r="C16" s="273"/>
      <c r="G16" s="306" t="s">
        <v>11</v>
      </c>
    </row>
    <row r="17" spans="1:3" ht="20.100000000000001" customHeight="1" x14ac:dyDescent="0.25">
      <c r="A17" s="348" t="s">
        <v>12</v>
      </c>
      <c r="B17" s="348"/>
      <c r="C17" s="274"/>
    </row>
    <row r="18" spans="1:3" ht="20.100000000000001" customHeight="1" x14ac:dyDescent="0.25">
      <c r="A18" s="348" t="s">
        <v>13</v>
      </c>
      <c r="B18" s="348"/>
      <c r="C18" s="273"/>
    </row>
    <row r="19" spans="1:3" ht="20.100000000000001" customHeight="1" x14ac:dyDescent="0.25">
      <c r="A19" s="348" t="s">
        <v>14</v>
      </c>
      <c r="B19" s="348"/>
      <c r="C19" s="275"/>
    </row>
    <row r="20" spans="1:3" ht="20.100000000000001" customHeight="1" x14ac:dyDescent="0.25">
      <c r="A20" s="353" t="s">
        <v>15</v>
      </c>
      <c r="B20" s="353"/>
      <c r="C20" s="276"/>
    </row>
    <row r="21" spans="1:3" ht="20.100000000000001" customHeight="1" x14ac:dyDescent="0.25">
      <c r="A21" s="353" t="s">
        <v>16</v>
      </c>
      <c r="B21" s="353"/>
      <c r="C21" s="277"/>
    </row>
    <row r="22" spans="1:3" ht="20.100000000000001" customHeight="1" x14ac:dyDescent="0.25">
      <c r="A22" s="353" t="s">
        <v>17</v>
      </c>
      <c r="B22" s="353"/>
      <c r="C22" s="278"/>
    </row>
    <row r="23" spans="1:3" ht="20.100000000000001" customHeight="1" x14ac:dyDescent="0.25">
      <c r="A23" s="348" t="s">
        <v>18</v>
      </c>
      <c r="B23" s="348"/>
      <c r="C23" s="18"/>
    </row>
    <row r="24" spans="1:3" x14ac:dyDescent="0.25">
      <c r="A24" s="348"/>
      <c r="B24" s="348"/>
      <c r="C24" s="18"/>
    </row>
    <row r="25" spans="1:3" ht="103.5" customHeight="1" x14ac:dyDescent="0.25">
      <c r="A25" s="352" t="s">
        <v>508</v>
      </c>
      <c r="B25" s="352"/>
      <c r="C25" s="343"/>
    </row>
  </sheetData>
  <sheetProtection formatCells="0" selectLockedCells="1"/>
  <mergeCells count="20">
    <mergeCell ref="A24:B24"/>
    <mergeCell ref="A25:B25"/>
    <mergeCell ref="A22:B22"/>
    <mergeCell ref="A23:B23"/>
    <mergeCell ref="A17:B17"/>
    <mergeCell ref="A18:B18"/>
    <mergeCell ref="A19:B19"/>
    <mergeCell ref="A20:B20"/>
    <mergeCell ref="A21:B21"/>
    <mergeCell ref="A16:B16"/>
    <mergeCell ref="A2:C2"/>
    <mergeCell ref="A7:C7"/>
    <mergeCell ref="A8:B8"/>
    <mergeCell ref="A9:B9"/>
    <mergeCell ref="A10:B10"/>
    <mergeCell ref="A11:B11"/>
    <mergeCell ref="A12:B12"/>
    <mergeCell ref="A13:B13"/>
    <mergeCell ref="A14:B14"/>
    <mergeCell ref="A15:B15"/>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85" zoomScaleNormal="85" workbookViewId="0">
      <selection activeCell="A2" sqref="A2"/>
    </sheetView>
  </sheetViews>
  <sheetFormatPr defaultColWidth="9.140625" defaultRowHeight="15" x14ac:dyDescent="0.25"/>
  <cols>
    <col min="1" max="1" width="29.85546875" style="279" customWidth="1"/>
    <col min="2" max="2" width="26.28515625" style="279" customWidth="1"/>
    <col min="3" max="3" width="26.140625" style="279" customWidth="1"/>
    <col min="4" max="4" width="23.5703125" style="279" customWidth="1"/>
    <col min="5" max="16384" width="9.140625" style="279"/>
  </cols>
  <sheetData>
    <row r="1" spans="1:4" ht="31.5" x14ac:dyDescent="0.5">
      <c r="A1" s="250" t="s">
        <v>516</v>
      </c>
      <c r="B1" s="22"/>
      <c r="C1" s="22"/>
      <c r="D1" s="22"/>
    </row>
    <row r="2" spans="1:4" x14ac:dyDescent="0.25">
      <c r="A2" s="93" t="s">
        <v>19</v>
      </c>
    </row>
    <row r="3" spans="1:4" x14ac:dyDescent="0.25">
      <c r="A3" s="93" t="s">
        <v>20</v>
      </c>
    </row>
    <row r="4" spans="1:4" x14ac:dyDescent="0.25">
      <c r="A4" s="93" t="s">
        <v>21</v>
      </c>
    </row>
    <row r="5" spans="1:4" x14ac:dyDescent="0.25">
      <c r="A5" s="22"/>
      <c r="B5" s="22"/>
      <c r="C5" s="22"/>
      <c r="D5" s="22"/>
    </row>
    <row r="6" spans="1:4" ht="31.5" x14ac:dyDescent="0.5">
      <c r="A6" s="22"/>
      <c r="B6" s="354" t="s">
        <v>22</v>
      </c>
      <c r="C6" s="354"/>
      <c r="D6" s="354"/>
    </row>
    <row r="7" spans="1:4" ht="18.75" x14ac:dyDescent="0.3">
      <c r="A7" s="251"/>
      <c r="B7" s="252" t="s">
        <v>23</v>
      </c>
      <c r="C7" s="280" t="s">
        <v>24</v>
      </c>
      <c r="D7" s="280" t="s">
        <v>25</v>
      </c>
    </row>
    <row r="8" spans="1:4" ht="18.75" x14ac:dyDescent="0.3">
      <c r="A8" s="253" t="s">
        <v>26</v>
      </c>
      <c r="B8" s="254">
        <v>15</v>
      </c>
      <c r="C8" s="255">
        <f>'4. Resilience'!F2</f>
        <v>0</v>
      </c>
      <c r="D8" s="342"/>
    </row>
    <row r="9" spans="1:4" ht="18.75" x14ac:dyDescent="0.3">
      <c r="A9" s="256" t="s">
        <v>27</v>
      </c>
      <c r="B9" s="254">
        <v>15</v>
      </c>
      <c r="C9" s="255">
        <f>'5. Whole Life Carbon'!H2</f>
        <v>0</v>
      </c>
      <c r="D9" s="342"/>
    </row>
    <row r="10" spans="1:4" ht="18.75" x14ac:dyDescent="0.3">
      <c r="A10" s="257" t="s">
        <v>28</v>
      </c>
      <c r="B10" s="254">
        <v>15</v>
      </c>
      <c r="C10" s="255">
        <f>'6. Health&amp;Wellbeing'!H2</f>
        <v>0</v>
      </c>
      <c r="D10" s="342"/>
    </row>
    <row r="11" spans="1:4" ht="18.75" x14ac:dyDescent="0.3">
      <c r="A11" s="258" t="s">
        <v>29</v>
      </c>
      <c r="B11" s="254">
        <v>15</v>
      </c>
      <c r="C11" s="255">
        <f>'7. Intelligence'!F2</f>
        <v>0</v>
      </c>
      <c r="D11" s="342"/>
    </row>
    <row r="12" spans="1:4" ht="18.75" x14ac:dyDescent="0.3">
      <c r="A12" s="281" t="s">
        <v>30</v>
      </c>
      <c r="B12" s="254">
        <v>15</v>
      </c>
      <c r="C12" s="262">
        <f>D32</f>
        <v>0</v>
      </c>
      <c r="D12" s="342"/>
    </row>
    <row r="13" spans="1:4" ht="18.75" x14ac:dyDescent="0.3">
      <c r="A13" s="259" t="s">
        <v>31</v>
      </c>
      <c r="B13" s="280">
        <v>75</v>
      </c>
      <c r="C13" s="255">
        <f>SUM(C8:C12)</f>
        <v>0</v>
      </c>
      <c r="D13" s="92"/>
    </row>
    <row r="14" spans="1:4" x14ac:dyDescent="0.25">
      <c r="A14" s="22"/>
      <c r="B14" s="22"/>
      <c r="C14" s="22"/>
      <c r="D14" s="22"/>
    </row>
    <row r="15" spans="1:4" x14ac:dyDescent="0.25">
      <c r="A15" s="22"/>
      <c r="B15" s="22"/>
      <c r="C15" s="22"/>
      <c r="D15" s="22"/>
    </row>
    <row r="16" spans="1:4" x14ac:dyDescent="0.25">
      <c r="A16" s="22"/>
      <c r="B16" s="22"/>
      <c r="C16" s="22"/>
      <c r="D16" s="22"/>
    </row>
    <row r="17" spans="1:4" ht="18.75" x14ac:dyDescent="0.3">
      <c r="A17" s="355" t="s">
        <v>32</v>
      </c>
      <c r="B17" s="355"/>
      <c r="C17" s="280" t="s">
        <v>23</v>
      </c>
      <c r="D17" s="280" t="s">
        <v>24</v>
      </c>
    </row>
    <row r="18" spans="1:4" ht="18.75" x14ac:dyDescent="0.3">
      <c r="A18" s="253" t="s">
        <v>33</v>
      </c>
      <c r="B18" s="253" t="s">
        <v>34</v>
      </c>
      <c r="C18" s="254">
        <v>5</v>
      </c>
      <c r="D18" s="255">
        <f>'4. Resilience'!F3</f>
        <v>0</v>
      </c>
    </row>
    <row r="19" spans="1:4" ht="18.75" x14ac:dyDescent="0.3">
      <c r="A19" s="253" t="s">
        <v>35</v>
      </c>
      <c r="B19" s="253" t="s">
        <v>36</v>
      </c>
      <c r="C19" s="254">
        <v>5</v>
      </c>
      <c r="D19" s="254">
        <f>'4. Resilience'!F28</f>
        <v>0</v>
      </c>
    </row>
    <row r="20" spans="1:4" ht="18.75" x14ac:dyDescent="0.3">
      <c r="A20" s="253" t="s">
        <v>37</v>
      </c>
      <c r="B20" s="253" t="s">
        <v>38</v>
      </c>
      <c r="C20" s="254">
        <v>5</v>
      </c>
      <c r="D20" s="255">
        <f>'4. Resilience'!F54</f>
        <v>0</v>
      </c>
    </row>
    <row r="21" spans="1:4" ht="18.75" x14ac:dyDescent="0.3">
      <c r="A21" s="256" t="s">
        <v>39</v>
      </c>
      <c r="B21" s="256" t="s">
        <v>40</v>
      </c>
      <c r="C21" s="254">
        <v>5</v>
      </c>
      <c r="D21" s="254">
        <f>'5. Whole Life Carbon'!H3</f>
        <v>0</v>
      </c>
    </row>
    <row r="22" spans="1:4" ht="18.75" x14ac:dyDescent="0.3">
      <c r="A22" s="256" t="s">
        <v>41</v>
      </c>
      <c r="B22" s="256" t="s">
        <v>42</v>
      </c>
      <c r="C22" s="254">
        <v>5</v>
      </c>
      <c r="D22" s="254">
        <f>'5. Whole Life Carbon'!H29</f>
        <v>0</v>
      </c>
    </row>
    <row r="23" spans="1:4" ht="18.75" x14ac:dyDescent="0.3">
      <c r="A23" s="256" t="s">
        <v>43</v>
      </c>
      <c r="B23" s="256" t="s">
        <v>44</v>
      </c>
      <c r="C23" s="254">
        <v>5</v>
      </c>
      <c r="D23" s="254">
        <f>'5. Whole Life Carbon'!H68</f>
        <v>0</v>
      </c>
    </row>
    <row r="24" spans="1:4" ht="18.75" x14ac:dyDescent="0.3">
      <c r="A24" s="257" t="s">
        <v>45</v>
      </c>
      <c r="B24" s="257" t="s">
        <v>46</v>
      </c>
      <c r="C24" s="254">
        <v>5</v>
      </c>
      <c r="D24" s="254">
        <f>'6. Health&amp;Wellbeing'!H3</f>
        <v>0</v>
      </c>
    </row>
    <row r="25" spans="1:4" ht="18.75" x14ac:dyDescent="0.3">
      <c r="A25" s="257" t="s">
        <v>47</v>
      </c>
      <c r="B25" s="257" t="s">
        <v>48</v>
      </c>
      <c r="C25" s="254">
        <v>5</v>
      </c>
      <c r="D25" s="254">
        <f>'6. Health&amp;Wellbeing'!H45</f>
        <v>0</v>
      </c>
    </row>
    <row r="26" spans="1:4" ht="18.75" x14ac:dyDescent="0.3">
      <c r="A26" s="257" t="s">
        <v>49</v>
      </c>
      <c r="B26" s="257" t="s">
        <v>50</v>
      </c>
      <c r="C26" s="254">
        <v>5</v>
      </c>
      <c r="D26" s="254">
        <f>'6. Health&amp;Wellbeing'!H70</f>
        <v>0</v>
      </c>
    </row>
    <row r="27" spans="1:4" ht="18.75" x14ac:dyDescent="0.3">
      <c r="A27" s="258" t="s">
        <v>51</v>
      </c>
      <c r="B27" s="258" t="s">
        <v>52</v>
      </c>
      <c r="C27" s="254">
        <v>5</v>
      </c>
      <c r="D27" s="254">
        <f>'7. Intelligence'!F3</f>
        <v>0</v>
      </c>
    </row>
    <row r="28" spans="1:4" ht="18.75" x14ac:dyDescent="0.3">
      <c r="A28" s="258" t="s">
        <v>53</v>
      </c>
      <c r="B28" s="258" t="s">
        <v>54</v>
      </c>
      <c r="C28" s="254">
        <v>5</v>
      </c>
      <c r="D28" s="254">
        <f>'7. Intelligence'!F20</f>
        <v>0</v>
      </c>
    </row>
    <row r="29" spans="1:4" ht="18.75" x14ac:dyDescent="0.3">
      <c r="A29" s="258" t="s">
        <v>55</v>
      </c>
      <c r="B29" s="258" t="s">
        <v>56</v>
      </c>
      <c r="C29" s="254">
        <v>5</v>
      </c>
      <c r="D29" s="254">
        <f>'7. Intelligence'!F31</f>
        <v>0</v>
      </c>
    </row>
    <row r="30" spans="1:4" x14ac:dyDescent="0.25">
      <c r="A30" s="22"/>
      <c r="B30" s="22"/>
      <c r="C30" s="22"/>
      <c r="D30" s="22"/>
    </row>
    <row r="31" spans="1:4" ht="37.5" x14ac:dyDescent="0.25">
      <c r="A31" s="356" t="s">
        <v>30</v>
      </c>
      <c r="B31" s="260" t="s">
        <v>57</v>
      </c>
      <c r="C31" s="260" t="s">
        <v>58</v>
      </c>
      <c r="D31" s="260" t="s">
        <v>59</v>
      </c>
    </row>
    <row r="32" spans="1:4" ht="18.75" customHeight="1" x14ac:dyDescent="0.3">
      <c r="A32" s="356"/>
      <c r="B32" s="261">
        <f>'8. Maintainability'!C7</f>
        <v>124</v>
      </c>
      <c r="C32" s="262">
        <f>IF(AND('8. Maintainability'!E73=0,'8. Maintainability'!G73=""),0,IF('8. Maintainability'!E73=0,'8. Maintainability'!G73,'8. Maintainability'!E73))</f>
        <v>0</v>
      </c>
      <c r="D32" s="262">
        <f>IF('8. Maintainability'!C75="",0,'8. Maintainability'!C75)</f>
        <v>0</v>
      </c>
    </row>
  </sheetData>
  <sheetProtection formatCells="0" selectLockedCells="1"/>
  <mergeCells count="3">
    <mergeCell ref="B6:D6"/>
    <mergeCell ref="A17:B17"/>
    <mergeCell ref="A31:A32"/>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C3" sqref="C3"/>
    </sheetView>
  </sheetViews>
  <sheetFormatPr defaultColWidth="8.7109375" defaultRowHeight="15" x14ac:dyDescent="0.25"/>
  <cols>
    <col min="1" max="1" width="8.7109375" style="279" customWidth="1"/>
    <col min="2" max="2" width="65.7109375" style="279" customWidth="1"/>
    <col min="3" max="4" width="10.7109375" style="279" customWidth="1"/>
    <col min="5" max="5" width="27.42578125" style="279" customWidth="1"/>
    <col min="6" max="6" width="8.7109375" style="279"/>
    <col min="7" max="7" width="15.5703125" style="279" customWidth="1"/>
    <col min="8" max="8" width="17.28515625" style="279" customWidth="1"/>
    <col min="9" max="16384" width="8.7109375" style="279"/>
  </cols>
  <sheetData>
    <row r="1" spans="1:4" ht="31.5" x14ac:dyDescent="0.25">
      <c r="A1" s="359" t="s">
        <v>60</v>
      </c>
      <c r="B1" s="359"/>
      <c r="C1" s="309" t="s">
        <v>61</v>
      </c>
      <c r="D1" s="20" t="s">
        <v>62</v>
      </c>
    </row>
    <row r="2" spans="1:4" ht="21" x14ac:dyDescent="0.25">
      <c r="A2" s="358" t="s">
        <v>63</v>
      </c>
      <c r="B2" s="358"/>
      <c r="C2" s="310"/>
      <c r="D2" s="244"/>
    </row>
    <row r="3" spans="1:4" ht="15.75" x14ac:dyDescent="0.25">
      <c r="A3" s="92"/>
      <c r="B3" s="34" t="s">
        <v>64</v>
      </c>
      <c r="C3" s="17"/>
      <c r="D3" s="35" t="s">
        <v>65</v>
      </c>
    </row>
    <row r="4" spans="1:4" ht="15.75" x14ac:dyDescent="0.25">
      <c r="A4" s="357" t="s">
        <v>66</v>
      </c>
      <c r="B4" s="357"/>
      <c r="C4" s="245"/>
      <c r="D4" s="245"/>
    </row>
    <row r="5" spans="1:4" ht="15.75" x14ac:dyDescent="0.25">
      <c r="A5" s="92"/>
      <c r="B5" s="34" t="s">
        <v>67</v>
      </c>
      <c r="C5" s="17"/>
      <c r="D5" s="35" t="s">
        <v>68</v>
      </c>
    </row>
    <row r="6" spans="1:4" ht="15.75" x14ac:dyDescent="0.25">
      <c r="A6" s="357" t="s">
        <v>69</v>
      </c>
      <c r="B6" s="357"/>
      <c r="C6" s="246"/>
      <c r="D6" s="246"/>
    </row>
    <row r="7" spans="1:4" ht="15.75" x14ac:dyDescent="0.25">
      <c r="A7" s="283" t="s">
        <v>70</v>
      </c>
      <c r="B7" s="247" t="s">
        <v>71</v>
      </c>
      <c r="C7" s="17"/>
      <c r="D7" s="35" t="s">
        <v>68</v>
      </c>
    </row>
    <row r="8" spans="1:4" ht="15.75" x14ac:dyDescent="0.25">
      <c r="A8" s="283" t="s">
        <v>72</v>
      </c>
      <c r="B8" s="38" t="s">
        <v>73</v>
      </c>
      <c r="C8" s="17"/>
      <c r="D8" s="35" t="s">
        <v>74</v>
      </c>
    </row>
    <row r="9" spans="1:4" ht="15.75" x14ac:dyDescent="0.25">
      <c r="A9" s="360" t="s">
        <v>75</v>
      </c>
      <c r="B9" s="38" t="s">
        <v>76</v>
      </c>
      <c r="C9" s="17"/>
      <c r="D9" s="35" t="s">
        <v>68</v>
      </c>
    </row>
    <row r="10" spans="1:4" ht="15.75" x14ac:dyDescent="0.25">
      <c r="A10" s="360"/>
      <c r="B10" s="38" t="s">
        <v>77</v>
      </c>
      <c r="C10" s="35"/>
      <c r="D10" s="35"/>
    </row>
    <row r="11" spans="1:4" ht="15.75" x14ac:dyDescent="0.25">
      <c r="A11" s="360"/>
      <c r="B11" s="38" t="s">
        <v>78</v>
      </c>
      <c r="C11" s="17"/>
      <c r="D11" s="35" t="s">
        <v>68</v>
      </c>
    </row>
    <row r="12" spans="1:4" ht="15.75" x14ac:dyDescent="0.25">
      <c r="A12" s="360"/>
      <c r="B12" s="38" t="s">
        <v>79</v>
      </c>
      <c r="C12" s="17"/>
      <c r="D12" s="35" t="s">
        <v>68</v>
      </c>
    </row>
    <row r="13" spans="1:4" ht="15.75" x14ac:dyDescent="0.25">
      <c r="A13" s="283" t="s">
        <v>80</v>
      </c>
      <c r="B13" s="38" t="s">
        <v>81</v>
      </c>
      <c r="C13" s="17"/>
      <c r="D13" s="35" t="s">
        <v>68</v>
      </c>
    </row>
    <row r="14" spans="1:4" ht="15.75" x14ac:dyDescent="0.25">
      <c r="A14" s="283" t="s">
        <v>82</v>
      </c>
      <c r="B14" s="38" t="s">
        <v>83</v>
      </c>
      <c r="C14" s="17"/>
      <c r="D14" s="174" t="s">
        <v>74</v>
      </c>
    </row>
    <row r="15" spans="1:4" ht="15.75" x14ac:dyDescent="0.25">
      <c r="A15" s="360" t="s">
        <v>84</v>
      </c>
      <c r="B15" s="38" t="s">
        <v>85</v>
      </c>
      <c r="C15" s="92"/>
      <c r="D15" s="92"/>
    </row>
    <row r="16" spans="1:4" ht="47.25" x14ac:dyDescent="0.25">
      <c r="A16" s="360"/>
      <c r="B16" s="47" t="s">
        <v>86</v>
      </c>
      <c r="C16" s="17"/>
      <c r="D16" s="35" t="s">
        <v>65</v>
      </c>
    </row>
    <row r="17" spans="1:4" ht="15.75" x14ac:dyDescent="0.25">
      <c r="A17" s="360"/>
      <c r="B17" s="248" t="s">
        <v>87</v>
      </c>
      <c r="C17" s="17"/>
      <c r="D17" s="35" t="s">
        <v>65</v>
      </c>
    </row>
    <row r="18" spans="1:4" ht="31.5" x14ac:dyDescent="0.25">
      <c r="A18" s="360"/>
      <c r="B18" s="47" t="s">
        <v>88</v>
      </c>
      <c r="C18" s="17"/>
      <c r="D18" s="35" t="s">
        <v>65</v>
      </c>
    </row>
    <row r="19" spans="1:4" ht="47.25" x14ac:dyDescent="0.25">
      <c r="A19" s="360"/>
      <c r="B19" s="47" t="s">
        <v>89</v>
      </c>
      <c r="C19" s="17"/>
      <c r="D19" s="35" t="s">
        <v>65</v>
      </c>
    </row>
    <row r="20" spans="1:4" ht="31.5" x14ac:dyDescent="0.25">
      <c r="A20" s="283" t="s">
        <v>90</v>
      </c>
      <c r="B20" s="47" t="s">
        <v>91</v>
      </c>
      <c r="C20" s="249"/>
      <c r="D20" s="35" t="s">
        <v>68</v>
      </c>
    </row>
    <row r="21" spans="1:4" ht="31.5" x14ac:dyDescent="0.25">
      <c r="A21" s="283" t="s">
        <v>92</v>
      </c>
      <c r="B21" s="47" t="s">
        <v>93</v>
      </c>
      <c r="C21" s="249"/>
      <c r="D21" s="35" t="s">
        <v>68</v>
      </c>
    </row>
    <row r="22" spans="1:4" ht="15.75" x14ac:dyDescent="0.25">
      <c r="A22" s="357" t="s">
        <v>94</v>
      </c>
      <c r="B22" s="357"/>
      <c r="C22" s="246"/>
      <c r="D22" s="246"/>
    </row>
    <row r="23" spans="1:4" ht="15.75" x14ac:dyDescent="0.25">
      <c r="A23" s="283" t="s">
        <v>70</v>
      </c>
      <c r="B23" s="50" t="s">
        <v>95</v>
      </c>
      <c r="C23" s="249"/>
      <c r="D23" s="35" t="s">
        <v>68</v>
      </c>
    </row>
    <row r="24" spans="1:4" ht="15.75" x14ac:dyDescent="0.25">
      <c r="A24" s="283" t="s">
        <v>72</v>
      </c>
      <c r="B24" s="50" t="s">
        <v>96</v>
      </c>
      <c r="C24" s="249"/>
      <c r="D24" s="35" t="s">
        <v>68</v>
      </c>
    </row>
  </sheetData>
  <sheetProtection formatCells="0" selectLockedCells="1"/>
  <mergeCells count="7">
    <mergeCell ref="A6:B6"/>
    <mergeCell ref="A4:B4"/>
    <mergeCell ref="A2:B2"/>
    <mergeCell ref="A1:B1"/>
    <mergeCell ref="A22:B22"/>
    <mergeCell ref="A9:A12"/>
    <mergeCell ref="A15:A19"/>
  </mergeCells>
  <dataValidations count="4">
    <dataValidation type="decimal" allowBlank="1" showInputMessage="1" showErrorMessage="1" sqref="C14 C8" xr:uid="{00000000-0002-0000-0200-000000000000}">
      <formula1>0</formula1>
      <formula2>100</formula2>
    </dataValidation>
    <dataValidation type="list" allowBlank="1" showInputMessage="1" showErrorMessage="1" sqref="C3 C16:C19" xr:uid="{00000000-0002-0000-0200-000001000000}">
      <formula1>"Y,N"</formula1>
    </dataValidation>
    <dataValidation type="decimal" allowBlank="1" showInputMessage="1" showErrorMessage="1" sqref="C5 C7 C9:C13" xr:uid="{00000000-0002-0000-0200-000002000000}">
      <formula1>0</formula1>
      <formula2>1000</formula2>
    </dataValidation>
    <dataValidation type="decimal" allowBlank="1" showInputMessage="1" showErrorMessage="1" sqref="C20:C21 C23:C24" xr:uid="{00000000-0002-0000-0200-000003000000}">
      <formula1>0</formula1>
      <formula2>10000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70" zoomScaleNormal="70" zoomScalePageLayoutView="55" workbookViewId="0">
      <selection activeCell="G68" sqref="G68"/>
    </sheetView>
  </sheetViews>
  <sheetFormatPr defaultColWidth="8.7109375" defaultRowHeight="15.75" x14ac:dyDescent="0.25"/>
  <cols>
    <col min="1" max="1" width="8.28515625" style="312" customWidth="1"/>
    <col min="2" max="2" width="65.7109375" style="279" customWidth="1"/>
    <col min="3" max="4" width="10.7109375" style="279" customWidth="1"/>
    <col min="5" max="5" width="19.140625" style="279" customWidth="1"/>
    <col min="6" max="6" width="10.7109375" style="279" customWidth="1"/>
    <col min="7" max="7" width="30.7109375" style="279" customWidth="1"/>
    <col min="8" max="8" width="8.7109375" style="320"/>
    <col min="9" max="9" width="10.7109375" style="320" customWidth="1"/>
    <col min="10" max="11" width="15.7109375" style="320" customWidth="1"/>
    <col min="12" max="12" width="50.7109375" style="279" customWidth="1"/>
    <col min="13" max="16384" width="8.7109375" style="279"/>
  </cols>
  <sheetData>
    <row r="1" spans="1:11" ht="47.25" x14ac:dyDescent="0.25">
      <c r="A1" s="19"/>
      <c r="B1" s="282" t="s">
        <v>97</v>
      </c>
      <c r="C1" s="20" t="s">
        <v>61</v>
      </c>
      <c r="D1" s="20" t="s">
        <v>62</v>
      </c>
      <c r="E1" s="21" t="s">
        <v>98</v>
      </c>
      <c r="F1" s="20" t="s">
        <v>99</v>
      </c>
      <c r="G1" s="282" t="s">
        <v>100</v>
      </c>
      <c r="H1" s="279"/>
      <c r="I1" s="279"/>
      <c r="J1" s="279"/>
      <c r="K1" s="279"/>
    </row>
    <row r="2" spans="1:11" ht="21" x14ac:dyDescent="0.25">
      <c r="A2" s="363" t="s">
        <v>26</v>
      </c>
      <c r="B2" s="364"/>
      <c r="C2" s="364"/>
      <c r="D2" s="365"/>
      <c r="E2" s="144">
        <v>15</v>
      </c>
      <c r="F2" s="145">
        <f>MIN(SUM(F3,F28,F54,F66), 15)</f>
        <v>0</v>
      </c>
      <c r="G2" s="146" t="s">
        <v>101</v>
      </c>
      <c r="H2" s="361"/>
      <c r="I2" s="362"/>
      <c r="J2" s="362"/>
      <c r="K2" s="362"/>
    </row>
    <row r="3" spans="1:11" x14ac:dyDescent="0.25">
      <c r="A3" s="147" t="s">
        <v>102</v>
      </c>
      <c r="B3" s="391" t="s">
        <v>103</v>
      </c>
      <c r="C3" s="391"/>
      <c r="D3" s="391"/>
      <c r="E3" s="148">
        <v>5</v>
      </c>
      <c r="F3" s="149">
        <f>MIN(SUM(F27,F23,F20,F16,F8),5)</f>
        <v>0</v>
      </c>
      <c r="G3" s="147"/>
      <c r="H3" s="361"/>
      <c r="I3" s="362"/>
      <c r="J3" s="362"/>
      <c r="K3" s="362"/>
    </row>
    <row r="4" spans="1:11" x14ac:dyDescent="0.25">
      <c r="A4" s="150" t="s">
        <v>104</v>
      </c>
      <c r="B4" s="151" t="s">
        <v>105</v>
      </c>
      <c r="C4" s="152"/>
      <c r="D4" s="153"/>
      <c r="E4" s="154"/>
      <c r="F4" s="155"/>
      <c r="G4" s="156"/>
      <c r="H4" s="361"/>
      <c r="I4" s="362"/>
      <c r="J4" s="362"/>
      <c r="K4" s="362"/>
    </row>
    <row r="5" spans="1:11" x14ac:dyDescent="0.25">
      <c r="A5" s="157" t="s">
        <v>106</v>
      </c>
      <c r="B5" s="158" t="s">
        <v>107</v>
      </c>
      <c r="C5" s="159"/>
      <c r="D5" s="160"/>
      <c r="E5" s="161"/>
      <c r="F5" s="162"/>
      <c r="G5" s="163"/>
      <c r="H5" s="361"/>
      <c r="I5" s="362"/>
      <c r="J5" s="362"/>
      <c r="K5" s="362"/>
    </row>
    <row r="6" spans="1:11" ht="47.25" x14ac:dyDescent="0.25">
      <c r="A6" s="295" t="s">
        <v>70</v>
      </c>
      <c r="B6" s="34" t="s">
        <v>108</v>
      </c>
      <c r="C6" s="4"/>
      <c r="D6" s="35" t="s">
        <v>65</v>
      </c>
      <c r="E6" s="285" t="s">
        <v>109</v>
      </c>
      <c r="F6" s="36">
        <f>IF(C6="Y",1,0)</f>
        <v>0</v>
      </c>
      <c r="G6" s="57"/>
      <c r="H6" s="361"/>
      <c r="I6" s="362"/>
      <c r="J6" s="362"/>
      <c r="K6" s="362"/>
    </row>
    <row r="7" spans="1:11" ht="47.25" x14ac:dyDescent="0.25">
      <c r="A7" s="295" t="s">
        <v>72</v>
      </c>
      <c r="B7" s="34" t="s">
        <v>110</v>
      </c>
      <c r="C7" s="4"/>
      <c r="D7" s="35" t="s">
        <v>65</v>
      </c>
      <c r="E7" s="288" t="s">
        <v>109</v>
      </c>
      <c r="F7" s="36">
        <f>IF((C7="Y")*AND(C6="Y"),1,0)</f>
        <v>0</v>
      </c>
      <c r="G7" s="57"/>
      <c r="H7" s="361"/>
      <c r="I7" s="362"/>
      <c r="J7" s="362"/>
      <c r="K7" s="362"/>
    </row>
    <row r="8" spans="1:11" x14ac:dyDescent="0.25">
      <c r="A8" s="164"/>
      <c r="B8" s="366" t="s">
        <v>111</v>
      </c>
      <c r="C8" s="367"/>
      <c r="D8" s="367"/>
      <c r="E8" s="367"/>
      <c r="F8" s="165">
        <f>MIN((F6+F7),2)</f>
        <v>0</v>
      </c>
      <c r="G8" s="166"/>
      <c r="H8" s="361"/>
      <c r="I8" s="362"/>
      <c r="J8" s="362"/>
      <c r="K8" s="362"/>
    </row>
    <row r="9" spans="1:11" x14ac:dyDescent="0.25">
      <c r="A9" s="167" t="s">
        <v>112</v>
      </c>
      <c r="B9" s="168" t="s">
        <v>113</v>
      </c>
      <c r="C9" s="169"/>
      <c r="D9" s="170"/>
      <c r="E9" s="161"/>
      <c r="F9" s="157"/>
      <c r="G9" s="163"/>
      <c r="H9" s="361"/>
      <c r="I9" s="362"/>
      <c r="J9" s="362"/>
      <c r="K9" s="362"/>
    </row>
    <row r="10" spans="1:11" ht="31.5" x14ac:dyDescent="0.25">
      <c r="A10" s="375" t="s">
        <v>70</v>
      </c>
      <c r="B10" s="171" t="s">
        <v>114</v>
      </c>
      <c r="C10" s="172"/>
      <c r="D10" s="46"/>
      <c r="E10" s="44"/>
      <c r="F10" s="38"/>
      <c r="G10" s="238"/>
      <c r="H10" s="361"/>
      <c r="I10" s="362"/>
      <c r="J10" s="362"/>
      <c r="K10" s="362"/>
    </row>
    <row r="11" spans="1:11" x14ac:dyDescent="0.25">
      <c r="A11" s="376"/>
      <c r="B11" s="173" t="s">
        <v>115</v>
      </c>
      <c r="C11" s="4"/>
      <c r="D11" s="35" t="s">
        <v>65</v>
      </c>
      <c r="E11" s="288" t="s">
        <v>109</v>
      </c>
      <c r="F11" s="91">
        <f>IF(C11="Y",1,0)</f>
        <v>0</v>
      </c>
      <c r="G11" s="238"/>
      <c r="H11" s="361"/>
      <c r="I11" s="362"/>
      <c r="J11" s="362"/>
      <c r="K11" s="362"/>
    </row>
    <row r="12" spans="1:11" x14ac:dyDescent="0.25">
      <c r="A12" s="376"/>
      <c r="B12" s="173" t="s">
        <v>116</v>
      </c>
      <c r="C12" s="4"/>
      <c r="D12" s="35" t="s">
        <v>65</v>
      </c>
      <c r="E12" s="288" t="s">
        <v>109</v>
      </c>
      <c r="F12" s="91">
        <f>IF(C12="Y",1,0)</f>
        <v>0</v>
      </c>
      <c r="G12" s="238"/>
      <c r="H12" s="361"/>
      <c r="I12" s="362"/>
      <c r="J12" s="362"/>
      <c r="K12" s="362"/>
    </row>
    <row r="13" spans="1:11" x14ac:dyDescent="0.25">
      <c r="A13" s="376"/>
      <c r="B13" s="173" t="s">
        <v>117</v>
      </c>
      <c r="C13" s="4"/>
      <c r="D13" s="35" t="s">
        <v>65</v>
      </c>
      <c r="E13" s="288" t="s">
        <v>109</v>
      </c>
      <c r="F13" s="91">
        <f>IF(C13="Y",1,0)</f>
        <v>0</v>
      </c>
      <c r="G13" s="238"/>
      <c r="H13" s="361"/>
      <c r="I13" s="362"/>
      <c r="J13" s="362"/>
      <c r="K13" s="362"/>
    </row>
    <row r="14" spans="1:11" ht="24.75" customHeight="1" x14ac:dyDescent="0.25">
      <c r="A14" s="377" t="s">
        <v>72</v>
      </c>
      <c r="B14" s="378" t="s">
        <v>118</v>
      </c>
      <c r="C14" s="4"/>
      <c r="D14" s="35" t="s">
        <v>65</v>
      </c>
      <c r="E14" s="392" t="s">
        <v>119</v>
      </c>
      <c r="F14" s="394">
        <f>IF(C15&gt;=90,1,IF(C14="Y",0.5,0))</f>
        <v>0</v>
      </c>
      <c r="G14" s="238"/>
      <c r="H14" s="361"/>
      <c r="I14" s="362"/>
      <c r="J14" s="362"/>
      <c r="K14" s="362"/>
    </row>
    <row r="15" spans="1:11" ht="23.25" customHeight="1" x14ac:dyDescent="0.25">
      <c r="A15" s="377"/>
      <c r="B15" s="379"/>
      <c r="C15" s="237"/>
      <c r="D15" s="174" t="s">
        <v>74</v>
      </c>
      <c r="E15" s="393"/>
      <c r="F15" s="395"/>
      <c r="G15" s="57"/>
      <c r="H15" s="361"/>
      <c r="I15" s="362"/>
      <c r="J15" s="362"/>
      <c r="K15" s="362"/>
    </row>
    <row r="16" spans="1:11" x14ac:dyDescent="0.25">
      <c r="A16" s="175"/>
      <c r="B16" s="366" t="s">
        <v>120</v>
      </c>
      <c r="C16" s="367"/>
      <c r="D16" s="367"/>
      <c r="E16" s="383"/>
      <c r="F16" s="165">
        <f>MIN(SUM(F11:F15),3)</f>
        <v>0</v>
      </c>
      <c r="G16" s="176"/>
      <c r="H16" s="361"/>
      <c r="I16" s="362"/>
      <c r="J16" s="362"/>
      <c r="K16" s="362"/>
    </row>
    <row r="17" spans="1:11" x14ac:dyDescent="0.25">
      <c r="A17" s="150" t="s">
        <v>121</v>
      </c>
      <c r="B17" s="177" t="s">
        <v>122</v>
      </c>
      <c r="C17" s="178"/>
      <c r="D17" s="179"/>
      <c r="E17" s="180"/>
      <c r="F17" s="181"/>
      <c r="G17" s="182"/>
      <c r="H17" s="361"/>
      <c r="I17" s="362"/>
      <c r="J17" s="362"/>
      <c r="K17" s="362"/>
    </row>
    <row r="18" spans="1:11" x14ac:dyDescent="0.25">
      <c r="A18" s="157" t="s">
        <v>123</v>
      </c>
      <c r="B18" s="183" t="s">
        <v>124</v>
      </c>
      <c r="C18" s="184"/>
      <c r="D18" s="185"/>
      <c r="E18" s="161"/>
      <c r="F18" s="186"/>
      <c r="G18" s="163"/>
      <c r="H18" s="361"/>
      <c r="I18" s="362"/>
      <c r="J18" s="362"/>
      <c r="K18" s="362"/>
    </row>
    <row r="19" spans="1:11" ht="126" x14ac:dyDescent="0.25">
      <c r="A19" s="38"/>
      <c r="B19" s="50" t="s">
        <v>125</v>
      </c>
      <c r="C19" s="4"/>
      <c r="D19" s="35" t="s">
        <v>65</v>
      </c>
      <c r="E19" s="285" t="s">
        <v>126</v>
      </c>
      <c r="F19" s="36">
        <f>IF(C19="Y",2,0)</f>
        <v>0</v>
      </c>
      <c r="G19" s="57"/>
      <c r="H19" s="361"/>
      <c r="I19" s="362"/>
      <c r="J19" s="362"/>
      <c r="K19" s="362"/>
    </row>
    <row r="20" spans="1:11" x14ac:dyDescent="0.25">
      <c r="A20" s="187"/>
      <c r="B20" s="366" t="s">
        <v>127</v>
      </c>
      <c r="C20" s="367"/>
      <c r="D20" s="367"/>
      <c r="E20" s="367"/>
      <c r="F20" s="165">
        <f>F19</f>
        <v>0</v>
      </c>
      <c r="G20" s="188"/>
      <c r="H20" s="361"/>
      <c r="I20" s="362"/>
      <c r="J20" s="362"/>
      <c r="K20" s="362"/>
    </row>
    <row r="21" spans="1:11" x14ac:dyDescent="0.25">
      <c r="A21" s="157" t="s">
        <v>128</v>
      </c>
      <c r="B21" s="183" t="s">
        <v>129</v>
      </c>
      <c r="C21" s="189"/>
      <c r="D21" s="190"/>
      <c r="E21" s="161"/>
      <c r="F21" s="186"/>
      <c r="G21" s="163"/>
      <c r="H21" s="361"/>
      <c r="I21" s="362"/>
      <c r="J21" s="362"/>
      <c r="K21" s="362"/>
    </row>
    <row r="22" spans="1:11" ht="63" x14ac:dyDescent="0.25">
      <c r="A22" s="295"/>
      <c r="B22" s="191" t="s">
        <v>130</v>
      </c>
      <c r="C22" s="237"/>
      <c r="D22" s="174" t="s">
        <v>74</v>
      </c>
      <c r="E22" s="192" t="s">
        <v>131</v>
      </c>
      <c r="F22" s="193">
        <f>IF(AND(C22&gt;=50, C22&lt;80),0.5,0) + IF(C22&gt;=80,1,0)</f>
        <v>0</v>
      </c>
      <c r="G22" s="59"/>
      <c r="H22" s="361"/>
      <c r="I22" s="362"/>
      <c r="J22" s="362"/>
      <c r="K22" s="362"/>
    </row>
    <row r="23" spans="1:11" x14ac:dyDescent="0.25">
      <c r="A23" s="164"/>
      <c r="B23" s="366" t="s">
        <v>132</v>
      </c>
      <c r="C23" s="367"/>
      <c r="D23" s="367"/>
      <c r="E23" s="367"/>
      <c r="F23" s="194">
        <f>MIN(F22, 1)</f>
        <v>0</v>
      </c>
      <c r="G23" s="164"/>
      <c r="H23" s="361"/>
      <c r="I23" s="362"/>
      <c r="J23" s="362"/>
      <c r="K23" s="362"/>
    </row>
    <row r="24" spans="1:11" x14ac:dyDescent="0.25">
      <c r="A24" s="150" t="s">
        <v>133</v>
      </c>
      <c r="B24" s="177" t="s">
        <v>134</v>
      </c>
      <c r="C24" s="195"/>
      <c r="D24" s="196"/>
      <c r="E24" s="180"/>
      <c r="F24" s="180"/>
      <c r="G24" s="182"/>
      <c r="H24" s="361"/>
      <c r="I24" s="362"/>
      <c r="J24" s="362"/>
      <c r="K24" s="362"/>
    </row>
    <row r="25" spans="1:11" x14ac:dyDescent="0.25">
      <c r="A25" s="157" t="s">
        <v>133</v>
      </c>
      <c r="B25" s="183" t="s">
        <v>135</v>
      </c>
      <c r="C25" s="184"/>
      <c r="D25" s="185"/>
      <c r="E25" s="161"/>
      <c r="F25" s="197"/>
      <c r="G25" s="198"/>
      <c r="H25" s="361"/>
      <c r="I25" s="362"/>
      <c r="J25" s="362"/>
      <c r="K25" s="362"/>
    </row>
    <row r="26" spans="1:11" ht="47.25" x14ac:dyDescent="0.25">
      <c r="A26" s="38"/>
      <c r="B26" s="50" t="s">
        <v>136</v>
      </c>
      <c r="C26" s="199" t="s">
        <v>137</v>
      </c>
      <c r="D26" s="200" t="s">
        <v>137</v>
      </c>
      <c r="E26" s="200" t="s">
        <v>137</v>
      </c>
      <c r="F26" s="200" t="s">
        <v>137</v>
      </c>
      <c r="G26" s="57"/>
      <c r="H26" s="361"/>
      <c r="I26" s="362"/>
      <c r="J26" s="362"/>
      <c r="K26" s="362"/>
    </row>
    <row r="27" spans="1:11" x14ac:dyDescent="0.25">
      <c r="A27" s="166"/>
      <c r="B27" s="366" t="s">
        <v>138</v>
      </c>
      <c r="C27" s="367"/>
      <c r="D27" s="367"/>
      <c r="E27" s="367"/>
      <c r="F27" s="194">
        <f>0</f>
        <v>0</v>
      </c>
      <c r="G27" s="188"/>
      <c r="H27" s="361"/>
      <c r="I27" s="362"/>
      <c r="J27" s="362"/>
      <c r="K27" s="362"/>
    </row>
    <row r="28" spans="1:11" x14ac:dyDescent="0.25">
      <c r="A28" s="147" t="s">
        <v>139</v>
      </c>
      <c r="B28" s="380" t="s">
        <v>140</v>
      </c>
      <c r="C28" s="381"/>
      <c r="D28" s="382"/>
      <c r="E28" s="201">
        <v>5</v>
      </c>
      <c r="F28" s="202">
        <f>MIN(SUM(F53,F47,F39,F35),5)</f>
        <v>0</v>
      </c>
      <c r="G28" s="203"/>
      <c r="H28" s="361"/>
      <c r="I28" s="362"/>
      <c r="J28" s="362"/>
      <c r="K28" s="362"/>
    </row>
    <row r="29" spans="1:11" x14ac:dyDescent="0.25">
      <c r="A29" s="204" t="s">
        <v>141</v>
      </c>
      <c r="B29" s="370" t="s">
        <v>142</v>
      </c>
      <c r="C29" s="371"/>
      <c r="D29" s="205"/>
      <c r="E29" s="206"/>
      <c r="F29" s="207"/>
      <c r="G29" s="156"/>
      <c r="H29" s="361"/>
      <c r="I29" s="362"/>
      <c r="J29" s="362"/>
      <c r="K29" s="362"/>
    </row>
    <row r="30" spans="1:11" x14ac:dyDescent="0.25">
      <c r="A30" s="208" t="s">
        <v>143</v>
      </c>
      <c r="B30" s="209" t="s">
        <v>144</v>
      </c>
      <c r="C30" s="209"/>
      <c r="D30" s="210"/>
      <c r="E30" s="161"/>
      <c r="F30" s="211"/>
      <c r="G30" s="212"/>
      <c r="H30" s="361"/>
      <c r="I30" s="362"/>
      <c r="J30" s="362"/>
      <c r="K30" s="362"/>
    </row>
    <row r="31" spans="1:11" ht="31.5" x14ac:dyDescent="0.25">
      <c r="A31" s="368" t="s">
        <v>70</v>
      </c>
      <c r="B31" s="213" t="s">
        <v>145</v>
      </c>
      <c r="C31" s="214"/>
      <c r="D31" s="215"/>
      <c r="E31" s="215"/>
      <c r="F31" s="216"/>
      <c r="G31" s="57"/>
      <c r="I31" s="321"/>
      <c r="J31" s="322" t="s">
        <v>146</v>
      </c>
      <c r="K31" s="323"/>
    </row>
    <row r="32" spans="1:11" ht="27" customHeight="1" x14ac:dyDescent="0.25">
      <c r="A32" s="369"/>
      <c r="B32" s="215" t="s">
        <v>147</v>
      </c>
      <c r="C32" s="239"/>
      <c r="D32" s="174" t="s">
        <v>68</v>
      </c>
      <c r="E32" s="373" t="s">
        <v>148</v>
      </c>
      <c r="F32" s="389">
        <f>MIN(SUM(C32*0.5,C33*0.5),1)</f>
        <v>0</v>
      </c>
      <c r="G32" s="57"/>
      <c r="I32" s="324">
        <f>IF(C32&gt;0,C32*0.25,0)</f>
        <v>0</v>
      </c>
      <c r="J32" s="397">
        <f>IF(SUM(I32+I33)&gt;=0.5,"0.5",I32+I33)</f>
        <v>0</v>
      </c>
      <c r="K32" s="398" t="s">
        <v>149</v>
      </c>
    </row>
    <row r="33" spans="1:11" ht="25.5" customHeight="1" x14ac:dyDescent="0.25">
      <c r="A33" s="372"/>
      <c r="B33" s="215" t="s">
        <v>150</v>
      </c>
      <c r="C33" s="239"/>
      <c r="D33" s="174" t="s">
        <v>68</v>
      </c>
      <c r="E33" s="374"/>
      <c r="F33" s="390"/>
      <c r="G33" s="57"/>
      <c r="I33" s="324">
        <f>IF(C33&gt;0,C33*0.5,0)</f>
        <v>0</v>
      </c>
      <c r="J33" s="397"/>
      <c r="K33" s="399"/>
    </row>
    <row r="34" spans="1:11" ht="31.5" x14ac:dyDescent="0.25">
      <c r="A34" s="302" t="s">
        <v>72</v>
      </c>
      <c r="B34" s="215" t="s">
        <v>151</v>
      </c>
      <c r="C34" s="239"/>
      <c r="D34" s="174" t="s">
        <v>68</v>
      </c>
      <c r="E34" s="217" t="s">
        <v>152</v>
      </c>
      <c r="F34" s="36">
        <f>IF(I34&gt;=0.5,0.5,I34)</f>
        <v>0</v>
      </c>
      <c r="G34" s="241"/>
      <c r="I34" s="324">
        <f>IF(C34&gt;0,C34*0.25,0)</f>
        <v>0</v>
      </c>
      <c r="J34" s="325">
        <f>IF(I34&gt;=0.5,"0.5",I34)</f>
        <v>0</v>
      </c>
      <c r="K34" s="326" t="s">
        <v>149</v>
      </c>
    </row>
    <row r="35" spans="1:11" x14ac:dyDescent="0.25">
      <c r="A35" s="218"/>
      <c r="B35" s="366" t="s">
        <v>153</v>
      </c>
      <c r="C35" s="367"/>
      <c r="D35" s="367"/>
      <c r="E35" s="367"/>
      <c r="F35" s="219">
        <f>MIN(F32+F34,1)</f>
        <v>0</v>
      </c>
      <c r="G35" s="164"/>
      <c r="H35" s="361"/>
      <c r="I35" s="362"/>
      <c r="J35" s="362"/>
      <c r="K35" s="362"/>
    </row>
    <row r="36" spans="1:11" x14ac:dyDescent="0.25">
      <c r="A36" s="208" t="s">
        <v>154</v>
      </c>
      <c r="B36" s="209" t="s">
        <v>155</v>
      </c>
      <c r="C36" s="209"/>
      <c r="D36" s="209"/>
      <c r="E36" s="161"/>
      <c r="F36" s="220"/>
      <c r="G36" s="163"/>
      <c r="H36" s="361"/>
      <c r="I36" s="362"/>
      <c r="J36" s="362"/>
      <c r="K36" s="362"/>
    </row>
    <row r="37" spans="1:11" ht="31.5" x14ac:dyDescent="0.25">
      <c r="A37" s="284" t="s">
        <v>70</v>
      </c>
      <c r="B37" s="221" t="s">
        <v>156</v>
      </c>
      <c r="C37" s="4"/>
      <c r="D37" s="35" t="s">
        <v>65</v>
      </c>
      <c r="E37" s="285" t="s">
        <v>109</v>
      </c>
      <c r="F37" s="36">
        <f>IF(C37="Y",1,0)</f>
        <v>0</v>
      </c>
      <c r="G37" s="59"/>
      <c r="H37" s="361"/>
      <c r="I37" s="362"/>
      <c r="J37" s="362"/>
      <c r="K37" s="362"/>
    </row>
    <row r="38" spans="1:11" ht="47.25" x14ac:dyDescent="0.25">
      <c r="A38" s="302" t="s">
        <v>72</v>
      </c>
      <c r="B38" s="53" t="s">
        <v>157</v>
      </c>
      <c r="C38" s="4"/>
      <c r="D38" s="35" t="s">
        <v>65</v>
      </c>
      <c r="E38" s="285" t="s">
        <v>109</v>
      </c>
      <c r="F38" s="36">
        <f>IF(C38="Y",1,0)</f>
        <v>0</v>
      </c>
      <c r="G38" s="240"/>
      <c r="H38" s="361"/>
      <c r="I38" s="362"/>
      <c r="J38" s="362"/>
      <c r="K38" s="362"/>
    </row>
    <row r="39" spans="1:11" x14ac:dyDescent="0.25">
      <c r="A39" s="218"/>
      <c r="B39" s="366" t="s">
        <v>158</v>
      </c>
      <c r="C39" s="367"/>
      <c r="D39" s="367"/>
      <c r="E39" s="367"/>
      <c r="F39" s="165">
        <f>MIN(F37+F38,2)</f>
        <v>0</v>
      </c>
      <c r="G39" s="222"/>
      <c r="H39" s="361"/>
      <c r="I39" s="362"/>
      <c r="J39" s="362"/>
      <c r="K39" s="362"/>
    </row>
    <row r="40" spans="1:11" x14ac:dyDescent="0.25">
      <c r="A40" s="204" t="s">
        <v>159</v>
      </c>
      <c r="B40" s="223" t="s">
        <v>160</v>
      </c>
      <c r="C40" s="224"/>
      <c r="D40" s="205"/>
      <c r="E40" s="206"/>
      <c r="F40" s="207"/>
      <c r="G40" s="156"/>
      <c r="H40" s="361"/>
      <c r="I40" s="362"/>
      <c r="J40" s="362"/>
      <c r="K40" s="362"/>
    </row>
    <row r="41" spans="1:11" ht="31.5" x14ac:dyDescent="0.25">
      <c r="A41" s="208"/>
      <c r="B41" s="209" t="s">
        <v>161</v>
      </c>
      <c r="C41" s="209"/>
      <c r="D41" s="209"/>
      <c r="E41" s="225"/>
      <c r="F41" s="211"/>
      <c r="G41" s="212"/>
      <c r="H41" s="361"/>
      <c r="I41" s="362"/>
      <c r="J41" s="362"/>
      <c r="K41" s="362"/>
    </row>
    <row r="42" spans="1:11" x14ac:dyDescent="0.25">
      <c r="A42" s="368" t="s">
        <v>70</v>
      </c>
      <c r="B42" s="213" t="s">
        <v>162</v>
      </c>
      <c r="C42" s="214"/>
      <c r="D42" s="215"/>
      <c r="E42" s="200"/>
      <c r="F42" s="200"/>
      <c r="G42" s="57"/>
      <c r="H42" s="361"/>
      <c r="I42" s="362"/>
      <c r="J42" s="362"/>
      <c r="K42" s="362"/>
    </row>
    <row r="43" spans="1:11" x14ac:dyDescent="0.25">
      <c r="A43" s="369"/>
      <c r="B43" s="215" t="s">
        <v>163</v>
      </c>
      <c r="C43" s="4"/>
      <c r="D43" s="35" t="s">
        <v>65</v>
      </c>
      <c r="E43" s="285" t="s">
        <v>164</v>
      </c>
      <c r="F43" s="36">
        <f>IF(C43="Y",0.5,0)</f>
        <v>0</v>
      </c>
      <c r="G43" s="240"/>
      <c r="H43" s="361"/>
      <c r="I43" s="362"/>
      <c r="J43" s="362"/>
      <c r="K43" s="362"/>
    </row>
    <row r="44" spans="1:11" x14ac:dyDescent="0.25">
      <c r="A44" s="369"/>
      <c r="B44" s="215" t="s">
        <v>165</v>
      </c>
      <c r="C44" s="4"/>
      <c r="D44" s="35" t="s">
        <v>65</v>
      </c>
      <c r="E44" s="285" t="s">
        <v>164</v>
      </c>
      <c r="F44" s="36">
        <f>IF(C44="Y",0.5,0)</f>
        <v>0</v>
      </c>
      <c r="G44" s="240"/>
      <c r="H44" s="361"/>
      <c r="I44" s="362"/>
      <c r="J44" s="362"/>
      <c r="K44" s="362"/>
    </row>
    <row r="45" spans="1:11" ht="33.75" customHeight="1" x14ac:dyDescent="0.25">
      <c r="A45" s="289" t="s">
        <v>72</v>
      </c>
      <c r="B45" s="226" t="s">
        <v>166</v>
      </c>
      <c r="C45" s="4"/>
      <c r="D45" s="35" t="s">
        <v>65</v>
      </c>
      <c r="E45" s="285" t="s">
        <v>109</v>
      </c>
      <c r="F45" s="36">
        <f>IF(C45="Y",1,0)</f>
        <v>0</v>
      </c>
      <c r="G45" s="242"/>
      <c r="H45" s="361"/>
      <c r="I45" s="362"/>
      <c r="J45" s="362"/>
      <c r="K45" s="362"/>
    </row>
    <row r="46" spans="1:11" ht="63" x14ac:dyDescent="0.25">
      <c r="A46" s="289" t="s">
        <v>75</v>
      </c>
      <c r="B46" s="226" t="s">
        <v>167</v>
      </c>
      <c r="C46" s="5"/>
      <c r="D46" s="227" t="s">
        <v>65</v>
      </c>
      <c r="E46" s="287" t="s">
        <v>109</v>
      </c>
      <c r="F46" s="36">
        <f>IF(C46="Y",1,0)</f>
        <v>0</v>
      </c>
      <c r="G46" s="240"/>
      <c r="H46" s="361"/>
      <c r="I46" s="362"/>
      <c r="J46" s="362"/>
      <c r="K46" s="362"/>
    </row>
    <row r="47" spans="1:11" x14ac:dyDescent="0.25">
      <c r="A47" s="218"/>
      <c r="B47" s="396" t="s">
        <v>168</v>
      </c>
      <c r="C47" s="396"/>
      <c r="D47" s="396"/>
      <c r="E47" s="396"/>
      <c r="F47" s="219">
        <f>MIN(F43+F44+F45+F46)</f>
        <v>0</v>
      </c>
      <c r="G47" s="166"/>
      <c r="H47" s="361"/>
      <c r="I47" s="362"/>
      <c r="J47" s="362"/>
      <c r="K47" s="362"/>
    </row>
    <row r="48" spans="1:11" x14ac:dyDescent="0.25">
      <c r="A48" s="204" t="s">
        <v>169</v>
      </c>
      <c r="B48" s="223" t="s">
        <v>170</v>
      </c>
      <c r="C48" s="224"/>
      <c r="D48" s="205"/>
      <c r="E48" s="206"/>
      <c r="F48" s="207"/>
      <c r="G48" s="156"/>
      <c r="H48" s="361"/>
      <c r="I48" s="362"/>
      <c r="J48" s="362"/>
      <c r="K48" s="362"/>
    </row>
    <row r="49" spans="1:11" ht="31.5" x14ac:dyDescent="0.25">
      <c r="A49" s="228"/>
      <c r="B49" s="229" t="s">
        <v>171</v>
      </c>
      <c r="C49" s="210"/>
      <c r="D49" s="210"/>
      <c r="E49" s="230"/>
      <c r="F49" s="211"/>
      <c r="G49" s="212"/>
      <c r="H49" s="361"/>
      <c r="I49" s="362"/>
      <c r="J49" s="362"/>
      <c r="K49" s="362"/>
    </row>
    <row r="50" spans="1:11" ht="31.5" x14ac:dyDescent="0.25">
      <c r="A50" s="302" t="s">
        <v>70</v>
      </c>
      <c r="B50" s="51" t="s">
        <v>172</v>
      </c>
      <c r="C50" s="313"/>
      <c r="D50" s="35" t="s">
        <v>65</v>
      </c>
      <c r="E50" s="285" t="s">
        <v>126</v>
      </c>
      <c r="F50" s="36">
        <f>IF(C50="Y",2,0)</f>
        <v>0</v>
      </c>
      <c r="G50" s="57"/>
      <c r="H50" s="361"/>
      <c r="I50" s="362"/>
      <c r="J50" s="362"/>
      <c r="K50" s="362"/>
    </row>
    <row r="51" spans="1:11" ht="47.25" x14ac:dyDescent="0.25">
      <c r="A51" s="302" t="s">
        <v>72</v>
      </c>
      <c r="B51" s="51" t="s">
        <v>173</v>
      </c>
      <c r="C51" s="199" t="s">
        <v>137</v>
      </c>
      <c r="D51" s="200" t="s">
        <v>137</v>
      </c>
      <c r="E51" s="200" t="s">
        <v>137</v>
      </c>
      <c r="F51" s="200" t="s">
        <v>137</v>
      </c>
      <c r="G51" s="57"/>
      <c r="H51" s="361"/>
      <c r="I51" s="362"/>
      <c r="J51" s="362"/>
      <c r="K51" s="362"/>
    </row>
    <row r="52" spans="1:11" ht="31.5" x14ac:dyDescent="0.25">
      <c r="A52" s="302" t="s">
        <v>75</v>
      </c>
      <c r="B52" s="53" t="s">
        <v>174</v>
      </c>
      <c r="C52" s="313"/>
      <c r="D52" s="35" t="s">
        <v>65</v>
      </c>
      <c r="E52" s="285" t="s">
        <v>109</v>
      </c>
      <c r="F52" s="36">
        <f>IF((C52="Y")*AND(C51="Y"),1,0)</f>
        <v>0</v>
      </c>
      <c r="G52" s="57"/>
      <c r="H52" s="361"/>
      <c r="I52" s="362"/>
      <c r="J52" s="362"/>
      <c r="K52" s="362"/>
    </row>
    <row r="53" spans="1:11" x14ac:dyDescent="0.25">
      <c r="A53" s="218"/>
      <c r="B53" s="366" t="s">
        <v>175</v>
      </c>
      <c r="C53" s="367"/>
      <c r="D53" s="367"/>
      <c r="E53" s="367"/>
      <c r="F53" s="219">
        <f>MIN((F50+F52),3)</f>
        <v>0</v>
      </c>
      <c r="G53" s="166"/>
      <c r="H53" s="361"/>
      <c r="I53" s="362"/>
      <c r="J53" s="362"/>
      <c r="K53" s="362"/>
    </row>
    <row r="54" spans="1:11" x14ac:dyDescent="0.25">
      <c r="A54" s="147" t="s">
        <v>176</v>
      </c>
      <c r="B54" s="391" t="s">
        <v>177</v>
      </c>
      <c r="C54" s="391"/>
      <c r="D54" s="391"/>
      <c r="E54" s="147">
        <v>5</v>
      </c>
      <c r="F54" s="149">
        <f>MIN(SUM(F65,F60),5)</f>
        <v>0</v>
      </c>
      <c r="G54" s="147"/>
      <c r="H54" s="361"/>
      <c r="I54" s="362"/>
      <c r="J54" s="362"/>
      <c r="K54" s="362"/>
    </row>
    <row r="55" spans="1:11" x14ac:dyDescent="0.25">
      <c r="A55" s="204" t="s">
        <v>178</v>
      </c>
      <c r="B55" s="223" t="s">
        <v>179</v>
      </c>
      <c r="C55" s="224"/>
      <c r="D55" s="205"/>
      <c r="E55" s="206"/>
      <c r="F55" s="231"/>
      <c r="G55" s="156"/>
      <c r="H55" s="361"/>
      <c r="I55" s="362"/>
      <c r="J55" s="362"/>
      <c r="K55" s="362"/>
    </row>
    <row r="56" spans="1:11" ht="31.5" x14ac:dyDescent="0.25">
      <c r="A56" s="232"/>
      <c r="B56" s="229" t="s">
        <v>180</v>
      </c>
      <c r="C56" s="233"/>
      <c r="D56" s="233"/>
      <c r="E56" s="230"/>
      <c r="F56" s="232"/>
      <c r="G56" s="163"/>
      <c r="H56" s="361"/>
      <c r="I56" s="362"/>
      <c r="J56" s="362"/>
      <c r="K56" s="362"/>
    </row>
    <row r="57" spans="1:11" x14ac:dyDescent="0.25">
      <c r="A57" s="302" t="s">
        <v>70</v>
      </c>
      <c r="B57" s="53" t="s">
        <v>181</v>
      </c>
      <c r="C57" s="4"/>
      <c r="D57" s="174" t="s">
        <v>68</v>
      </c>
      <c r="E57" s="285" t="s">
        <v>109</v>
      </c>
      <c r="F57" s="36">
        <f>IF(C57&gt;5,1,0)</f>
        <v>0</v>
      </c>
      <c r="G57" s="57"/>
      <c r="H57" s="361"/>
      <c r="I57" s="362"/>
      <c r="J57" s="362"/>
      <c r="K57" s="362"/>
    </row>
    <row r="58" spans="1:11" ht="31.5" x14ac:dyDescent="0.25">
      <c r="A58" s="302" t="s">
        <v>72</v>
      </c>
      <c r="B58" s="53" t="s">
        <v>182</v>
      </c>
      <c r="C58" s="4"/>
      <c r="D58" s="35" t="s">
        <v>65</v>
      </c>
      <c r="E58" s="285" t="s">
        <v>109</v>
      </c>
      <c r="F58" s="36">
        <f>IF(C58="Y",1,0)</f>
        <v>0</v>
      </c>
      <c r="G58" s="57"/>
      <c r="H58" s="361"/>
      <c r="I58" s="362"/>
      <c r="J58" s="362"/>
      <c r="K58" s="362"/>
    </row>
    <row r="59" spans="1:11" ht="47.25" x14ac:dyDescent="0.25">
      <c r="A59" s="302" t="s">
        <v>75</v>
      </c>
      <c r="B59" s="53" t="s">
        <v>183</v>
      </c>
      <c r="C59" s="4"/>
      <c r="D59" s="35" t="s">
        <v>65</v>
      </c>
      <c r="E59" s="285" t="s">
        <v>109</v>
      </c>
      <c r="F59" s="36">
        <f>IF(C59="Y",1,0)</f>
        <v>0</v>
      </c>
      <c r="G59" s="57"/>
      <c r="H59" s="361"/>
      <c r="I59" s="362"/>
      <c r="J59" s="362"/>
      <c r="K59" s="362"/>
    </row>
    <row r="60" spans="1:11" x14ac:dyDescent="0.25">
      <c r="A60" s="218"/>
      <c r="B60" s="366" t="s">
        <v>184</v>
      </c>
      <c r="C60" s="367"/>
      <c r="D60" s="367"/>
      <c r="E60" s="367"/>
      <c r="F60" s="219">
        <f>MIN(F57+F58+F59,3)</f>
        <v>0</v>
      </c>
      <c r="G60" s="188"/>
      <c r="H60" s="361"/>
      <c r="I60" s="362"/>
      <c r="J60" s="362"/>
      <c r="K60" s="362"/>
    </row>
    <row r="61" spans="1:11" x14ac:dyDescent="0.25">
      <c r="A61" s="204" t="s">
        <v>185</v>
      </c>
      <c r="B61" s="370" t="s">
        <v>186</v>
      </c>
      <c r="C61" s="371"/>
      <c r="D61" s="205"/>
      <c r="E61" s="206"/>
      <c r="F61" s="231"/>
      <c r="G61" s="156"/>
      <c r="H61" s="361"/>
      <c r="I61" s="362"/>
      <c r="J61" s="362"/>
      <c r="K61" s="362"/>
    </row>
    <row r="62" spans="1:11" ht="47.25" x14ac:dyDescent="0.25">
      <c r="A62" s="234"/>
      <c r="B62" s="209" t="s">
        <v>187</v>
      </c>
      <c r="C62" s="235"/>
      <c r="D62" s="235"/>
      <c r="E62" s="220"/>
      <c r="F62" s="232"/>
      <c r="G62" s="163"/>
      <c r="H62" s="361"/>
      <c r="I62" s="362"/>
      <c r="J62" s="362"/>
      <c r="K62" s="362"/>
    </row>
    <row r="63" spans="1:11" ht="63" x14ac:dyDescent="0.25">
      <c r="A63" s="302" t="s">
        <v>70</v>
      </c>
      <c r="B63" s="215" t="s">
        <v>188</v>
      </c>
      <c r="C63" s="4"/>
      <c r="D63" s="35" t="s">
        <v>65</v>
      </c>
      <c r="E63" s="285" t="s">
        <v>126</v>
      </c>
      <c r="F63" s="36">
        <f>IF(C63="Y",2,0)</f>
        <v>0</v>
      </c>
      <c r="G63" s="57"/>
      <c r="H63" s="361"/>
      <c r="I63" s="362"/>
      <c r="J63" s="362"/>
      <c r="K63" s="362"/>
    </row>
    <row r="64" spans="1:11" ht="63" x14ac:dyDescent="0.25">
      <c r="A64" s="302" t="s">
        <v>72</v>
      </c>
      <c r="B64" s="215" t="s">
        <v>189</v>
      </c>
      <c r="C64" s="4"/>
      <c r="D64" s="35" t="s">
        <v>65</v>
      </c>
      <c r="E64" s="285" t="s">
        <v>126</v>
      </c>
      <c r="F64" s="36">
        <f>IF(C64="Y",2,0)</f>
        <v>0</v>
      </c>
      <c r="G64" s="57"/>
      <c r="H64" s="361"/>
      <c r="I64" s="362"/>
      <c r="J64" s="362"/>
      <c r="K64" s="362"/>
    </row>
    <row r="65" spans="1:11" x14ac:dyDescent="0.25">
      <c r="A65" s="218"/>
      <c r="B65" s="366" t="s">
        <v>190</v>
      </c>
      <c r="C65" s="367"/>
      <c r="D65" s="367"/>
      <c r="E65" s="367"/>
      <c r="F65" s="219">
        <f>MIN(F63+F64,4)</f>
        <v>0</v>
      </c>
      <c r="G65" s="166"/>
      <c r="H65" s="361"/>
      <c r="I65" s="362"/>
      <c r="J65" s="362"/>
      <c r="K65" s="362"/>
    </row>
    <row r="66" spans="1:11" x14ac:dyDescent="0.25">
      <c r="A66" s="147"/>
      <c r="B66" s="391" t="s">
        <v>191</v>
      </c>
      <c r="C66" s="391"/>
      <c r="D66" s="391"/>
      <c r="E66" s="148">
        <v>2</v>
      </c>
      <c r="F66" s="149">
        <f>MIN(F68+F69,2)</f>
        <v>0</v>
      </c>
      <c r="G66" s="147"/>
      <c r="H66" s="361"/>
      <c r="I66" s="362"/>
      <c r="J66" s="362"/>
      <c r="K66" s="362"/>
    </row>
    <row r="67" spans="1:11" ht="110.25" x14ac:dyDescent="0.25">
      <c r="A67" s="208"/>
      <c r="B67" s="236" t="s">
        <v>192</v>
      </c>
      <c r="C67" s="220"/>
      <c r="D67" s="220"/>
      <c r="E67" s="220" t="s">
        <v>193</v>
      </c>
      <c r="F67" s="198"/>
      <c r="G67" s="189" t="s">
        <v>194</v>
      </c>
      <c r="H67" s="361"/>
      <c r="I67" s="362"/>
      <c r="J67" s="362"/>
      <c r="K67" s="362"/>
    </row>
    <row r="68" spans="1:11" ht="136.5" customHeight="1" x14ac:dyDescent="0.25">
      <c r="A68" s="384"/>
      <c r="B68" s="386" t="s">
        <v>195</v>
      </c>
      <c r="C68" s="243"/>
      <c r="D68" s="91" t="s">
        <v>68</v>
      </c>
      <c r="E68" s="388" t="s">
        <v>196</v>
      </c>
      <c r="F68" s="36">
        <f>C68</f>
        <v>0</v>
      </c>
      <c r="G68" s="98" t="s">
        <v>197</v>
      </c>
      <c r="H68" s="361"/>
      <c r="I68" s="362"/>
      <c r="J68" s="362"/>
      <c r="K68" s="362"/>
    </row>
    <row r="69" spans="1:11" ht="135.94999999999999" customHeight="1" x14ac:dyDescent="0.25">
      <c r="A69" s="385"/>
      <c r="B69" s="387"/>
      <c r="C69" s="243"/>
      <c r="D69" s="91" t="s">
        <v>68</v>
      </c>
      <c r="E69" s="388"/>
      <c r="F69" s="36">
        <f>C69</f>
        <v>0</v>
      </c>
      <c r="G69" s="98" t="s">
        <v>198</v>
      </c>
      <c r="H69" s="361"/>
      <c r="I69" s="362"/>
      <c r="J69" s="362"/>
      <c r="K69" s="362"/>
    </row>
  </sheetData>
  <sheetProtection formatCells="0" selectLockedCells="1"/>
  <mergeCells count="96">
    <mergeCell ref="H68:K68"/>
    <mergeCell ref="H69:K69"/>
    <mergeCell ref="H63:K63"/>
    <mergeCell ref="H64:K64"/>
    <mergeCell ref="H65:K65"/>
    <mergeCell ref="H66:K66"/>
    <mergeCell ref="H67:K67"/>
    <mergeCell ref="H58:K58"/>
    <mergeCell ref="H59:K59"/>
    <mergeCell ref="H60:K60"/>
    <mergeCell ref="H61:K61"/>
    <mergeCell ref="H62:K62"/>
    <mergeCell ref="H53:K53"/>
    <mergeCell ref="H54:K54"/>
    <mergeCell ref="H55:K55"/>
    <mergeCell ref="H56:K56"/>
    <mergeCell ref="H57:K57"/>
    <mergeCell ref="H48:K48"/>
    <mergeCell ref="H49:K49"/>
    <mergeCell ref="H50:K50"/>
    <mergeCell ref="H51:K51"/>
    <mergeCell ref="H52:K52"/>
    <mergeCell ref="H43:K43"/>
    <mergeCell ref="H44:K44"/>
    <mergeCell ref="H45:K45"/>
    <mergeCell ref="H46:K46"/>
    <mergeCell ref="H47:K47"/>
    <mergeCell ref="H38:K38"/>
    <mergeCell ref="H39:K39"/>
    <mergeCell ref="H40:K40"/>
    <mergeCell ref="H41:K41"/>
    <mergeCell ref="H42:K42"/>
    <mergeCell ref="H29:K29"/>
    <mergeCell ref="H30:K30"/>
    <mergeCell ref="H35:K35"/>
    <mergeCell ref="H36:K36"/>
    <mergeCell ref="H37:K37"/>
    <mergeCell ref="J32:J33"/>
    <mergeCell ref="K32:K33"/>
    <mergeCell ref="H24:K24"/>
    <mergeCell ref="H25:K25"/>
    <mergeCell ref="H26:K26"/>
    <mergeCell ref="H27:K27"/>
    <mergeCell ref="H28:K28"/>
    <mergeCell ref="H19:K19"/>
    <mergeCell ref="H20:K20"/>
    <mergeCell ref="H21:K21"/>
    <mergeCell ref="H22:K22"/>
    <mergeCell ref="H23:K23"/>
    <mergeCell ref="H7:K7"/>
    <mergeCell ref="H8:K8"/>
    <mergeCell ref="H9:K9"/>
    <mergeCell ref="H10:K10"/>
    <mergeCell ref="H11:K11"/>
    <mergeCell ref="H2:K2"/>
    <mergeCell ref="H3:K3"/>
    <mergeCell ref="H4:K4"/>
    <mergeCell ref="H5:K5"/>
    <mergeCell ref="H6:K6"/>
    <mergeCell ref="A68:A69"/>
    <mergeCell ref="B68:B69"/>
    <mergeCell ref="E68:E69"/>
    <mergeCell ref="F32:F33"/>
    <mergeCell ref="B3:D3"/>
    <mergeCell ref="B23:E23"/>
    <mergeCell ref="B66:D66"/>
    <mergeCell ref="B65:E65"/>
    <mergeCell ref="B8:E8"/>
    <mergeCell ref="B60:E60"/>
    <mergeCell ref="B61:C61"/>
    <mergeCell ref="E14:E15"/>
    <mergeCell ref="F14:F15"/>
    <mergeCell ref="B54:D54"/>
    <mergeCell ref="B47:E47"/>
    <mergeCell ref="B53:E53"/>
    <mergeCell ref="H12:K12"/>
    <mergeCell ref="H13:K13"/>
    <mergeCell ref="H14:K14"/>
    <mergeCell ref="H15:K15"/>
    <mergeCell ref="H16:K16"/>
    <mergeCell ref="H17:K17"/>
    <mergeCell ref="H18:K18"/>
    <mergeCell ref="A2:D2"/>
    <mergeCell ref="B39:E39"/>
    <mergeCell ref="A42:A44"/>
    <mergeCell ref="B27:E27"/>
    <mergeCell ref="B29:C29"/>
    <mergeCell ref="A31:A33"/>
    <mergeCell ref="E32:E33"/>
    <mergeCell ref="B35:E35"/>
    <mergeCell ref="A10:A13"/>
    <mergeCell ref="A14:A15"/>
    <mergeCell ref="B14:B15"/>
    <mergeCell ref="B28:D28"/>
    <mergeCell ref="B16:E16"/>
    <mergeCell ref="B20:E20"/>
  </mergeCells>
  <dataValidations count="9">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11:C14 C19 C43:C46 C37:C38 C63:C64 C58:C59 C6:C7 C50 C52" xr:uid="{00000000-0002-0000-0300-000005000000}">
      <formula1>"Y,N"</formula1>
    </dataValidation>
    <dataValidation type="decimal" allowBlank="1" showInputMessage="1" showErrorMessage="1" sqref="C22 C15"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 type="decimal" allowBlank="1" showInputMessage="1" showErrorMessage="1" sqref="C57" xr:uid="{00000000-0002-0000-0300-000008000000}">
      <formula1>0</formula1>
      <formula2>1000</formula2>
    </dataValidation>
  </dataValidations>
  <pageMargins left="0.7" right="0.7" top="0.75" bottom="0.75" header="0.3" footer="0.3"/>
  <pageSetup paperSize="9" scale="56" fitToHeight="2" orientation="portrait"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2"/>
  <sheetViews>
    <sheetView showGridLines="0" zoomScaleNormal="100" workbookViewId="0">
      <selection activeCell="J6" sqref="J6"/>
    </sheetView>
  </sheetViews>
  <sheetFormatPr defaultColWidth="8.7109375" defaultRowHeight="15" x14ac:dyDescent="0.25"/>
  <cols>
    <col min="1" max="1" width="8.28515625" style="279" customWidth="1"/>
    <col min="2" max="2" width="22.28515625" style="279" customWidth="1"/>
    <col min="3" max="3" width="34" style="279" customWidth="1"/>
    <col min="4" max="4" width="21.140625" style="279" customWidth="1"/>
    <col min="5" max="5" width="10.7109375" style="311" customWidth="1"/>
    <col min="6" max="6" width="16.140625" style="308" customWidth="1"/>
    <col min="7" max="7" width="18.140625" style="279" customWidth="1"/>
    <col min="8" max="8" width="10.7109375" style="279" customWidth="1"/>
    <col min="9" max="9" width="30.7109375" style="279" customWidth="1"/>
    <col min="10" max="11" width="50.7109375" style="279" customWidth="1"/>
    <col min="12" max="12" width="15.5703125" style="279" customWidth="1"/>
    <col min="13" max="13" width="17.28515625" style="279" customWidth="1"/>
    <col min="14" max="16384" width="8.7109375" style="279"/>
  </cols>
  <sheetData>
    <row r="1" spans="1:9" ht="47.25" x14ac:dyDescent="0.25">
      <c r="A1" s="19"/>
      <c r="B1" s="405" t="s">
        <v>199</v>
      </c>
      <c r="C1" s="406"/>
      <c r="D1" s="407"/>
      <c r="E1" s="20" t="s">
        <v>61</v>
      </c>
      <c r="F1" s="20" t="s">
        <v>62</v>
      </c>
      <c r="G1" s="21" t="s">
        <v>98</v>
      </c>
      <c r="H1" s="20" t="s">
        <v>99</v>
      </c>
      <c r="I1" s="282" t="s">
        <v>100</v>
      </c>
    </row>
    <row r="2" spans="1:9" ht="21" x14ac:dyDescent="0.25">
      <c r="A2" s="418" t="s">
        <v>27</v>
      </c>
      <c r="B2" s="419"/>
      <c r="C2" s="419"/>
      <c r="D2" s="419"/>
      <c r="E2" s="419"/>
      <c r="F2" s="420"/>
      <c r="G2" s="99">
        <v>15</v>
      </c>
      <c r="H2" s="100">
        <f>MIN(SUM(H3,H29,H68,H79),15)</f>
        <v>0</v>
      </c>
      <c r="I2" s="101" t="s">
        <v>101</v>
      </c>
    </row>
    <row r="3" spans="1:9" ht="15.75" x14ac:dyDescent="0.25">
      <c r="A3" s="102" t="s">
        <v>200</v>
      </c>
      <c r="B3" s="408" t="s">
        <v>201</v>
      </c>
      <c r="C3" s="409"/>
      <c r="D3" s="409"/>
      <c r="E3" s="409"/>
      <c r="F3" s="409"/>
      <c r="G3" s="103">
        <v>5</v>
      </c>
      <c r="H3" s="103">
        <f>MIN(SUM(H16,H25,H28),5)</f>
        <v>0</v>
      </c>
      <c r="I3" s="104"/>
    </row>
    <row r="4" spans="1:9" ht="15.75" x14ac:dyDescent="0.25">
      <c r="A4" s="105" t="s">
        <v>202</v>
      </c>
      <c r="B4" s="400" t="s">
        <v>203</v>
      </c>
      <c r="C4" s="400"/>
      <c r="D4" s="401"/>
      <c r="E4" s="106"/>
      <c r="F4" s="105"/>
      <c r="G4" s="105"/>
      <c r="H4" s="107"/>
      <c r="I4" s="105"/>
    </row>
    <row r="5" spans="1:9" ht="15.75" x14ac:dyDescent="0.25">
      <c r="A5" s="293"/>
      <c r="B5" s="458" t="s">
        <v>204</v>
      </c>
      <c r="C5" s="458"/>
      <c r="D5" s="458"/>
      <c r="E5" s="300"/>
      <c r="F5" s="291"/>
      <c r="G5" s="293"/>
      <c r="H5" s="108"/>
      <c r="I5" s="97"/>
    </row>
    <row r="6" spans="1:9" ht="16.5" thickBot="1" x14ac:dyDescent="0.3">
      <c r="A6" s="109" t="s">
        <v>205</v>
      </c>
      <c r="B6" s="459" t="s">
        <v>206</v>
      </c>
      <c r="C6" s="460"/>
      <c r="D6" s="461"/>
      <c r="E6" s="110"/>
      <c r="F6" s="109"/>
      <c r="G6" s="109"/>
      <c r="H6" s="111"/>
      <c r="I6" s="109"/>
    </row>
    <row r="7" spans="1:9" ht="15.75" x14ac:dyDescent="0.25">
      <c r="A7" s="422"/>
      <c r="B7" s="463" t="s">
        <v>207</v>
      </c>
      <c r="C7" s="464"/>
      <c r="D7" s="423"/>
      <c r="E7" s="426"/>
      <c r="F7" s="422"/>
      <c r="G7" s="422"/>
      <c r="H7" s="390"/>
      <c r="I7" s="465"/>
    </row>
    <row r="8" spans="1:9" ht="15.75" x14ac:dyDescent="0.25">
      <c r="A8" s="422"/>
      <c r="B8" s="441" t="s">
        <v>208</v>
      </c>
      <c r="C8" s="112" t="s">
        <v>209</v>
      </c>
      <c r="D8" s="424"/>
      <c r="E8" s="426"/>
      <c r="F8" s="422"/>
      <c r="G8" s="422"/>
      <c r="H8" s="390"/>
      <c r="I8" s="465"/>
    </row>
    <row r="9" spans="1:9" ht="15.75" x14ac:dyDescent="0.25">
      <c r="A9" s="422"/>
      <c r="B9" s="441"/>
      <c r="C9" s="112" t="s">
        <v>210</v>
      </c>
      <c r="D9" s="424"/>
      <c r="E9" s="426"/>
      <c r="F9" s="422"/>
      <c r="G9" s="422"/>
      <c r="H9" s="390"/>
      <c r="I9" s="465"/>
    </row>
    <row r="10" spans="1:9" ht="15.75" x14ac:dyDescent="0.25">
      <c r="A10" s="422"/>
      <c r="B10" s="441" t="s">
        <v>211</v>
      </c>
      <c r="C10" s="112" t="s">
        <v>212</v>
      </c>
      <c r="D10" s="424"/>
      <c r="E10" s="426"/>
      <c r="F10" s="422"/>
      <c r="G10" s="422"/>
      <c r="H10" s="390"/>
      <c r="I10" s="465"/>
    </row>
    <row r="11" spans="1:9" ht="15.75" x14ac:dyDescent="0.25">
      <c r="A11" s="422"/>
      <c r="B11" s="441"/>
      <c r="C11" s="112" t="s">
        <v>213</v>
      </c>
      <c r="D11" s="424"/>
      <c r="E11" s="426"/>
      <c r="F11" s="422"/>
      <c r="G11" s="422"/>
      <c r="H11" s="390"/>
      <c r="I11" s="465"/>
    </row>
    <row r="12" spans="1:9" ht="15.75" x14ac:dyDescent="0.25">
      <c r="A12" s="422"/>
      <c r="B12" s="441"/>
      <c r="C12" s="112" t="s">
        <v>214</v>
      </c>
      <c r="D12" s="424"/>
      <c r="E12" s="426"/>
      <c r="F12" s="422"/>
      <c r="G12" s="422"/>
      <c r="H12" s="390"/>
      <c r="I12" s="465"/>
    </row>
    <row r="13" spans="1:9" ht="15.75" x14ac:dyDescent="0.25">
      <c r="A13" s="422"/>
      <c r="B13" s="441"/>
      <c r="C13" s="112" t="s">
        <v>215</v>
      </c>
      <c r="D13" s="424"/>
      <c r="E13" s="426"/>
      <c r="F13" s="422"/>
      <c r="G13" s="422"/>
      <c r="H13" s="390"/>
      <c r="I13" s="465"/>
    </row>
    <row r="14" spans="1:9" ht="16.5" thickBot="1" x14ac:dyDescent="0.3">
      <c r="A14" s="422"/>
      <c r="B14" s="442"/>
      <c r="C14" s="113" t="s">
        <v>216</v>
      </c>
      <c r="D14" s="424"/>
      <c r="E14" s="426"/>
      <c r="F14" s="422"/>
      <c r="G14" s="422"/>
      <c r="H14" s="390"/>
      <c r="I14" s="465"/>
    </row>
    <row r="15" spans="1:9" ht="98.45" customHeight="1" x14ac:dyDescent="0.25">
      <c r="A15" s="293"/>
      <c r="B15" s="403" t="s">
        <v>217</v>
      </c>
      <c r="C15" s="458"/>
      <c r="D15" s="458"/>
      <c r="E15" s="114" t="s">
        <v>137</v>
      </c>
      <c r="F15" s="115" t="s">
        <v>137</v>
      </c>
      <c r="G15" s="283" t="s">
        <v>137</v>
      </c>
      <c r="H15" s="115" t="s">
        <v>137</v>
      </c>
      <c r="I15" s="96"/>
    </row>
    <row r="16" spans="1:9" ht="15.75" x14ac:dyDescent="0.25">
      <c r="A16" s="116"/>
      <c r="B16" s="411" t="s">
        <v>218</v>
      </c>
      <c r="C16" s="412"/>
      <c r="D16" s="412"/>
      <c r="E16" s="412"/>
      <c r="F16" s="412"/>
      <c r="G16" s="413"/>
      <c r="H16" s="117">
        <f>SUM(H15)</f>
        <v>0</v>
      </c>
      <c r="I16" s="118"/>
    </row>
    <row r="17" spans="1:9" ht="15.75" customHeight="1" x14ac:dyDescent="0.25">
      <c r="A17" s="109" t="s">
        <v>219</v>
      </c>
      <c r="B17" s="459" t="s">
        <v>220</v>
      </c>
      <c r="C17" s="460"/>
      <c r="D17" s="461"/>
      <c r="E17" s="110"/>
      <c r="F17" s="109"/>
      <c r="G17" s="109"/>
      <c r="H17" s="111"/>
      <c r="I17" s="109"/>
    </row>
    <row r="18" spans="1:9" ht="84.75" customHeight="1" x14ac:dyDescent="0.25">
      <c r="A18" s="293" t="s">
        <v>221</v>
      </c>
      <c r="B18" s="403" t="s">
        <v>511</v>
      </c>
      <c r="C18" s="403"/>
      <c r="D18" s="403"/>
      <c r="E18" s="94"/>
      <c r="F18" s="83" t="s">
        <v>222</v>
      </c>
      <c r="G18" s="295" t="s">
        <v>109</v>
      </c>
      <c r="H18" s="286">
        <f>IF(ISNUMBER(E18), 1, 0)</f>
        <v>0</v>
      </c>
      <c r="I18" s="97"/>
    </row>
    <row r="19" spans="1:9" ht="64.5" customHeight="1" thickBot="1" x14ac:dyDescent="0.3">
      <c r="A19" s="293" t="s">
        <v>223</v>
      </c>
      <c r="B19" s="403" t="s">
        <v>224</v>
      </c>
      <c r="C19" s="403"/>
      <c r="D19" s="403"/>
      <c r="E19" s="114" t="s">
        <v>137</v>
      </c>
      <c r="F19" s="115" t="s">
        <v>137</v>
      </c>
      <c r="G19" s="283" t="s">
        <v>137</v>
      </c>
      <c r="H19" s="115" t="s">
        <v>137</v>
      </c>
      <c r="I19" s="97"/>
    </row>
    <row r="20" spans="1:9" ht="31.5" x14ac:dyDescent="0.25">
      <c r="A20" s="422"/>
      <c r="B20" s="119"/>
      <c r="C20" s="120" t="s">
        <v>225</v>
      </c>
      <c r="D20" s="121"/>
      <c r="E20" s="426"/>
      <c r="F20" s="422"/>
      <c r="G20" s="422"/>
      <c r="H20" s="390"/>
      <c r="I20" s="465"/>
    </row>
    <row r="21" spans="1:9" ht="15.75" x14ac:dyDescent="0.25">
      <c r="A21" s="422"/>
      <c r="B21" s="122" t="s">
        <v>226</v>
      </c>
      <c r="C21" s="123">
        <v>1000</v>
      </c>
      <c r="D21" s="124"/>
      <c r="E21" s="426"/>
      <c r="F21" s="422"/>
      <c r="G21" s="422"/>
      <c r="H21" s="390"/>
      <c r="I21" s="465"/>
    </row>
    <row r="22" spans="1:9" ht="15.75" x14ac:dyDescent="0.25">
      <c r="A22" s="422"/>
      <c r="B22" s="122" t="s">
        <v>227</v>
      </c>
      <c r="C22" s="123">
        <v>1500</v>
      </c>
      <c r="D22" s="124"/>
      <c r="E22" s="426"/>
      <c r="F22" s="422"/>
      <c r="G22" s="422"/>
      <c r="H22" s="390"/>
      <c r="I22" s="465"/>
    </row>
    <row r="23" spans="1:9" ht="16.5" thickBot="1" x14ac:dyDescent="0.3">
      <c r="A23" s="422"/>
      <c r="B23" s="125" t="s">
        <v>228</v>
      </c>
      <c r="C23" s="126">
        <v>2500</v>
      </c>
      <c r="D23" s="124"/>
      <c r="E23" s="426"/>
      <c r="F23" s="422"/>
      <c r="G23" s="422"/>
      <c r="H23" s="390"/>
      <c r="I23" s="465"/>
    </row>
    <row r="24" spans="1:9" ht="15.75" x14ac:dyDescent="0.25">
      <c r="A24" s="428"/>
      <c r="B24" s="421" t="s">
        <v>229</v>
      </c>
      <c r="C24" s="421"/>
      <c r="D24" s="421"/>
      <c r="E24" s="466"/>
      <c r="F24" s="428"/>
      <c r="G24" s="428"/>
      <c r="H24" s="389"/>
      <c r="I24" s="465"/>
    </row>
    <row r="25" spans="1:9" ht="15.75" x14ac:dyDescent="0.25">
      <c r="A25" s="116"/>
      <c r="B25" s="411" t="s">
        <v>230</v>
      </c>
      <c r="C25" s="412"/>
      <c r="D25" s="412"/>
      <c r="E25" s="412"/>
      <c r="F25" s="412"/>
      <c r="G25" s="413"/>
      <c r="H25" s="117">
        <f>SUM(H18:H19)</f>
        <v>0</v>
      </c>
      <c r="I25" s="118"/>
    </row>
    <row r="26" spans="1:9" ht="15.75" x14ac:dyDescent="0.25">
      <c r="A26" s="105" t="s">
        <v>231</v>
      </c>
      <c r="B26" s="400" t="s">
        <v>232</v>
      </c>
      <c r="C26" s="400"/>
      <c r="D26" s="401"/>
      <c r="E26" s="106"/>
      <c r="F26" s="105"/>
      <c r="G26" s="105"/>
      <c r="H26" s="107"/>
      <c r="I26" s="105"/>
    </row>
    <row r="27" spans="1:9" ht="47.25" customHeight="1" x14ac:dyDescent="0.25">
      <c r="A27" s="291"/>
      <c r="B27" s="403" t="s">
        <v>233</v>
      </c>
      <c r="C27" s="403"/>
      <c r="D27" s="403"/>
      <c r="E27" s="94"/>
      <c r="F27" s="294" t="s">
        <v>65</v>
      </c>
      <c r="G27" s="295" t="s">
        <v>234</v>
      </c>
      <c r="H27" s="286">
        <f>IF(E27="Y",5,0)</f>
        <v>0</v>
      </c>
      <c r="I27" s="143"/>
    </row>
    <row r="28" spans="1:9" ht="15.75" x14ac:dyDescent="0.25">
      <c r="A28" s="116"/>
      <c r="B28" s="411" t="s">
        <v>235</v>
      </c>
      <c r="C28" s="412"/>
      <c r="D28" s="412"/>
      <c r="E28" s="412"/>
      <c r="F28" s="412"/>
      <c r="G28" s="413"/>
      <c r="H28" s="117">
        <f>H27</f>
        <v>0</v>
      </c>
      <c r="I28" s="118"/>
    </row>
    <row r="29" spans="1:9" ht="15.75" x14ac:dyDescent="0.25">
      <c r="A29" s="102" t="s">
        <v>236</v>
      </c>
      <c r="B29" s="408" t="s">
        <v>237</v>
      </c>
      <c r="C29" s="409"/>
      <c r="D29" s="409"/>
      <c r="E29" s="409"/>
      <c r="F29" s="409"/>
      <c r="G29" s="103">
        <v>5</v>
      </c>
      <c r="H29" s="127">
        <f>MIN(SUM(H56,H61,H67),5)</f>
        <v>0</v>
      </c>
      <c r="I29" s="104"/>
    </row>
    <row r="30" spans="1:9" ht="15.75" customHeight="1" x14ac:dyDescent="0.25">
      <c r="A30" s="105" t="s">
        <v>238</v>
      </c>
      <c r="B30" s="400" t="s">
        <v>239</v>
      </c>
      <c r="C30" s="400"/>
      <c r="D30" s="401"/>
      <c r="E30" s="106"/>
      <c r="F30" s="105"/>
      <c r="G30" s="105"/>
      <c r="H30" s="105"/>
      <c r="I30" s="105"/>
    </row>
    <row r="31" spans="1:9" ht="31.5" customHeight="1" x14ac:dyDescent="0.25">
      <c r="A31" s="128"/>
      <c r="B31" s="404" t="s">
        <v>240</v>
      </c>
      <c r="C31" s="404"/>
      <c r="D31" s="404"/>
      <c r="E31" s="129"/>
      <c r="F31" s="130"/>
      <c r="G31" s="131"/>
      <c r="H31" s="132"/>
      <c r="I31" s="128"/>
    </row>
    <row r="32" spans="1:9" ht="16.5" thickBot="1" x14ac:dyDescent="0.3">
      <c r="A32" s="431" t="s">
        <v>70</v>
      </c>
      <c r="B32" s="449" t="s">
        <v>241</v>
      </c>
      <c r="C32" s="450"/>
      <c r="D32" s="451"/>
      <c r="E32" s="300"/>
      <c r="F32" s="133"/>
      <c r="G32" s="92"/>
      <c r="H32" s="134"/>
      <c r="I32" s="57"/>
    </row>
    <row r="33" spans="1:13" ht="15.75" x14ac:dyDescent="0.25">
      <c r="A33" s="432"/>
      <c r="B33" s="119"/>
      <c r="C33" s="120" t="s">
        <v>242</v>
      </c>
      <c r="D33" s="427"/>
      <c r="E33" s="444"/>
      <c r="F33" s="446" t="s">
        <v>68</v>
      </c>
      <c r="G33" s="431" t="s">
        <v>109</v>
      </c>
      <c r="H33" s="447">
        <f>IF(ISBLANK(E33),0,IF(E33&lt;=0.35,1,0))</f>
        <v>0</v>
      </c>
      <c r="I33" s="467"/>
    </row>
    <row r="34" spans="1:13" ht="15.75" x14ac:dyDescent="0.25">
      <c r="A34" s="432"/>
      <c r="B34" s="122" t="s">
        <v>226</v>
      </c>
      <c r="C34" s="123" t="s">
        <v>243</v>
      </c>
      <c r="D34" s="427"/>
      <c r="E34" s="445"/>
      <c r="F34" s="446"/>
      <c r="G34" s="431"/>
      <c r="H34" s="448"/>
      <c r="I34" s="468"/>
    </row>
    <row r="35" spans="1:13" ht="15.75" x14ac:dyDescent="0.25">
      <c r="A35" s="432"/>
      <c r="B35" s="122" t="s">
        <v>227</v>
      </c>
      <c r="C35" s="123" t="s">
        <v>244</v>
      </c>
      <c r="D35" s="427"/>
      <c r="E35" s="445"/>
      <c r="F35" s="446"/>
      <c r="G35" s="431"/>
      <c r="H35" s="448"/>
      <c r="I35" s="468"/>
    </row>
    <row r="36" spans="1:13" ht="16.5" thickBot="1" x14ac:dyDescent="0.3">
      <c r="A36" s="432"/>
      <c r="B36" s="125" t="s">
        <v>228</v>
      </c>
      <c r="C36" s="126" t="s">
        <v>244</v>
      </c>
      <c r="D36" s="427"/>
      <c r="E36" s="445"/>
      <c r="F36" s="446"/>
      <c r="G36" s="431"/>
      <c r="H36" s="448"/>
      <c r="I36" s="468"/>
    </row>
    <row r="37" spans="1:13" ht="67.5" customHeight="1" thickBot="1" x14ac:dyDescent="0.3">
      <c r="A37" s="433" t="s">
        <v>223</v>
      </c>
      <c r="B37" s="403" t="s">
        <v>245</v>
      </c>
      <c r="C37" s="403"/>
      <c r="D37" s="451"/>
      <c r="E37" s="437"/>
      <c r="F37" s="394"/>
      <c r="G37" s="394"/>
      <c r="H37" s="394"/>
      <c r="I37" s="470"/>
      <c r="K37" s="314"/>
      <c r="L37" s="306"/>
      <c r="M37" s="306"/>
    </row>
    <row r="38" spans="1:13" ht="31.5" customHeight="1" x14ac:dyDescent="0.25">
      <c r="A38" s="434"/>
      <c r="B38" s="119"/>
      <c r="C38" s="135" t="s">
        <v>246</v>
      </c>
      <c r="D38" s="429"/>
      <c r="E38" s="438"/>
      <c r="F38" s="440"/>
      <c r="G38" s="440"/>
      <c r="H38" s="440"/>
      <c r="I38" s="471"/>
      <c r="K38" s="314"/>
      <c r="L38" s="306"/>
      <c r="M38" s="306"/>
    </row>
    <row r="39" spans="1:13" ht="15.75" customHeight="1" x14ac:dyDescent="0.25">
      <c r="A39" s="434"/>
      <c r="B39" s="122" t="s">
        <v>226</v>
      </c>
      <c r="C39" s="123" t="s">
        <v>247</v>
      </c>
      <c r="D39" s="429"/>
      <c r="E39" s="438"/>
      <c r="F39" s="440"/>
      <c r="G39" s="440"/>
      <c r="H39" s="440"/>
      <c r="I39" s="471"/>
      <c r="K39" s="314"/>
      <c r="L39" s="306"/>
      <c r="M39" s="306"/>
    </row>
    <row r="40" spans="1:13" ht="15.75" customHeight="1" thickBot="1" x14ac:dyDescent="0.3">
      <c r="A40" s="434"/>
      <c r="B40" s="125" t="s">
        <v>227</v>
      </c>
      <c r="C40" s="136" t="s">
        <v>248</v>
      </c>
      <c r="D40" s="430"/>
      <c r="E40" s="439"/>
      <c r="F40" s="395"/>
      <c r="G40" s="395"/>
      <c r="H40" s="395"/>
      <c r="I40" s="472"/>
      <c r="K40" s="314"/>
      <c r="L40" s="306"/>
      <c r="M40" s="306"/>
    </row>
    <row r="41" spans="1:13" ht="15.75" customHeight="1" x14ac:dyDescent="0.25">
      <c r="A41" s="435"/>
      <c r="B41" s="453" t="s">
        <v>249</v>
      </c>
      <c r="C41" s="453"/>
      <c r="D41" s="403"/>
      <c r="E41" s="94"/>
      <c r="F41" s="294" t="s">
        <v>74</v>
      </c>
      <c r="G41" s="433" t="s">
        <v>109</v>
      </c>
      <c r="H41" s="447">
        <f>IF(SUM(E41:E45)&gt;=50, 1, 0)</f>
        <v>0</v>
      </c>
      <c r="I41" s="467"/>
      <c r="K41" s="314"/>
      <c r="L41" s="306"/>
      <c r="M41" s="306"/>
    </row>
    <row r="42" spans="1:13" ht="15.75" x14ac:dyDescent="0.25">
      <c r="A42" s="435"/>
      <c r="B42" s="403" t="s">
        <v>250</v>
      </c>
      <c r="C42" s="403"/>
      <c r="D42" s="403"/>
      <c r="E42" s="94"/>
      <c r="F42" s="294" t="s">
        <v>74</v>
      </c>
      <c r="G42" s="435"/>
      <c r="H42" s="448"/>
      <c r="I42" s="468"/>
      <c r="K42" s="314"/>
      <c r="L42" s="315"/>
      <c r="M42" s="311"/>
    </row>
    <row r="43" spans="1:13" ht="15.75" customHeight="1" x14ac:dyDescent="0.25">
      <c r="A43" s="435"/>
      <c r="B43" s="403" t="s">
        <v>251</v>
      </c>
      <c r="C43" s="403"/>
      <c r="D43" s="403"/>
      <c r="E43" s="94"/>
      <c r="F43" s="294" t="s">
        <v>74</v>
      </c>
      <c r="G43" s="435"/>
      <c r="H43" s="448"/>
      <c r="I43" s="468"/>
    </row>
    <row r="44" spans="1:13" ht="15.75" customHeight="1" x14ac:dyDescent="0.25">
      <c r="A44" s="435"/>
      <c r="B44" s="403" t="s">
        <v>252</v>
      </c>
      <c r="C44" s="403"/>
      <c r="D44" s="403"/>
      <c r="E44" s="94"/>
      <c r="F44" s="294" t="s">
        <v>74</v>
      </c>
      <c r="G44" s="435"/>
      <c r="H44" s="448"/>
      <c r="I44" s="468"/>
    </row>
    <row r="45" spans="1:13" ht="47.25" customHeight="1" x14ac:dyDescent="0.25">
      <c r="A45" s="436"/>
      <c r="B45" s="403" t="s">
        <v>253</v>
      </c>
      <c r="C45" s="403"/>
      <c r="D45" s="403"/>
      <c r="E45" s="94"/>
      <c r="F45" s="294" t="s">
        <v>74</v>
      </c>
      <c r="G45" s="436"/>
      <c r="H45" s="455"/>
      <c r="I45" s="469"/>
    </row>
    <row r="46" spans="1:13" ht="47.25" customHeight="1" x14ac:dyDescent="0.25">
      <c r="A46" s="433" t="s">
        <v>75</v>
      </c>
      <c r="B46" s="403" t="s">
        <v>254</v>
      </c>
      <c r="C46" s="403"/>
      <c r="D46" s="403"/>
      <c r="E46" s="300"/>
      <c r="F46" s="294"/>
      <c r="G46" s="22"/>
      <c r="H46" s="286"/>
      <c r="I46" s="57"/>
    </row>
    <row r="47" spans="1:13" ht="33" customHeight="1" x14ac:dyDescent="0.25">
      <c r="A47" s="436"/>
      <c r="B47" s="417" t="s">
        <v>255</v>
      </c>
      <c r="C47" s="417"/>
      <c r="D47" s="417"/>
      <c r="E47" s="94"/>
      <c r="F47" s="294" t="s">
        <v>68</v>
      </c>
      <c r="G47" s="285" t="s">
        <v>256</v>
      </c>
      <c r="H47" s="137">
        <f>IF(E47&gt;=2,E47*0.25,0)</f>
        <v>0</v>
      </c>
      <c r="I47" s="57"/>
    </row>
    <row r="48" spans="1:13" ht="64.5" customHeight="1" x14ac:dyDescent="0.25">
      <c r="A48" s="433" t="s">
        <v>80</v>
      </c>
      <c r="B48" s="415" t="s">
        <v>257</v>
      </c>
      <c r="C48" s="403"/>
      <c r="D48" s="416"/>
      <c r="E48" s="300"/>
      <c r="F48" s="294"/>
      <c r="G48" s="88" t="s">
        <v>258</v>
      </c>
      <c r="H48" s="138"/>
      <c r="I48" s="60"/>
    </row>
    <row r="49" spans="1:9" ht="15.75" x14ac:dyDescent="0.25">
      <c r="A49" s="435"/>
      <c r="B49" s="417" t="s">
        <v>259</v>
      </c>
      <c r="C49" s="417"/>
      <c r="D49" s="417"/>
      <c r="E49" s="94"/>
      <c r="F49" s="294" t="s">
        <v>68</v>
      </c>
      <c r="G49" s="295" t="s">
        <v>137</v>
      </c>
      <c r="H49" s="134"/>
      <c r="I49" s="57"/>
    </row>
    <row r="50" spans="1:9" ht="15.75" x14ac:dyDescent="0.25">
      <c r="A50" s="435"/>
      <c r="B50" s="403" t="s">
        <v>260</v>
      </c>
      <c r="C50" s="403"/>
      <c r="D50" s="403"/>
      <c r="E50" s="94"/>
      <c r="F50" s="294" t="s">
        <v>74</v>
      </c>
      <c r="G50" s="392" t="s">
        <v>261</v>
      </c>
      <c r="H50" s="447">
        <f>IF(AND(E50&gt;=20,E51="Y"),0.5,0)</f>
        <v>0</v>
      </c>
      <c r="I50" s="57"/>
    </row>
    <row r="51" spans="1:9" ht="18" customHeight="1" x14ac:dyDescent="0.25">
      <c r="A51" s="435"/>
      <c r="B51" s="403" t="s">
        <v>262</v>
      </c>
      <c r="C51" s="403"/>
      <c r="D51" s="403"/>
      <c r="E51" s="94"/>
      <c r="F51" s="294" t="s">
        <v>65</v>
      </c>
      <c r="G51" s="393"/>
      <c r="H51" s="455"/>
      <c r="I51" s="57"/>
    </row>
    <row r="52" spans="1:9" ht="15.75" x14ac:dyDescent="0.25">
      <c r="A52" s="435"/>
      <c r="B52" s="403" t="s">
        <v>504</v>
      </c>
      <c r="C52" s="403"/>
      <c r="D52" s="403"/>
      <c r="E52" s="94"/>
      <c r="F52" s="83" t="s">
        <v>74</v>
      </c>
      <c r="G52" s="392" t="s">
        <v>261</v>
      </c>
      <c r="H52" s="447">
        <f>IF(OR(AND(E52&gt;=10,E53="Y"),AND(E54&gt;=50,E55="Y")),0.5,0)</f>
        <v>0</v>
      </c>
      <c r="I52" s="57"/>
    </row>
    <row r="53" spans="1:9" ht="15.75" customHeight="1" x14ac:dyDescent="0.25">
      <c r="A53" s="435"/>
      <c r="B53" s="403" t="s">
        <v>263</v>
      </c>
      <c r="C53" s="403"/>
      <c r="D53" s="403"/>
      <c r="E53" s="94"/>
      <c r="F53" s="294" t="s">
        <v>65</v>
      </c>
      <c r="G53" s="462"/>
      <c r="H53" s="448"/>
      <c r="I53" s="57"/>
    </row>
    <row r="54" spans="1:9" ht="15.75" customHeight="1" x14ac:dyDescent="0.25">
      <c r="A54" s="435"/>
      <c r="B54" s="403" t="s">
        <v>264</v>
      </c>
      <c r="C54" s="403"/>
      <c r="D54" s="403"/>
      <c r="E54" s="94"/>
      <c r="F54" s="83" t="s">
        <v>74</v>
      </c>
      <c r="G54" s="462"/>
      <c r="H54" s="448"/>
      <c r="I54" s="57"/>
    </row>
    <row r="55" spans="1:9" ht="15.75" customHeight="1" x14ac:dyDescent="0.25">
      <c r="A55" s="436"/>
      <c r="B55" s="403" t="s">
        <v>265</v>
      </c>
      <c r="C55" s="403"/>
      <c r="D55" s="403"/>
      <c r="E55" s="94"/>
      <c r="F55" s="294" t="s">
        <v>65</v>
      </c>
      <c r="G55" s="393"/>
      <c r="H55" s="455"/>
      <c r="I55" s="57"/>
    </row>
    <row r="56" spans="1:9" ht="15.75" x14ac:dyDescent="0.25">
      <c r="A56" s="116"/>
      <c r="B56" s="411" t="s">
        <v>266</v>
      </c>
      <c r="C56" s="412"/>
      <c r="D56" s="412"/>
      <c r="E56" s="412"/>
      <c r="F56" s="412"/>
      <c r="G56" s="413"/>
      <c r="H56" s="117">
        <f>SUM(H50:H55,H47,H41,H33)</f>
        <v>0</v>
      </c>
      <c r="I56" s="118"/>
    </row>
    <row r="57" spans="1:9" ht="15.75" customHeight="1" x14ac:dyDescent="0.25">
      <c r="A57" s="139" t="s">
        <v>267</v>
      </c>
      <c r="B57" s="425" t="s">
        <v>268</v>
      </c>
      <c r="C57" s="400"/>
      <c r="D57" s="401"/>
      <c r="E57" s="106"/>
      <c r="F57" s="105"/>
      <c r="G57" s="105"/>
      <c r="H57" s="107"/>
      <c r="I57" s="105"/>
    </row>
    <row r="58" spans="1:9" ht="33.950000000000003" customHeight="1" x14ac:dyDescent="0.25">
      <c r="A58" s="443" t="s">
        <v>70</v>
      </c>
      <c r="B58" s="449" t="s">
        <v>269</v>
      </c>
      <c r="C58" s="450"/>
      <c r="D58" s="451"/>
      <c r="E58" s="94"/>
      <c r="F58" s="83" t="s">
        <v>270</v>
      </c>
      <c r="G58" s="392" t="s">
        <v>126</v>
      </c>
      <c r="H58" s="456">
        <f>IF(AND(E58="Cost",E59&gt;=60),2,0) + IF(AND(E58="Area",E59&gt;=80),2,0)</f>
        <v>0</v>
      </c>
      <c r="I58" s="57"/>
    </row>
    <row r="59" spans="1:9" ht="30.95" customHeight="1" x14ac:dyDescent="0.25">
      <c r="A59" s="443"/>
      <c r="B59" s="452"/>
      <c r="C59" s="453"/>
      <c r="D59" s="454"/>
      <c r="E59" s="94"/>
      <c r="F59" s="83" t="s">
        <v>74</v>
      </c>
      <c r="G59" s="393"/>
      <c r="H59" s="457"/>
      <c r="I59" s="57"/>
    </row>
    <row r="60" spans="1:9" ht="48" customHeight="1" x14ac:dyDescent="0.25">
      <c r="A60" s="293" t="s">
        <v>72</v>
      </c>
      <c r="B60" s="402" t="s">
        <v>271</v>
      </c>
      <c r="C60" s="403"/>
      <c r="D60" s="403"/>
      <c r="E60" s="94"/>
      <c r="F60" s="83" t="s">
        <v>74</v>
      </c>
      <c r="G60" s="285" t="s">
        <v>272</v>
      </c>
      <c r="H60" s="89">
        <f>IF(E60&gt;=60,3,0)</f>
        <v>0</v>
      </c>
      <c r="I60" s="57"/>
    </row>
    <row r="61" spans="1:9" ht="15.75" customHeight="1" x14ac:dyDescent="0.25">
      <c r="A61" s="140"/>
      <c r="B61" s="411" t="s">
        <v>273</v>
      </c>
      <c r="C61" s="412"/>
      <c r="D61" s="412"/>
      <c r="E61" s="412"/>
      <c r="F61" s="412"/>
      <c r="G61" s="413"/>
      <c r="H61" s="117">
        <f>SUM(H58:H60)</f>
        <v>0</v>
      </c>
      <c r="I61" s="118"/>
    </row>
    <row r="62" spans="1:9" ht="15.75" x14ac:dyDescent="0.25">
      <c r="A62" s="105" t="s">
        <v>274</v>
      </c>
      <c r="B62" s="400" t="s">
        <v>275</v>
      </c>
      <c r="C62" s="400"/>
      <c r="D62" s="401"/>
      <c r="E62" s="106"/>
      <c r="F62" s="105"/>
      <c r="G62" s="105"/>
      <c r="H62" s="107"/>
      <c r="I62" s="105"/>
    </row>
    <row r="63" spans="1:9" ht="65.25" customHeight="1" x14ac:dyDescent="0.25">
      <c r="A63" s="293"/>
      <c r="B63" s="402" t="s">
        <v>513</v>
      </c>
      <c r="C63" s="403"/>
      <c r="D63" s="403"/>
      <c r="E63" s="300"/>
      <c r="F63" s="83"/>
      <c r="G63" s="346"/>
      <c r="H63" s="286"/>
      <c r="I63" s="347"/>
    </row>
    <row r="64" spans="1:9" ht="15.75" x14ac:dyDescent="0.25">
      <c r="A64" s="293" t="s">
        <v>70</v>
      </c>
      <c r="B64" s="402" t="s">
        <v>276</v>
      </c>
      <c r="C64" s="403"/>
      <c r="D64" s="403"/>
      <c r="E64" s="94"/>
      <c r="F64" s="345" t="s">
        <v>65</v>
      </c>
      <c r="G64" s="283" t="s">
        <v>109</v>
      </c>
      <c r="H64" s="89">
        <f>IF(E64="Y",1,0)</f>
        <v>0</v>
      </c>
      <c r="I64" s="57"/>
    </row>
    <row r="65" spans="1:9" ht="47.25" customHeight="1" x14ac:dyDescent="0.25">
      <c r="A65" s="293" t="s">
        <v>223</v>
      </c>
      <c r="B65" s="402" t="s">
        <v>277</v>
      </c>
      <c r="C65" s="403"/>
      <c r="D65" s="403"/>
      <c r="E65" s="94"/>
      <c r="F65" s="345" t="s">
        <v>65</v>
      </c>
      <c r="G65" s="344" t="s">
        <v>109</v>
      </c>
      <c r="H65" s="89">
        <f>IF(E65="Y",1,0)</f>
        <v>0</v>
      </c>
      <c r="I65" s="57"/>
    </row>
    <row r="66" spans="1:9" ht="51.6" customHeight="1" x14ac:dyDescent="0.25">
      <c r="A66" s="293" t="s">
        <v>278</v>
      </c>
      <c r="B66" s="402" t="s">
        <v>279</v>
      </c>
      <c r="C66" s="403"/>
      <c r="D66" s="403"/>
      <c r="E66" s="94"/>
      <c r="F66" s="345" t="s">
        <v>65</v>
      </c>
      <c r="G66" s="344" t="s">
        <v>109</v>
      </c>
      <c r="H66" s="89">
        <f>IF(E66="Y",1,0)</f>
        <v>0</v>
      </c>
      <c r="I66" s="57"/>
    </row>
    <row r="67" spans="1:9" ht="15.75" x14ac:dyDescent="0.25">
      <c r="A67" s="140"/>
      <c r="B67" s="411" t="s">
        <v>280</v>
      </c>
      <c r="C67" s="412"/>
      <c r="D67" s="412"/>
      <c r="E67" s="412"/>
      <c r="F67" s="412"/>
      <c r="G67" s="413"/>
      <c r="H67" s="117">
        <f>SUM(H64:H66)</f>
        <v>0</v>
      </c>
      <c r="I67" s="118"/>
    </row>
    <row r="68" spans="1:9" ht="15.6" customHeight="1" x14ac:dyDescent="0.25">
      <c r="A68" s="102" t="s">
        <v>281</v>
      </c>
      <c r="B68" s="408" t="s">
        <v>282</v>
      </c>
      <c r="C68" s="409"/>
      <c r="D68" s="409"/>
      <c r="E68" s="409"/>
      <c r="F68" s="409"/>
      <c r="G68" s="141">
        <v>5</v>
      </c>
      <c r="H68" s="127">
        <f>MIN(SUM(H71,H75,H78),5)</f>
        <v>0</v>
      </c>
      <c r="I68" s="104"/>
    </row>
    <row r="69" spans="1:9" ht="18.95" customHeight="1" x14ac:dyDescent="0.25">
      <c r="A69" s="105" t="s">
        <v>283</v>
      </c>
      <c r="B69" s="400" t="s">
        <v>284</v>
      </c>
      <c r="C69" s="400"/>
      <c r="D69" s="401"/>
      <c r="E69" s="106"/>
      <c r="F69" s="105"/>
      <c r="G69" s="105"/>
      <c r="H69" s="105"/>
      <c r="I69" s="105"/>
    </row>
    <row r="70" spans="1:9" ht="98.45" customHeight="1" x14ac:dyDescent="0.25">
      <c r="A70" s="142"/>
      <c r="B70" s="402" t="s">
        <v>285</v>
      </c>
      <c r="C70" s="403"/>
      <c r="D70" s="403"/>
      <c r="E70" s="94"/>
      <c r="F70" s="83" t="s">
        <v>74</v>
      </c>
      <c r="G70" s="285" t="s">
        <v>286</v>
      </c>
      <c r="H70" s="36">
        <f>IF(E70=100,3,IF(E70&gt;=70,2,IF(E70&gt;=50,1,0)))</f>
        <v>0</v>
      </c>
      <c r="I70" s="57"/>
    </row>
    <row r="71" spans="1:9" ht="15.75" x14ac:dyDescent="0.25">
      <c r="A71" s="116"/>
      <c r="B71" s="411" t="s">
        <v>287</v>
      </c>
      <c r="C71" s="412"/>
      <c r="D71" s="412"/>
      <c r="E71" s="412"/>
      <c r="F71" s="412"/>
      <c r="G71" s="413"/>
      <c r="H71" s="117">
        <f>H70</f>
        <v>0</v>
      </c>
      <c r="I71" s="118"/>
    </row>
    <row r="72" spans="1:9" ht="16.5" customHeight="1" x14ac:dyDescent="0.25">
      <c r="A72" s="105" t="s">
        <v>288</v>
      </c>
      <c r="B72" s="400" t="s">
        <v>289</v>
      </c>
      <c r="C72" s="400"/>
      <c r="D72" s="401"/>
      <c r="E72" s="106"/>
      <c r="F72" s="105"/>
      <c r="G72" s="105"/>
      <c r="H72" s="105"/>
      <c r="I72" s="105"/>
    </row>
    <row r="73" spans="1:9" ht="48.75" customHeight="1" x14ac:dyDescent="0.25">
      <c r="A73" s="293" t="s">
        <v>70</v>
      </c>
      <c r="B73" s="402" t="s">
        <v>290</v>
      </c>
      <c r="C73" s="403"/>
      <c r="D73" s="403"/>
      <c r="E73" s="94"/>
      <c r="F73" s="83" t="s">
        <v>74</v>
      </c>
      <c r="G73" s="285" t="s">
        <v>109</v>
      </c>
      <c r="H73" s="36">
        <f>IF(E73&gt;=80,1,0)</f>
        <v>0</v>
      </c>
      <c r="I73" s="98"/>
    </row>
    <row r="74" spans="1:9" ht="50.45" customHeight="1" x14ac:dyDescent="0.25">
      <c r="A74" s="293" t="s">
        <v>223</v>
      </c>
      <c r="B74" s="402" t="s">
        <v>291</v>
      </c>
      <c r="C74" s="403"/>
      <c r="D74" s="403"/>
      <c r="E74" s="94"/>
      <c r="F74" s="83" t="s">
        <v>74</v>
      </c>
      <c r="G74" s="285" t="s">
        <v>109</v>
      </c>
      <c r="H74" s="36">
        <f>IF(E74&gt;=80,1,0)</f>
        <v>0</v>
      </c>
      <c r="I74" s="98"/>
    </row>
    <row r="75" spans="1:9" ht="15.75" x14ac:dyDescent="0.25">
      <c r="A75" s="116"/>
      <c r="B75" s="411" t="s">
        <v>292</v>
      </c>
      <c r="C75" s="412"/>
      <c r="D75" s="412"/>
      <c r="E75" s="412"/>
      <c r="F75" s="412"/>
      <c r="G75" s="413"/>
      <c r="H75" s="117">
        <f>SUM(H73:H74)</f>
        <v>0</v>
      </c>
      <c r="I75" s="118"/>
    </row>
    <row r="76" spans="1:9" ht="15.75" x14ac:dyDescent="0.25">
      <c r="A76" s="105" t="s">
        <v>293</v>
      </c>
      <c r="B76" s="400" t="s">
        <v>294</v>
      </c>
      <c r="C76" s="400"/>
      <c r="D76" s="401"/>
      <c r="E76" s="106"/>
      <c r="F76" s="105"/>
      <c r="G76" s="105"/>
      <c r="H76" s="105"/>
      <c r="I76" s="105"/>
    </row>
    <row r="77" spans="1:9" ht="99.95" customHeight="1" x14ac:dyDescent="0.25">
      <c r="A77" s="293"/>
      <c r="B77" s="410" t="s">
        <v>295</v>
      </c>
      <c r="C77" s="410"/>
      <c r="D77" s="410"/>
      <c r="E77" s="94"/>
      <c r="F77" s="83" t="s">
        <v>74</v>
      </c>
      <c r="G77" s="285" t="s">
        <v>286</v>
      </c>
      <c r="H77" s="36">
        <f>IF(E77&gt;=90,3,IF(E77&gt;=60,2,IF(E77&gt;=30,1,0)))</f>
        <v>0</v>
      </c>
      <c r="I77" s="18"/>
    </row>
    <row r="78" spans="1:9" ht="15.75" x14ac:dyDescent="0.25">
      <c r="A78" s="116"/>
      <c r="B78" s="411" t="s">
        <v>296</v>
      </c>
      <c r="C78" s="412"/>
      <c r="D78" s="412"/>
      <c r="E78" s="412"/>
      <c r="F78" s="412"/>
      <c r="G78" s="413"/>
      <c r="H78" s="117">
        <f>H77</f>
        <v>0</v>
      </c>
      <c r="I78" s="118"/>
    </row>
    <row r="79" spans="1:9" s="316" customFormat="1" ht="18.600000000000001" customHeight="1" x14ac:dyDescent="0.25">
      <c r="A79" s="102"/>
      <c r="B79" s="408" t="s">
        <v>297</v>
      </c>
      <c r="C79" s="409"/>
      <c r="D79" s="409"/>
      <c r="E79" s="409"/>
      <c r="F79" s="409"/>
      <c r="G79" s="141">
        <v>2</v>
      </c>
      <c r="H79" s="127">
        <f>SUM(H81:H82)</f>
        <v>0</v>
      </c>
      <c r="I79" s="104"/>
    </row>
    <row r="80" spans="1:9" ht="65.099999999999994" customHeight="1" x14ac:dyDescent="0.25">
      <c r="A80" s="105"/>
      <c r="B80" s="414" t="s">
        <v>298</v>
      </c>
      <c r="C80" s="414"/>
      <c r="D80" s="414"/>
      <c r="E80" s="106"/>
      <c r="F80" s="105"/>
      <c r="G80" s="106" t="s">
        <v>193</v>
      </c>
      <c r="H80" s="105"/>
      <c r="I80" s="298" t="s">
        <v>194</v>
      </c>
    </row>
    <row r="81" spans="1:9" ht="183" customHeight="1" x14ac:dyDescent="0.25">
      <c r="A81" s="293"/>
      <c r="B81" s="410" t="s">
        <v>512</v>
      </c>
      <c r="C81" s="410"/>
      <c r="D81" s="410"/>
      <c r="E81" s="94"/>
      <c r="F81" s="91" t="s">
        <v>68</v>
      </c>
      <c r="G81" s="388" t="s">
        <v>196</v>
      </c>
      <c r="H81" s="36">
        <f>E81</f>
        <v>0</v>
      </c>
      <c r="I81" s="98" t="s">
        <v>197</v>
      </c>
    </row>
    <row r="82" spans="1:9" ht="183" customHeight="1" x14ac:dyDescent="0.25">
      <c r="A82" s="92"/>
      <c r="B82" s="410"/>
      <c r="C82" s="410"/>
      <c r="D82" s="410"/>
      <c r="E82" s="94"/>
      <c r="F82" s="91" t="s">
        <v>68</v>
      </c>
      <c r="G82" s="388"/>
      <c r="H82" s="36">
        <f>E82</f>
        <v>0</v>
      </c>
      <c r="I82" s="98" t="s">
        <v>198</v>
      </c>
    </row>
  </sheetData>
  <sheetProtection formatCells="0" selectLockedCells="1"/>
  <mergeCells count="104">
    <mergeCell ref="I7:I14"/>
    <mergeCell ref="E20:E24"/>
    <mergeCell ref="F20:F24"/>
    <mergeCell ref="G20:G24"/>
    <mergeCell ref="I41:I45"/>
    <mergeCell ref="H37:H40"/>
    <mergeCell ref="I37:I40"/>
    <mergeCell ref="I33:I36"/>
    <mergeCell ref="H20:H24"/>
    <mergeCell ref="I20:I24"/>
    <mergeCell ref="H7:H14"/>
    <mergeCell ref="B78:G78"/>
    <mergeCell ref="G37:G40"/>
    <mergeCell ref="B18:D18"/>
    <mergeCell ref="B4:D4"/>
    <mergeCell ref="B5:D5"/>
    <mergeCell ref="B6:D6"/>
    <mergeCell ref="B15:D15"/>
    <mergeCell ref="G41:G45"/>
    <mergeCell ref="B73:D73"/>
    <mergeCell ref="B65:D65"/>
    <mergeCell ref="B66:D66"/>
    <mergeCell ref="B60:D60"/>
    <mergeCell ref="B72:D72"/>
    <mergeCell ref="B17:D17"/>
    <mergeCell ref="B37:D37"/>
    <mergeCell ref="B41:D41"/>
    <mergeCell ref="B42:D42"/>
    <mergeCell ref="G52:G55"/>
    <mergeCell ref="G50:G51"/>
    <mergeCell ref="B71:G71"/>
    <mergeCell ref="B75:G75"/>
    <mergeCell ref="G7:G14"/>
    <mergeCell ref="B7:C7"/>
    <mergeCell ref="B19:D19"/>
    <mergeCell ref="A58:A59"/>
    <mergeCell ref="E33:E36"/>
    <mergeCell ref="F33:F36"/>
    <mergeCell ref="G33:G36"/>
    <mergeCell ref="H33:H36"/>
    <mergeCell ref="G58:G59"/>
    <mergeCell ref="B58:D59"/>
    <mergeCell ref="B47:D47"/>
    <mergeCell ref="B32:D32"/>
    <mergeCell ref="H41:H45"/>
    <mergeCell ref="H58:H59"/>
    <mergeCell ref="H50:H51"/>
    <mergeCell ref="H52:H55"/>
    <mergeCell ref="B24:D24"/>
    <mergeCell ref="A7:A14"/>
    <mergeCell ref="D7:D14"/>
    <mergeCell ref="B57:D57"/>
    <mergeCell ref="E7:E14"/>
    <mergeCell ref="F7:F14"/>
    <mergeCell ref="D33:D36"/>
    <mergeCell ref="A20:A24"/>
    <mergeCell ref="D38:D40"/>
    <mergeCell ref="A32:A36"/>
    <mergeCell ref="A37:A45"/>
    <mergeCell ref="E37:E40"/>
    <mergeCell ref="F37:F40"/>
    <mergeCell ref="A46:A47"/>
    <mergeCell ref="A48:A55"/>
    <mergeCell ref="B10:B14"/>
    <mergeCell ref="B8:B9"/>
    <mergeCell ref="B1:D1"/>
    <mergeCell ref="B3:F3"/>
    <mergeCell ref="B29:F29"/>
    <mergeCell ref="B68:F68"/>
    <mergeCell ref="G81:G82"/>
    <mergeCell ref="B81:D82"/>
    <mergeCell ref="B16:G16"/>
    <mergeCell ref="B25:G25"/>
    <mergeCell ref="B28:G28"/>
    <mergeCell ref="B56:G56"/>
    <mergeCell ref="B61:G61"/>
    <mergeCell ref="B67:G67"/>
    <mergeCell ref="B80:D80"/>
    <mergeCell ref="B69:D69"/>
    <mergeCell ref="B70:D70"/>
    <mergeCell ref="B48:D48"/>
    <mergeCell ref="B49:D49"/>
    <mergeCell ref="B53:D53"/>
    <mergeCell ref="B54:D54"/>
    <mergeCell ref="B79:F79"/>
    <mergeCell ref="B74:D74"/>
    <mergeCell ref="B76:D76"/>
    <mergeCell ref="B77:D77"/>
    <mergeCell ref="A2:F2"/>
    <mergeCell ref="B62:D62"/>
    <mergeCell ref="B64:D64"/>
    <mergeCell ref="B55:D55"/>
    <mergeCell ref="B46:D46"/>
    <mergeCell ref="B43:D43"/>
    <mergeCell ref="B44:D44"/>
    <mergeCell ref="B45:D45"/>
    <mergeCell ref="B26:D26"/>
    <mergeCell ref="B27:D27"/>
    <mergeCell ref="B30:D30"/>
    <mergeCell ref="B31:D31"/>
    <mergeCell ref="B50:D50"/>
    <mergeCell ref="B51:D51"/>
    <mergeCell ref="B52:D52"/>
    <mergeCell ref="B63:D63"/>
  </mergeCells>
  <dataValidations count="9">
    <dataValidation type="decimal" allowBlank="1" showErrorMessage="1" error="Please enter 0.5 or 1 or 1.5 or 2." prompt="Please Enter 0 or 1 or 1.5 or 2." sqref="H81 H73:H74" xr:uid="{00000000-0002-0000-0400-000000000000}">
      <formula1>0</formula1>
      <formula2>2</formula2>
    </dataValidation>
    <dataValidation allowBlank="1" showInputMessage="1" showErrorMessage="1" prompt="Please list down short description of your innovation." sqref="I73:I74 I81:I82" xr:uid="{00000000-0002-0000-0400-000001000000}"/>
    <dataValidation allowBlank="1" showErrorMessage="1" sqref="H82" xr:uid="{00000000-0002-0000-0400-000002000000}"/>
    <dataValidation type="list" allowBlank="1" showInputMessage="1" showErrorMessage="1" sqref="E51 E55 E53 E27 E64:E66" xr:uid="{00000000-0002-0000-0400-000003000000}">
      <formula1>"Y,N"</formula1>
    </dataValidation>
    <dataValidation type="decimal" allowBlank="1" showInputMessage="1" showErrorMessage="1" sqref="E52 E33:E36 E41:E45 E59:E60 E50 E70 E73:E74 E54 E77" xr:uid="{00000000-0002-0000-0400-000004000000}">
      <formula1>0</formula1>
      <formula2>100</formula2>
    </dataValidation>
    <dataValidation type="whole" allowBlank="1" showInputMessage="1" showErrorMessage="1" sqref="E47" xr:uid="{00000000-0002-0000-0400-000005000000}">
      <formula1>0</formula1>
      <formula2>100</formula2>
    </dataValidation>
    <dataValidation type="list" allowBlank="1" showInputMessage="1" showErrorMessage="1" sqref="E58" xr:uid="{00000000-0002-0000-0400-000006000000}">
      <formula1>"Cost,Area"</formula1>
    </dataValidation>
    <dataValidation type="decimal" allowBlank="1" showInputMessage="1" showErrorMessage="1" sqref="E18" xr:uid="{00000000-0002-0000-0400-000007000000}">
      <formula1>0</formula1>
      <formula2>10000</formula2>
    </dataValidation>
    <dataValidation type="list" showErrorMessage="1" error="Please enter 0.5 or 1 or 1.5 or 2." prompt="Please Enter 0.5 or 1 or 1.5 or 2." sqref="E81:E82" xr:uid="{00000000-0002-0000-0400-000008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6"/>
  <sheetViews>
    <sheetView topLeftCell="A67" zoomScaleNormal="100" workbookViewId="0">
      <selection activeCell="E72" sqref="E72"/>
    </sheetView>
  </sheetViews>
  <sheetFormatPr defaultColWidth="8.7109375" defaultRowHeight="15" x14ac:dyDescent="0.25"/>
  <cols>
    <col min="1" max="1" width="8.28515625" style="279" customWidth="1"/>
    <col min="2" max="2" width="22.28515625" style="279" customWidth="1"/>
    <col min="3" max="3" width="46.42578125" style="279" customWidth="1"/>
    <col min="4" max="4" width="10.5703125" style="279" customWidth="1"/>
    <col min="5" max="5" width="10.7109375" style="311" customWidth="1"/>
    <col min="6" max="6" width="16.140625" style="308" customWidth="1"/>
    <col min="7" max="7" width="18.140625" style="279" customWidth="1"/>
    <col min="8" max="8" width="10.7109375" style="318" customWidth="1"/>
    <col min="9" max="9" width="30.7109375" style="279" customWidth="1"/>
    <col min="10" max="11" width="50.7109375" style="279" customWidth="1"/>
    <col min="12" max="12" width="15.5703125" style="279" customWidth="1"/>
    <col min="13" max="13" width="17.28515625" style="279" customWidth="1"/>
    <col min="14" max="16384" width="8.7109375" style="279"/>
  </cols>
  <sheetData>
    <row r="1" spans="1:9" ht="47.25" x14ac:dyDescent="0.25">
      <c r="A1" s="19"/>
      <c r="B1" s="405" t="s">
        <v>299</v>
      </c>
      <c r="C1" s="406"/>
      <c r="D1" s="407"/>
      <c r="E1" s="20" t="s">
        <v>61</v>
      </c>
      <c r="F1" s="20" t="s">
        <v>62</v>
      </c>
      <c r="G1" s="21" t="s">
        <v>98</v>
      </c>
      <c r="H1" s="20" t="s">
        <v>99</v>
      </c>
      <c r="I1" s="282" t="s">
        <v>100</v>
      </c>
    </row>
    <row r="2" spans="1:9" ht="21" x14ac:dyDescent="0.25">
      <c r="A2" s="494" t="s">
        <v>300</v>
      </c>
      <c r="B2" s="495"/>
      <c r="C2" s="495"/>
      <c r="D2" s="495"/>
      <c r="E2" s="495"/>
      <c r="F2" s="496"/>
      <c r="G2" s="61">
        <v>15</v>
      </c>
      <c r="H2" s="62">
        <f>MIN(SUM(H3,H45,H70,H93),15)</f>
        <v>0</v>
      </c>
      <c r="I2" s="63" t="s">
        <v>101</v>
      </c>
    </row>
    <row r="3" spans="1:9" ht="14.45" customHeight="1" x14ac:dyDescent="0.25">
      <c r="A3" s="64" t="s">
        <v>301</v>
      </c>
      <c r="B3" s="497" t="s">
        <v>302</v>
      </c>
      <c r="C3" s="498"/>
      <c r="D3" s="498"/>
      <c r="E3" s="498"/>
      <c r="F3" s="498"/>
      <c r="G3" s="65">
        <v>5</v>
      </c>
      <c r="H3" s="66">
        <f>MIN(SUM(H8,H12,H21,H34,H39,H44), 5)</f>
        <v>0</v>
      </c>
      <c r="I3" s="67"/>
    </row>
    <row r="4" spans="1:9" ht="15.75" x14ac:dyDescent="0.25">
      <c r="A4" s="68" t="s">
        <v>303</v>
      </c>
      <c r="B4" s="499" t="s">
        <v>304</v>
      </c>
      <c r="C4" s="499"/>
      <c r="D4" s="500"/>
      <c r="E4" s="69"/>
      <c r="F4" s="68"/>
      <c r="G4" s="68"/>
      <c r="H4" s="70"/>
      <c r="I4" s="68"/>
    </row>
    <row r="5" spans="1:9" ht="15.75" x14ac:dyDescent="0.25">
      <c r="A5" s="71" t="s">
        <v>305</v>
      </c>
      <c r="B5" s="501" t="s">
        <v>306</v>
      </c>
      <c r="C5" s="501"/>
      <c r="D5" s="501"/>
      <c r="E5" s="72"/>
      <c r="F5" s="71"/>
      <c r="G5" s="73"/>
      <c r="H5" s="74"/>
      <c r="I5" s="73"/>
    </row>
    <row r="6" spans="1:9" ht="80.25" customHeight="1" x14ac:dyDescent="0.25">
      <c r="A6" s="295" t="s">
        <v>221</v>
      </c>
      <c r="B6" s="410" t="s">
        <v>307</v>
      </c>
      <c r="C6" s="410"/>
      <c r="D6" s="410"/>
      <c r="E6" s="94"/>
      <c r="F6" s="294" t="s">
        <v>65</v>
      </c>
      <c r="G6" s="295" t="s">
        <v>109</v>
      </c>
      <c r="H6" s="286">
        <f>IF(E6="Y",1,0)</f>
        <v>0</v>
      </c>
      <c r="I6" s="95"/>
    </row>
    <row r="7" spans="1:9" ht="50.1" customHeight="1" x14ac:dyDescent="0.25">
      <c r="A7" s="295" t="s">
        <v>223</v>
      </c>
      <c r="B7" s="410" t="s">
        <v>308</v>
      </c>
      <c r="C7" s="410"/>
      <c r="D7" s="410"/>
      <c r="E7" s="94"/>
      <c r="F7" s="294" t="s">
        <v>65</v>
      </c>
      <c r="G7" s="295" t="s">
        <v>109</v>
      </c>
      <c r="H7" s="286">
        <f>IF(E7="Y",1,0)</f>
        <v>0</v>
      </c>
      <c r="I7" s="95"/>
    </row>
    <row r="8" spans="1:9" ht="15.75" x14ac:dyDescent="0.25">
      <c r="A8" s="476" t="s">
        <v>309</v>
      </c>
      <c r="B8" s="476"/>
      <c r="C8" s="476"/>
      <c r="D8" s="476"/>
      <c r="E8" s="476"/>
      <c r="F8" s="476"/>
      <c r="G8" s="476"/>
      <c r="H8" s="75">
        <f>SUM(H6:H7)</f>
        <v>0</v>
      </c>
      <c r="I8" s="76"/>
    </row>
    <row r="9" spans="1:9" ht="15.75" x14ac:dyDescent="0.25">
      <c r="A9" s="71" t="s">
        <v>310</v>
      </c>
      <c r="B9" s="484" t="s">
        <v>311</v>
      </c>
      <c r="C9" s="484"/>
      <c r="D9" s="484"/>
      <c r="E9" s="72"/>
      <c r="F9" s="71"/>
      <c r="G9" s="73"/>
      <c r="H9" s="74"/>
      <c r="I9" s="73"/>
    </row>
    <row r="10" spans="1:9" ht="128.44999999999999" customHeight="1" x14ac:dyDescent="0.25">
      <c r="A10" s="295" t="s">
        <v>70</v>
      </c>
      <c r="B10" s="402" t="s">
        <v>312</v>
      </c>
      <c r="C10" s="403"/>
      <c r="D10" s="416"/>
      <c r="E10" s="94"/>
      <c r="F10" s="294" t="s">
        <v>74</v>
      </c>
      <c r="G10" s="285" t="s">
        <v>313</v>
      </c>
      <c r="H10" s="286">
        <f>IF(E10=100,1,IF(E10&gt;=50,0.5,0))</f>
        <v>0</v>
      </c>
      <c r="I10" s="95"/>
    </row>
    <row r="11" spans="1:9" ht="81" customHeight="1" x14ac:dyDescent="0.25">
      <c r="A11" s="295" t="s">
        <v>72</v>
      </c>
      <c r="B11" s="403" t="s">
        <v>314</v>
      </c>
      <c r="C11" s="403"/>
      <c r="D11" s="403"/>
      <c r="E11" s="94"/>
      <c r="F11" s="294" t="s">
        <v>74</v>
      </c>
      <c r="G11" s="285" t="s">
        <v>313</v>
      </c>
      <c r="H11" s="286">
        <f>IF(E11&gt;=90,1,IF(E11&gt;=50,0.5,0))</f>
        <v>0</v>
      </c>
      <c r="I11" s="95"/>
    </row>
    <row r="12" spans="1:9" ht="15.75" x14ac:dyDescent="0.25">
      <c r="A12" s="476" t="s">
        <v>315</v>
      </c>
      <c r="B12" s="476"/>
      <c r="C12" s="476"/>
      <c r="D12" s="476"/>
      <c r="E12" s="476"/>
      <c r="F12" s="476"/>
      <c r="G12" s="476"/>
      <c r="H12" s="75">
        <f>SUM(H10:H11)</f>
        <v>0</v>
      </c>
      <c r="I12" s="76"/>
    </row>
    <row r="13" spans="1:9" ht="15.75" customHeight="1" x14ac:dyDescent="0.25">
      <c r="A13" s="68" t="s">
        <v>316</v>
      </c>
      <c r="B13" s="502" t="s">
        <v>317</v>
      </c>
      <c r="C13" s="502"/>
      <c r="D13" s="503"/>
      <c r="E13" s="69"/>
      <c r="F13" s="68"/>
      <c r="G13" s="68"/>
      <c r="H13" s="70"/>
      <c r="I13" s="68"/>
    </row>
    <row r="14" spans="1:9" ht="80.099999999999994" customHeight="1" thickBot="1" x14ac:dyDescent="0.3">
      <c r="A14" s="504"/>
      <c r="B14" s="449" t="s">
        <v>318</v>
      </c>
      <c r="C14" s="450"/>
      <c r="D14" s="416"/>
      <c r="E14" s="300"/>
      <c r="F14" s="291"/>
      <c r="G14" s="38"/>
      <c r="H14" s="286"/>
      <c r="I14" s="317"/>
    </row>
    <row r="15" spans="1:9" ht="15.75" x14ac:dyDescent="0.25">
      <c r="A15" s="505"/>
      <c r="B15" s="509" t="s">
        <v>319</v>
      </c>
      <c r="C15" s="510"/>
      <c r="D15" s="518"/>
      <c r="E15" s="481"/>
      <c r="F15" s="446"/>
      <c r="G15" s="443"/>
      <c r="H15" s="446"/>
      <c r="I15" s="506"/>
    </row>
    <row r="16" spans="1:9" ht="15" customHeight="1" x14ac:dyDescent="0.25">
      <c r="A16" s="505"/>
      <c r="B16" s="511" t="s">
        <v>320</v>
      </c>
      <c r="C16" s="512"/>
      <c r="D16" s="429"/>
      <c r="E16" s="481"/>
      <c r="F16" s="446"/>
      <c r="G16" s="443"/>
      <c r="H16" s="446"/>
      <c r="I16" s="507"/>
    </row>
    <row r="17" spans="1:9" ht="55.5" x14ac:dyDescent="0.25">
      <c r="A17" s="505"/>
      <c r="B17" s="77" t="s">
        <v>321</v>
      </c>
      <c r="C17" s="78" t="s">
        <v>322</v>
      </c>
      <c r="D17" s="429"/>
      <c r="E17" s="481"/>
      <c r="F17" s="446"/>
      <c r="G17" s="443"/>
      <c r="H17" s="446"/>
      <c r="I17" s="507"/>
    </row>
    <row r="18" spans="1:9" ht="42.95" customHeight="1" x14ac:dyDescent="0.25">
      <c r="A18" s="505"/>
      <c r="B18" s="79" t="s">
        <v>323</v>
      </c>
      <c r="C18" s="78" t="s">
        <v>324</v>
      </c>
      <c r="D18" s="429"/>
      <c r="E18" s="481"/>
      <c r="F18" s="446"/>
      <c r="G18" s="443"/>
      <c r="H18" s="446"/>
      <c r="I18" s="507"/>
    </row>
    <row r="19" spans="1:9" ht="66.95" customHeight="1" thickBot="1" x14ac:dyDescent="0.3">
      <c r="A19" s="505"/>
      <c r="B19" s="513" t="s">
        <v>325</v>
      </c>
      <c r="C19" s="514"/>
      <c r="D19" s="430"/>
      <c r="E19" s="481"/>
      <c r="F19" s="446"/>
      <c r="G19" s="443"/>
      <c r="H19" s="446"/>
      <c r="I19" s="508"/>
    </row>
    <row r="20" spans="1:9" ht="30" customHeight="1" x14ac:dyDescent="0.25">
      <c r="A20" s="505"/>
      <c r="B20" s="515" t="s">
        <v>326</v>
      </c>
      <c r="C20" s="516"/>
      <c r="D20" s="517"/>
      <c r="E20" s="94"/>
      <c r="F20" s="294" t="s">
        <v>74</v>
      </c>
      <c r="G20" s="285" t="s">
        <v>109</v>
      </c>
      <c r="H20" s="296">
        <f>IF(E20&gt;=80,1,0)</f>
        <v>0</v>
      </c>
      <c r="I20" s="96"/>
    </row>
    <row r="21" spans="1:9" ht="15.75" x14ac:dyDescent="0.25">
      <c r="A21" s="476" t="s">
        <v>327</v>
      </c>
      <c r="B21" s="476"/>
      <c r="C21" s="476"/>
      <c r="D21" s="476"/>
      <c r="E21" s="476"/>
      <c r="F21" s="476"/>
      <c r="G21" s="476"/>
      <c r="H21" s="75">
        <f>SUM(H14:H20)</f>
        <v>0</v>
      </c>
      <c r="I21" s="76"/>
    </row>
    <row r="22" spans="1:9" ht="15.75" x14ac:dyDescent="0.25">
      <c r="A22" s="68" t="s">
        <v>328</v>
      </c>
      <c r="B22" s="502" t="s">
        <v>329</v>
      </c>
      <c r="C22" s="502"/>
      <c r="D22" s="502"/>
      <c r="E22" s="69"/>
      <c r="F22" s="80"/>
      <c r="G22" s="68"/>
      <c r="H22" s="70"/>
      <c r="I22" s="68"/>
    </row>
    <row r="23" spans="1:9" ht="15.75" customHeight="1" x14ac:dyDescent="0.25">
      <c r="A23" s="71" t="s">
        <v>330</v>
      </c>
      <c r="B23" s="484" t="s">
        <v>331</v>
      </c>
      <c r="C23" s="484"/>
      <c r="D23" s="484"/>
      <c r="E23" s="72"/>
      <c r="F23" s="81"/>
      <c r="G23" s="73"/>
      <c r="H23" s="74"/>
      <c r="I23" s="73"/>
    </row>
    <row r="24" spans="1:9" ht="136.5" customHeight="1" x14ac:dyDescent="0.25">
      <c r="A24" s="433" t="s">
        <v>221</v>
      </c>
      <c r="B24" s="417" t="s">
        <v>332</v>
      </c>
      <c r="C24" s="417"/>
      <c r="D24" s="417"/>
      <c r="E24" s="300"/>
      <c r="F24" s="82"/>
      <c r="G24" s="295"/>
      <c r="H24" s="286"/>
      <c r="I24" s="97"/>
    </row>
    <row r="25" spans="1:9" ht="15.75" x14ac:dyDescent="0.25">
      <c r="A25" s="435"/>
      <c r="B25" s="482" t="s">
        <v>333</v>
      </c>
      <c r="C25" s="417"/>
      <c r="D25" s="483"/>
      <c r="E25" s="94"/>
      <c r="F25" s="82" t="s">
        <v>65</v>
      </c>
      <c r="G25" s="392" t="s">
        <v>313</v>
      </c>
      <c r="H25" s="447">
        <f>IF(AND(E25="Y",E26="Y",E27&gt;=90),1,IF(AND(E25="Y",E26="Y",E27&gt;=50),0.5,0))</f>
        <v>0</v>
      </c>
      <c r="I25" s="97"/>
    </row>
    <row r="26" spans="1:9" ht="47.45" customHeight="1" x14ac:dyDescent="0.25">
      <c r="A26" s="435"/>
      <c r="B26" s="482" t="s">
        <v>334</v>
      </c>
      <c r="C26" s="417"/>
      <c r="D26" s="483"/>
      <c r="E26" s="94"/>
      <c r="F26" s="82" t="s">
        <v>65</v>
      </c>
      <c r="G26" s="435"/>
      <c r="H26" s="448"/>
      <c r="I26" s="97"/>
    </row>
    <row r="27" spans="1:9" ht="49.5" customHeight="1" x14ac:dyDescent="0.25">
      <c r="A27" s="436"/>
      <c r="B27" s="482" t="s">
        <v>335</v>
      </c>
      <c r="C27" s="417"/>
      <c r="D27" s="483"/>
      <c r="E27" s="94"/>
      <c r="F27" s="82" t="s">
        <v>74</v>
      </c>
      <c r="G27" s="436"/>
      <c r="H27" s="455"/>
      <c r="I27" s="97"/>
    </row>
    <row r="28" spans="1:9" ht="15.75" x14ac:dyDescent="0.25">
      <c r="A28" s="433" t="s">
        <v>223</v>
      </c>
      <c r="B28" s="485" t="s">
        <v>336</v>
      </c>
      <c r="C28" s="486"/>
      <c r="D28" s="487"/>
      <c r="E28" s="300"/>
      <c r="F28" s="82"/>
      <c r="G28" s="292"/>
      <c r="H28" s="297"/>
      <c r="I28" s="97"/>
    </row>
    <row r="29" spans="1:9" ht="15.75" x14ac:dyDescent="0.25">
      <c r="A29" s="435"/>
      <c r="B29" s="488" t="s">
        <v>337</v>
      </c>
      <c r="C29" s="486"/>
      <c r="D29" s="487"/>
      <c r="E29" s="94"/>
      <c r="F29" s="83" t="s">
        <v>68</v>
      </c>
      <c r="G29" s="295" t="s">
        <v>109</v>
      </c>
      <c r="H29" s="286">
        <f>IF(ISBLANK(E29),0,IF(AND(E29&lt;0.5,E29&gt;-0.5),1,0))</f>
        <v>0</v>
      </c>
      <c r="I29" s="97"/>
    </row>
    <row r="30" spans="1:9" ht="36" customHeight="1" x14ac:dyDescent="0.25">
      <c r="A30" s="435"/>
      <c r="B30" s="488" t="s">
        <v>338</v>
      </c>
      <c r="C30" s="486"/>
      <c r="D30" s="487"/>
      <c r="E30" s="94"/>
      <c r="F30" s="83" t="s">
        <v>74</v>
      </c>
      <c r="G30" s="295" t="s">
        <v>109</v>
      </c>
      <c r="H30" s="286">
        <f>IF(E30&gt;=70,1,0)</f>
        <v>0</v>
      </c>
      <c r="I30" s="97"/>
    </row>
    <row r="31" spans="1:9" ht="15.75" x14ac:dyDescent="0.25">
      <c r="A31" s="435"/>
      <c r="B31" s="489" t="s">
        <v>339</v>
      </c>
      <c r="C31" s="489"/>
      <c r="D31" s="489"/>
      <c r="E31" s="84"/>
      <c r="F31" s="83"/>
      <c r="G31" s="295"/>
      <c r="H31" s="286"/>
      <c r="I31" s="97"/>
    </row>
    <row r="32" spans="1:9" ht="47.25" x14ac:dyDescent="0.25">
      <c r="A32" s="435"/>
      <c r="B32" s="490" t="s">
        <v>340</v>
      </c>
      <c r="C32" s="490"/>
      <c r="D32" s="490"/>
      <c r="E32" s="94"/>
      <c r="F32" s="83" t="s">
        <v>74</v>
      </c>
      <c r="G32" s="285" t="s">
        <v>341</v>
      </c>
      <c r="H32" s="286">
        <f>MIN(ROUNDDOWN(E32*0.01,1),0.5)</f>
        <v>0</v>
      </c>
      <c r="I32" s="97"/>
    </row>
    <row r="33" spans="1:9" ht="228" customHeight="1" x14ac:dyDescent="0.25">
      <c r="A33" s="436"/>
      <c r="B33" s="491" t="s">
        <v>342</v>
      </c>
      <c r="C33" s="491"/>
      <c r="D33" s="491"/>
      <c r="E33" s="94"/>
      <c r="F33" s="83" t="s">
        <v>74</v>
      </c>
      <c r="G33" s="285" t="s">
        <v>313</v>
      </c>
      <c r="H33" s="286">
        <f>IF(E33&gt;=70,1,IF(E33&gt;=50,0.5,0))</f>
        <v>0</v>
      </c>
      <c r="I33" s="97"/>
    </row>
    <row r="34" spans="1:9" ht="15.75" x14ac:dyDescent="0.25">
      <c r="A34" s="476" t="s">
        <v>343</v>
      </c>
      <c r="B34" s="476"/>
      <c r="C34" s="476"/>
      <c r="D34" s="476"/>
      <c r="E34" s="476"/>
      <c r="F34" s="476"/>
      <c r="G34" s="476"/>
      <c r="H34" s="75">
        <f>SUM(H25,MAX(H29,H30,MIN(SUM(H32:H33),1)))</f>
        <v>0</v>
      </c>
      <c r="I34" s="76"/>
    </row>
    <row r="35" spans="1:9" ht="15.75" customHeight="1" x14ac:dyDescent="0.25">
      <c r="A35" s="71" t="s">
        <v>344</v>
      </c>
      <c r="B35" s="475" t="s">
        <v>345</v>
      </c>
      <c r="C35" s="475"/>
      <c r="D35" s="475"/>
      <c r="E35" s="72"/>
      <c r="F35" s="71"/>
      <c r="G35" s="73"/>
      <c r="H35" s="74"/>
      <c r="I35" s="73"/>
    </row>
    <row r="36" spans="1:9" ht="81" customHeight="1" x14ac:dyDescent="0.25">
      <c r="A36" s="283" t="s">
        <v>70</v>
      </c>
      <c r="B36" s="410" t="s">
        <v>346</v>
      </c>
      <c r="C36" s="410"/>
      <c r="D36" s="410"/>
      <c r="E36" s="94"/>
      <c r="F36" s="83" t="s">
        <v>68</v>
      </c>
      <c r="G36" s="285" t="s">
        <v>347</v>
      </c>
      <c r="H36" s="286">
        <f>IF(E36&gt;=2,2,IF(E36&gt;=1.5,1,0))</f>
        <v>0</v>
      </c>
      <c r="I36" s="97"/>
    </row>
    <row r="37" spans="1:9" ht="33.6" customHeight="1" x14ac:dyDescent="0.25">
      <c r="A37" s="283" t="s">
        <v>72</v>
      </c>
      <c r="B37" s="410" t="s">
        <v>348</v>
      </c>
      <c r="C37" s="410"/>
      <c r="D37" s="410"/>
      <c r="E37" s="94"/>
      <c r="F37" s="83" t="s">
        <v>65</v>
      </c>
      <c r="G37" s="285" t="s">
        <v>261</v>
      </c>
      <c r="H37" s="286">
        <f>IF(E37="Y",0.5,0)</f>
        <v>0</v>
      </c>
      <c r="I37" s="97"/>
    </row>
    <row r="38" spans="1:9" ht="63" customHeight="1" x14ac:dyDescent="0.25">
      <c r="A38" s="283" t="s">
        <v>75</v>
      </c>
      <c r="B38" s="410" t="s">
        <v>349</v>
      </c>
      <c r="C38" s="410"/>
      <c r="D38" s="410"/>
      <c r="E38" s="94"/>
      <c r="F38" s="83" t="s">
        <v>350</v>
      </c>
      <c r="G38" s="285" t="s">
        <v>351</v>
      </c>
      <c r="H38" s="286">
        <f>IF(E38="A",0.5,IF(E38="B",1,0))</f>
        <v>0</v>
      </c>
      <c r="I38" s="97"/>
    </row>
    <row r="39" spans="1:9" ht="15.75" x14ac:dyDescent="0.25">
      <c r="A39" s="476" t="s">
        <v>352</v>
      </c>
      <c r="B39" s="476"/>
      <c r="C39" s="476"/>
      <c r="D39" s="476"/>
      <c r="E39" s="476"/>
      <c r="F39" s="476"/>
      <c r="G39" s="476"/>
      <c r="H39" s="75">
        <f>SUM(H36:H38)</f>
        <v>0</v>
      </c>
      <c r="I39" s="76"/>
    </row>
    <row r="40" spans="1:9" ht="15.75" customHeight="1" x14ac:dyDescent="0.25">
      <c r="A40" s="71" t="s">
        <v>353</v>
      </c>
      <c r="B40" s="475" t="s">
        <v>354</v>
      </c>
      <c r="C40" s="475"/>
      <c r="D40" s="475"/>
      <c r="E40" s="72"/>
      <c r="F40" s="71"/>
      <c r="G40" s="73"/>
      <c r="H40" s="74"/>
      <c r="I40" s="73"/>
    </row>
    <row r="41" spans="1:9" ht="15.6" customHeight="1" x14ac:dyDescent="0.25">
      <c r="A41" s="283" t="s">
        <v>70</v>
      </c>
      <c r="B41" s="492" t="s">
        <v>355</v>
      </c>
      <c r="C41" s="492"/>
      <c r="D41" s="492"/>
      <c r="E41" s="94"/>
      <c r="F41" s="83" t="s">
        <v>65</v>
      </c>
      <c r="G41" s="285" t="s">
        <v>261</v>
      </c>
      <c r="H41" s="286">
        <f>IF(E41="Y",0.5,0)</f>
        <v>0</v>
      </c>
      <c r="I41" s="97"/>
    </row>
    <row r="42" spans="1:9" ht="64.5" customHeight="1" x14ac:dyDescent="0.25">
      <c r="A42" s="283" t="s">
        <v>72</v>
      </c>
      <c r="B42" s="410" t="s">
        <v>356</v>
      </c>
      <c r="C42" s="410"/>
      <c r="D42" s="410"/>
      <c r="E42" s="94"/>
      <c r="F42" s="83" t="s">
        <v>65</v>
      </c>
      <c r="G42" s="285" t="s">
        <v>109</v>
      </c>
      <c r="H42" s="286">
        <f>IF(E42="Y",1,0)</f>
        <v>0</v>
      </c>
      <c r="I42" s="97"/>
    </row>
    <row r="43" spans="1:9" ht="47.1" customHeight="1" x14ac:dyDescent="0.25">
      <c r="A43" s="283" t="s">
        <v>75</v>
      </c>
      <c r="B43" s="410" t="s">
        <v>357</v>
      </c>
      <c r="C43" s="410"/>
      <c r="D43" s="410"/>
      <c r="E43" s="94"/>
      <c r="F43" s="83" t="s">
        <v>65</v>
      </c>
      <c r="G43" s="285" t="s">
        <v>261</v>
      </c>
      <c r="H43" s="286">
        <f>IF(E43="Y",0.5,0)</f>
        <v>0</v>
      </c>
      <c r="I43" s="97"/>
    </row>
    <row r="44" spans="1:9" ht="15.75" x14ac:dyDescent="0.25">
      <c r="A44" s="476" t="s">
        <v>358</v>
      </c>
      <c r="B44" s="476"/>
      <c r="C44" s="476"/>
      <c r="D44" s="476"/>
      <c r="E44" s="476"/>
      <c r="F44" s="476"/>
      <c r="G44" s="476"/>
      <c r="H44" s="75">
        <f>SUM(H41:H43)</f>
        <v>0</v>
      </c>
      <c r="I44" s="76"/>
    </row>
    <row r="45" spans="1:9" ht="15.75" x14ac:dyDescent="0.25">
      <c r="A45" s="64" t="s">
        <v>359</v>
      </c>
      <c r="B45" s="479" t="s">
        <v>360</v>
      </c>
      <c r="C45" s="479"/>
      <c r="D45" s="479"/>
      <c r="E45" s="479"/>
      <c r="F45" s="479"/>
      <c r="G45" s="64">
        <v>5</v>
      </c>
      <c r="H45" s="85">
        <f>MIN(SUM(H52,H58,H62,H69),5)</f>
        <v>0</v>
      </c>
      <c r="I45" s="86"/>
    </row>
    <row r="46" spans="1:9" ht="15.75" x14ac:dyDescent="0.25">
      <c r="A46" s="68" t="s">
        <v>361</v>
      </c>
      <c r="B46" s="473" t="s">
        <v>362</v>
      </c>
      <c r="C46" s="474"/>
      <c r="D46" s="474"/>
      <c r="E46" s="69"/>
      <c r="F46" s="68"/>
      <c r="G46" s="68">
        <v>5</v>
      </c>
      <c r="H46" s="70"/>
      <c r="I46" s="68"/>
    </row>
    <row r="47" spans="1:9" ht="48.6" customHeight="1" x14ac:dyDescent="0.25">
      <c r="A47" s="87"/>
      <c r="B47" s="493" t="s">
        <v>363</v>
      </c>
      <c r="C47" s="493"/>
      <c r="D47" s="493"/>
      <c r="E47" s="300"/>
      <c r="F47" s="83"/>
      <c r="G47" s="285"/>
      <c r="H47" s="286"/>
      <c r="I47" s="97"/>
    </row>
    <row r="48" spans="1:9" ht="15.75" customHeight="1" x14ac:dyDescent="0.25">
      <c r="A48" s="283" t="s">
        <v>70</v>
      </c>
      <c r="B48" s="410" t="s">
        <v>364</v>
      </c>
      <c r="C48" s="410"/>
      <c r="D48" s="410"/>
      <c r="E48" s="94"/>
      <c r="F48" s="83" t="s">
        <v>65</v>
      </c>
      <c r="G48" s="285" t="s">
        <v>109</v>
      </c>
      <c r="H48" s="286">
        <f>IF(E48="Y",1,0)</f>
        <v>0</v>
      </c>
      <c r="I48" s="97"/>
    </row>
    <row r="49" spans="1:9" ht="32.1" customHeight="1" x14ac:dyDescent="0.25">
      <c r="A49" s="283" t="s">
        <v>72</v>
      </c>
      <c r="B49" s="410" t="s">
        <v>365</v>
      </c>
      <c r="C49" s="410"/>
      <c r="D49" s="410"/>
      <c r="E49" s="94"/>
      <c r="F49" s="83" t="s">
        <v>65</v>
      </c>
      <c r="G49" s="285" t="s">
        <v>109</v>
      </c>
      <c r="H49" s="286">
        <f>IF(E49="Y",1,0)</f>
        <v>0</v>
      </c>
      <c r="I49" s="97"/>
    </row>
    <row r="50" spans="1:9" ht="32.1" customHeight="1" x14ac:dyDescent="0.25">
      <c r="A50" s="283" t="s">
        <v>75</v>
      </c>
      <c r="B50" s="410" t="s">
        <v>366</v>
      </c>
      <c r="C50" s="410"/>
      <c r="D50" s="410"/>
      <c r="E50" s="94"/>
      <c r="F50" s="83" t="s">
        <v>65</v>
      </c>
      <c r="G50" s="285" t="s">
        <v>261</v>
      </c>
      <c r="H50" s="286">
        <f>IF(E50="Y",0.5,0)</f>
        <v>0</v>
      </c>
      <c r="I50" s="97"/>
    </row>
    <row r="51" spans="1:9" ht="31.5" customHeight="1" x14ac:dyDescent="0.25">
      <c r="A51" s="283" t="s">
        <v>80</v>
      </c>
      <c r="B51" s="410" t="s">
        <v>367</v>
      </c>
      <c r="C51" s="410" t="s">
        <v>242</v>
      </c>
      <c r="D51" s="410"/>
      <c r="E51" s="94"/>
      <c r="F51" s="83" t="s">
        <v>65</v>
      </c>
      <c r="G51" s="285" t="s">
        <v>261</v>
      </c>
      <c r="H51" s="286">
        <f>IF(E51="Y",0.5,0)</f>
        <v>0</v>
      </c>
      <c r="I51" s="97"/>
    </row>
    <row r="52" spans="1:9" ht="15.75" x14ac:dyDescent="0.25">
      <c r="A52" s="476" t="s">
        <v>368</v>
      </c>
      <c r="B52" s="476"/>
      <c r="C52" s="476"/>
      <c r="D52" s="476"/>
      <c r="E52" s="476"/>
      <c r="F52" s="476"/>
      <c r="G52" s="476"/>
      <c r="H52" s="75">
        <f>SUM(H48:H51)</f>
        <v>0</v>
      </c>
      <c r="I52" s="76"/>
    </row>
    <row r="53" spans="1:9" ht="15.75" x14ac:dyDescent="0.25">
      <c r="A53" s="68" t="s">
        <v>369</v>
      </c>
      <c r="B53" s="473" t="s">
        <v>370</v>
      </c>
      <c r="C53" s="474"/>
      <c r="D53" s="474"/>
      <c r="E53" s="69"/>
      <c r="F53" s="68"/>
      <c r="G53" s="68"/>
      <c r="H53" s="70"/>
      <c r="I53" s="68"/>
    </row>
    <row r="54" spans="1:9" ht="32.1" customHeight="1" x14ac:dyDescent="0.25">
      <c r="A54" s="283"/>
      <c r="B54" s="410" t="s">
        <v>371</v>
      </c>
      <c r="C54" s="410"/>
      <c r="D54" s="410"/>
      <c r="E54" s="300"/>
      <c r="F54" s="294"/>
      <c r="G54" s="295"/>
      <c r="H54" s="286"/>
      <c r="I54" s="57"/>
    </row>
    <row r="55" spans="1:9" ht="30.95" customHeight="1" x14ac:dyDescent="0.25">
      <c r="A55" s="283" t="s">
        <v>70</v>
      </c>
      <c r="B55" s="410" t="s">
        <v>372</v>
      </c>
      <c r="C55" s="410"/>
      <c r="D55" s="410"/>
      <c r="E55" s="94"/>
      <c r="F55" s="294" t="s">
        <v>65</v>
      </c>
      <c r="G55" s="295" t="s">
        <v>109</v>
      </c>
      <c r="H55" s="286">
        <f>IF(E55="Y",1,0)</f>
        <v>0</v>
      </c>
      <c r="I55" s="57"/>
    </row>
    <row r="56" spans="1:9" ht="64.5" customHeight="1" x14ac:dyDescent="0.25">
      <c r="A56" s="283" t="s">
        <v>72</v>
      </c>
      <c r="B56" s="410" t="s">
        <v>373</v>
      </c>
      <c r="C56" s="410"/>
      <c r="D56" s="410"/>
      <c r="E56" s="94"/>
      <c r="F56" s="294" t="s">
        <v>65</v>
      </c>
      <c r="G56" s="295" t="s">
        <v>261</v>
      </c>
      <c r="H56" s="286">
        <f>IF(E56="Y",0.5,0)</f>
        <v>0</v>
      </c>
      <c r="I56" s="57"/>
    </row>
    <row r="57" spans="1:9" ht="65.099999999999994" customHeight="1" x14ac:dyDescent="0.25">
      <c r="A57" s="283" t="s">
        <v>75</v>
      </c>
      <c r="B57" s="410" t="s">
        <v>374</v>
      </c>
      <c r="C57" s="410" t="s">
        <v>246</v>
      </c>
      <c r="D57" s="410"/>
      <c r="E57" s="94"/>
      <c r="F57" s="294" t="s">
        <v>350</v>
      </c>
      <c r="G57" s="285" t="s">
        <v>347</v>
      </c>
      <c r="H57" s="286">
        <f>IF(E57="A",1,IF(E57="B",2,0))</f>
        <v>0</v>
      </c>
      <c r="I57" s="57"/>
    </row>
    <row r="58" spans="1:9" ht="15.75" x14ac:dyDescent="0.25">
      <c r="A58" s="476" t="s">
        <v>375</v>
      </c>
      <c r="B58" s="476"/>
      <c r="C58" s="476"/>
      <c r="D58" s="476"/>
      <c r="E58" s="476"/>
      <c r="F58" s="476"/>
      <c r="G58" s="476"/>
      <c r="H58" s="75">
        <f>SUM(H55:H57)</f>
        <v>0</v>
      </c>
      <c r="I58" s="76"/>
    </row>
    <row r="59" spans="1:9" ht="15.75" x14ac:dyDescent="0.25">
      <c r="A59" s="68" t="s">
        <v>376</v>
      </c>
      <c r="B59" s="473" t="s">
        <v>377</v>
      </c>
      <c r="C59" s="474" t="s">
        <v>248</v>
      </c>
      <c r="D59" s="474"/>
      <c r="E59" s="69"/>
      <c r="F59" s="68"/>
      <c r="G59" s="68"/>
      <c r="H59" s="70"/>
      <c r="I59" s="68"/>
    </row>
    <row r="60" spans="1:9" ht="15.75" customHeight="1" x14ac:dyDescent="0.25">
      <c r="A60" s="71" t="s">
        <v>378</v>
      </c>
      <c r="B60" s="475" t="s">
        <v>379</v>
      </c>
      <c r="C60" s="475"/>
      <c r="D60" s="475"/>
      <c r="E60" s="72"/>
      <c r="F60" s="71"/>
      <c r="G60" s="73"/>
      <c r="H60" s="74"/>
      <c r="I60" s="73"/>
    </row>
    <row r="61" spans="1:9" ht="97.5" customHeight="1" x14ac:dyDescent="0.25">
      <c r="A61" s="283"/>
      <c r="B61" s="410" t="s">
        <v>380</v>
      </c>
      <c r="C61" s="410"/>
      <c r="D61" s="410"/>
      <c r="E61" s="94"/>
      <c r="F61" s="294" t="s">
        <v>65</v>
      </c>
      <c r="G61" s="285" t="s">
        <v>261</v>
      </c>
      <c r="H61" s="286">
        <f>IF(E61="Y",0.5,0)</f>
        <v>0</v>
      </c>
      <c r="I61" s="57"/>
    </row>
    <row r="62" spans="1:9" ht="15.75" x14ac:dyDescent="0.25">
      <c r="A62" s="476" t="s">
        <v>381</v>
      </c>
      <c r="B62" s="476"/>
      <c r="C62" s="476"/>
      <c r="D62" s="476"/>
      <c r="E62" s="476"/>
      <c r="F62" s="476"/>
      <c r="G62" s="476"/>
      <c r="H62" s="75">
        <f>H61</f>
        <v>0</v>
      </c>
      <c r="I62" s="76"/>
    </row>
    <row r="63" spans="1:9" ht="15.75" customHeight="1" x14ac:dyDescent="0.25">
      <c r="A63" s="71" t="s">
        <v>382</v>
      </c>
      <c r="B63" s="475" t="s">
        <v>383</v>
      </c>
      <c r="C63" s="475"/>
      <c r="D63" s="475"/>
      <c r="E63" s="72"/>
      <c r="F63" s="71" t="s">
        <v>74</v>
      </c>
      <c r="G63" s="73"/>
      <c r="H63" s="74"/>
      <c r="I63" s="73"/>
    </row>
    <row r="64" spans="1:9" ht="15.75" x14ac:dyDescent="0.25">
      <c r="A64" s="283"/>
      <c r="B64" s="410" t="s">
        <v>384</v>
      </c>
      <c r="C64" s="480"/>
      <c r="D64" s="480"/>
      <c r="E64" s="300"/>
      <c r="F64" s="294"/>
      <c r="G64" s="285"/>
      <c r="H64" s="286"/>
      <c r="I64" s="57"/>
    </row>
    <row r="65" spans="1:9" ht="33.6" customHeight="1" x14ac:dyDescent="0.25">
      <c r="A65" s="283" t="s">
        <v>70</v>
      </c>
      <c r="B65" s="410" t="s">
        <v>385</v>
      </c>
      <c r="C65" s="480"/>
      <c r="D65" s="480"/>
      <c r="E65" s="300" t="s">
        <v>137</v>
      </c>
      <c r="F65" s="294" t="s">
        <v>137</v>
      </c>
      <c r="G65" s="285" t="s">
        <v>137</v>
      </c>
      <c r="H65" s="286" t="s">
        <v>137</v>
      </c>
      <c r="I65" s="57"/>
    </row>
    <row r="66" spans="1:9" ht="80.099999999999994" customHeight="1" x14ac:dyDescent="0.25">
      <c r="A66" s="283" t="s">
        <v>72</v>
      </c>
      <c r="B66" s="410" t="s">
        <v>386</v>
      </c>
      <c r="C66" s="480"/>
      <c r="D66" s="480"/>
      <c r="E66" s="94"/>
      <c r="F66" s="294" t="s">
        <v>65</v>
      </c>
      <c r="G66" s="285" t="s">
        <v>261</v>
      </c>
      <c r="H66" s="286">
        <f>IF(E66="Y",0.5,0)</f>
        <v>0</v>
      </c>
      <c r="I66" s="57"/>
    </row>
    <row r="67" spans="1:9" ht="33.950000000000003" customHeight="1" x14ac:dyDescent="0.25">
      <c r="A67" s="283" t="s">
        <v>75</v>
      </c>
      <c r="B67" s="410" t="s">
        <v>387</v>
      </c>
      <c r="C67" s="480"/>
      <c r="D67" s="480"/>
      <c r="E67" s="94"/>
      <c r="F67" s="294" t="s">
        <v>65</v>
      </c>
      <c r="G67" s="285" t="s">
        <v>261</v>
      </c>
      <c r="H67" s="286">
        <f>IF(E67="Y",0.5,0)</f>
        <v>0</v>
      </c>
      <c r="I67" s="57"/>
    </row>
    <row r="68" spans="1:9" ht="48.95" customHeight="1" x14ac:dyDescent="0.25">
      <c r="A68" s="283" t="s">
        <v>80</v>
      </c>
      <c r="B68" s="410" t="s">
        <v>388</v>
      </c>
      <c r="C68" s="480"/>
      <c r="D68" s="480"/>
      <c r="E68" s="94"/>
      <c r="F68" s="294" t="s">
        <v>65</v>
      </c>
      <c r="G68" s="285" t="s">
        <v>109</v>
      </c>
      <c r="H68" s="286">
        <f>IF(E68="Y",1,0)</f>
        <v>0</v>
      </c>
      <c r="I68" s="57"/>
    </row>
    <row r="69" spans="1:9" ht="15.75" x14ac:dyDescent="0.25">
      <c r="A69" s="476" t="s">
        <v>389</v>
      </c>
      <c r="B69" s="476"/>
      <c r="C69" s="476"/>
      <c r="D69" s="476"/>
      <c r="E69" s="476"/>
      <c r="F69" s="476"/>
      <c r="G69" s="476"/>
      <c r="H69" s="75">
        <f>SUM(H66:H68)</f>
        <v>0</v>
      </c>
      <c r="I69" s="76"/>
    </row>
    <row r="70" spans="1:9" ht="15.75" x14ac:dyDescent="0.25">
      <c r="A70" s="64" t="s">
        <v>390</v>
      </c>
      <c r="B70" s="479" t="s">
        <v>391</v>
      </c>
      <c r="C70" s="479"/>
      <c r="D70" s="479"/>
      <c r="E70" s="479"/>
      <c r="F70" s="479" t="s">
        <v>68</v>
      </c>
      <c r="G70" s="64">
        <v>5</v>
      </c>
      <c r="H70" s="85">
        <f>MIN(SUM(H73,H79,H82,H86,H92),5)</f>
        <v>0</v>
      </c>
      <c r="I70" s="86"/>
    </row>
    <row r="71" spans="1:9" ht="15.75" x14ac:dyDescent="0.25">
      <c r="A71" s="68" t="s">
        <v>392</v>
      </c>
      <c r="B71" s="473" t="s">
        <v>393</v>
      </c>
      <c r="C71" s="474"/>
      <c r="D71" s="474"/>
      <c r="E71" s="69"/>
      <c r="F71" s="68" t="s">
        <v>68</v>
      </c>
      <c r="G71" s="68" t="s">
        <v>137</v>
      </c>
      <c r="H71" s="70"/>
      <c r="I71" s="68"/>
    </row>
    <row r="72" spans="1:9" ht="47.45" customHeight="1" x14ac:dyDescent="0.25">
      <c r="A72" s="283"/>
      <c r="B72" s="477" t="s">
        <v>509</v>
      </c>
      <c r="C72" s="477"/>
      <c r="D72" s="477"/>
      <c r="E72" s="94"/>
      <c r="F72" s="294" t="s">
        <v>350</v>
      </c>
      <c r="G72" s="285" t="s">
        <v>347</v>
      </c>
      <c r="H72" s="286">
        <f>IF(E72="A",1,IF(E72="B",2,0))</f>
        <v>0</v>
      </c>
      <c r="I72" s="57"/>
    </row>
    <row r="73" spans="1:9" ht="15.75" x14ac:dyDescent="0.25">
      <c r="A73" s="476" t="s">
        <v>394</v>
      </c>
      <c r="B73" s="476"/>
      <c r="C73" s="476"/>
      <c r="D73" s="476"/>
      <c r="E73" s="476"/>
      <c r="F73" s="476"/>
      <c r="G73" s="476"/>
      <c r="H73" s="75">
        <f>H72</f>
        <v>0</v>
      </c>
      <c r="I73" s="76"/>
    </row>
    <row r="74" spans="1:9" ht="15.75" x14ac:dyDescent="0.25">
      <c r="A74" s="68" t="s">
        <v>395</v>
      </c>
      <c r="B74" s="473" t="s">
        <v>396</v>
      </c>
      <c r="C74" s="474"/>
      <c r="D74" s="474"/>
      <c r="E74" s="69"/>
      <c r="F74" s="68"/>
      <c r="G74" s="68"/>
      <c r="H74" s="70"/>
      <c r="I74" s="68"/>
    </row>
    <row r="75" spans="1:9" ht="15.75" customHeight="1" x14ac:dyDescent="0.25">
      <c r="A75" s="71" t="s">
        <v>397</v>
      </c>
      <c r="B75" s="475" t="s">
        <v>398</v>
      </c>
      <c r="C75" s="475"/>
      <c r="D75" s="475"/>
      <c r="E75" s="72"/>
      <c r="F75" s="71"/>
      <c r="G75" s="73"/>
      <c r="H75" s="74"/>
      <c r="I75" s="73"/>
    </row>
    <row r="76" spans="1:9" ht="79.5" customHeight="1" x14ac:dyDescent="0.25">
      <c r="A76" s="283"/>
      <c r="B76" s="410" t="s">
        <v>399</v>
      </c>
      <c r="C76" s="410"/>
      <c r="D76" s="410"/>
      <c r="E76" s="300"/>
      <c r="F76" s="294"/>
      <c r="G76" s="88"/>
      <c r="H76" s="89"/>
      <c r="I76" s="60"/>
    </row>
    <row r="77" spans="1:9" ht="51" customHeight="1" x14ac:dyDescent="0.25">
      <c r="A77" s="283" t="s">
        <v>70</v>
      </c>
      <c r="B77" s="410" t="s">
        <v>400</v>
      </c>
      <c r="C77" s="410"/>
      <c r="D77" s="410"/>
      <c r="E77" s="94"/>
      <c r="F77" s="294" t="s">
        <v>65</v>
      </c>
      <c r="G77" s="285" t="s">
        <v>109</v>
      </c>
      <c r="H77" s="286">
        <f>IF(E77="Y",1,0)</f>
        <v>0</v>
      </c>
      <c r="I77" s="60"/>
    </row>
    <row r="78" spans="1:9" ht="48.75" customHeight="1" x14ac:dyDescent="0.25">
      <c r="A78" s="283" t="s">
        <v>72</v>
      </c>
      <c r="B78" s="410" t="s">
        <v>401</v>
      </c>
      <c r="C78" s="410"/>
      <c r="D78" s="410"/>
      <c r="E78" s="94"/>
      <c r="F78" s="294" t="s">
        <v>65</v>
      </c>
      <c r="G78" s="285" t="s">
        <v>109</v>
      </c>
      <c r="H78" s="286">
        <f>IF(E78="Y",1,0)</f>
        <v>0</v>
      </c>
      <c r="I78" s="60"/>
    </row>
    <row r="79" spans="1:9" ht="15.75" x14ac:dyDescent="0.25">
      <c r="A79" s="476" t="s">
        <v>402</v>
      </c>
      <c r="B79" s="476"/>
      <c r="C79" s="476"/>
      <c r="D79" s="476"/>
      <c r="E79" s="476"/>
      <c r="F79" s="476"/>
      <c r="G79" s="476"/>
      <c r="H79" s="75">
        <f>SUM(H77:H78)</f>
        <v>0</v>
      </c>
      <c r="I79" s="76"/>
    </row>
    <row r="80" spans="1:9" ht="15.75" customHeight="1" x14ac:dyDescent="0.25">
      <c r="A80" s="71" t="s">
        <v>403</v>
      </c>
      <c r="B80" s="475" t="s">
        <v>404</v>
      </c>
      <c r="C80" s="475"/>
      <c r="D80" s="475"/>
      <c r="E80" s="72"/>
      <c r="F80" s="71"/>
      <c r="G80" s="73"/>
      <c r="H80" s="74"/>
      <c r="I80" s="73"/>
    </row>
    <row r="81" spans="1:9" ht="80.45" customHeight="1" x14ac:dyDescent="0.25">
      <c r="A81" s="283"/>
      <c r="B81" s="410" t="s">
        <v>405</v>
      </c>
      <c r="C81" s="410"/>
      <c r="D81" s="410"/>
      <c r="E81" s="94"/>
      <c r="F81" s="294" t="s">
        <v>65</v>
      </c>
      <c r="G81" s="285" t="s">
        <v>109</v>
      </c>
      <c r="H81" s="286">
        <f>IF(E81="Y",1,0)</f>
        <v>0</v>
      </c>
      <c r="I81" s="60"/>
    </row>
    <row r="82" spans="1:9" ht="15.75" x14ac:dyDescent="0.25">
      <c r="A82" s="476" t="s">
        <v>406</v>
      </c>
      <c r="B82" s="476"/>
      <c r="C82" s="476"/>
      <c r="D82" s="476"/>
      <c r="E82" s="476"/>
      <c r="F82" s="476"/>
      <c r="G82" s="476"/>
      <c r="H82" s="75">
        <f>SUM(H80:H81)</f>
        <v>0</v>
      </c>
      <c r="I82" s="76"/>
    </row>
    <row r="83" spans="1:9" ht="15.75" x14ac:dyDescent="0.25">
      <c r="A83" s="68" t="s">
        <v>407</v>
      </c>
      <c r="B83" s="473" t="s">
        <v>408</v>
      </c>
      <c r="C83" s="474"/>
      <c r="D83" s="474"/>
      <c r="E83" s="69"/>
      <c r="F83" s="68"/>
      <c r="G83" s="68"/>
      <c r="H83" s="70"/>
      <c r="I83" s="68"/>
    </row>
    <row r="84" spans="1:9" ht="15.75" customHeight="1" x14ac:dyDescent="0.25">
      <c r="A84" s="71" t="s">
        <v>409</v>
      </c>
      <c r="B84" s="475" t="s">
        <v>410</v>
      </c>
      <c r="C84" s="475"/>
      <c r="D84" s="475"/>
      <c r="E84" s="72"/>
      <c r="F84" s="71"/>
      <c r="G84" s="73"/>
      <c r="H84" s="74"/>
      <c r="I84" s="73"/>
    </row>
    <row r="85" spans="1:9" ht="65.25" customHeight="1" x14ac:dyDescent="0.25">
      <c r="A85" s="293" t="s">
        <v>70</v>
      </c>
      <c r="B85" s="410" t="s">
        <v>411</v>
      </c>
      <c r="C85" s="410"/>
      <c r="D85" s="410"/>
      <c r="E85" s="94"/>
      <c r="F85" s="294" t="s">
        <v>65</v>
      </c>
      <c r="G85" s="285" t="s">
        <v>109</v>
      </c>
      <c r="H85" s="286">
        <f>IF(E85="Y",1,0)</f>
        <v>0</v>
      </c>
      <c r="I85" s="57"/>
    </row>
    <row r="86" spans="1:9" ht="15.75" x14ac:dyDescent="0.25">
      <c r="A86" s="476" t="s">
        <v>412</v>
      </c>
      <c r="B86" s="476"/>
      <c r="C86" s="476"/>
      <c r="D86" s="476"/>
      <c r="E86" s="476"/>
      <c r="F86" s="476"/>
      <c r="G86" s="476"/>
      <c r="H86" s="75">
        <f>H85</f>
        <v>0</v>
      </c>
      <c r="I86" s="76"/>
    </row>
    <row r="87" spans="1:9" ht="15.75" customHeight="1" x14ac:dyDescent="0.25">
      <c r="A87" s="71" t="s">
        <v>413</v>
      </c>
      <c r="B87" s="475" t="s">
        <v>414</v>
      </c>
      <c r="C87" s="475"/>
      <c r="D87" s="475"/>
      <c r="E87" s="72"/>
      <c r="F87" s="71"/>
      <c r="G87" s="73"/>
      <c r="H87" s="74"/>
      <c r="I87" s="73"/>
    </row>
    <row r="88" spans="1:9" ht="34.5" customHeight="1" x14ac:dyDescent="0.25">
      <c r="A88" s="293"/>
      <c r="B88" s="410" t="s">
        <v>415</v>
      </c>
      <c r="C88" s="410"/>
      <c r="D88" s="410"/>
      <c r="E88" s="300"/>
      <c r="F88" s="83"/>
      <c r="G88" s="285"/>
      <c r="H88" s="36"/>
      <c r="I88" s="57"/>
    </row>
    <row r="89" spans="1:9" ht="92.25" customHeight="1" x14ac:dyDescent="0.25">
      <c r="A89" s="295" t="s">
        <v>70</v>
      </c>
      <c r="B89" s="410" t="s">
        <v>416</v>
      </c>
      <c r="C89" s="410"/>
      <c r="D89" s="410"/>
      <c r="E89" s="94"/>
      <c r="F89" s="83" t="s">
        <v>65</v>
      </c>
      <c r="G89" s="285" t="s">
        <v>261</v>
      </c>
      <c r="H89" s="286">
        <f>IF(E89="Y",0.5,0)</f>
        <v>0</v>
      </c>
      <c r="I89" s="57"/>
    </row>
    <row r="90" spans="1:9" ht="15.75" x14ac:dyDescent="0.25">
      <c r="A90" s="293" t="s">
        <v>72</v>
      </c>
      <c r="B90" s="410" t="s">
        <v>417</v>
      </c>
      <c r="C90" s="410"/>
      <c r="D90" s="410"/>
      <c r="E90" s="94"/>
      <c r="F90" s="83" t="s">
        <v>65</v>
      </c>
      <c r="G90" s="285" t="s">
        <v>261</v>
      </c>
      <c r="H90" s="286">
        <f>IF(E90="Y",0.5,0)</f>
        <v>0</v>
      </c>
      <c r="I90" s="57"/>
    </row>
    <row r="91" spans="1:9" ht="15.75" x14ac:dyDescent="0.25">
      <c r="A91" s="293" t="s">
        <v>75</v>
      </c>
      <c r="B91" s="410" t="s">
        <v>418</v>
      </c>
      <c r="C91" s="410"/>
      <c r="D91" s="410"/>
      <c r="E91" s="94"/>
      <c r="F91" s="83" t="s">
        <v>65</v>
      </c>
      <c r="G91" s="285" t="s">
        <v>261</v>
      </c>
      <c r="H91" s="286">
        <f>IF(E91="Y",0.5,0)</f>
        <v>0</v>
      </c>
      <c r="I91" s="57"/>
    </row>
    <row r="92" spans="1:9" ht="15.75" x14ac:dyDescent="0.25">
      <c r="A92" s="476" t="s">
        <v>419</v>
      </c>
      <c r="B92" s="476"/>
      <c r="C92" s="476"/>
      <c r="D92" s="476"/>
      <c r="E92" s="476"/>
      <c r="F92" s="476"/>
      <c r="G92" s="476"/>
      <c r="H92" s="75">
        <f>SUM(H89:H91)</f>
        <v>0</v>
      </c>
      <c r="I92" s="76"/>
    </row>
    <row r="93" spans="1:9" ht="15.75" x14ac:dyDescent="0.25">
      <c r="A93" s="64"/>
      <c r="B93" s="479" t="s">
        <v>297</v>
      </c>
      <c r="C93" s="479"/>
      <c r="D93" s="479"/>
      <c r="E93" s="479"/>
      <c r="F93" s="479"/>
      <c r="G93" s="64">
        <v>2</v>
      </c>
      <c r="H93" s="85">
        <f>MIN(SUM(H95:H96),2)</f>
        <v>0</v>
      </c>
      <c r="I93" s="86"/>
    </row>
    <row r="94" spans="1:9" ht="63" x14ac:dyDescent="0.25">
      <c r="A94" s="71"/>
      <c r="B94" s="478" t="s">
        <v>420</v>
      </c>
      <c r="C94" s="478"/>
      <c r="D94" s="478"/>
      <c r="E94" s="90"/>
      <c r="F94" s="71"/>
      <c r="G94" s="90" t="s">
        <v>193</v>
      </c>
      <c r="H94" s="90"/>
      <c r="I94" s="299" t="s">
        <v>194</v>
      </c>
    </row>
    <row r="95" spans="1:9" ht="120.75" customHeight="1" x14ac:dyDescent="0.25">
      <c r="A95" s="293"/>
      <c r="B95" s="410" t="s">
        <v>421</v>
      </c>
      <c r="C95" s="410"/>
      <c r="D95" s="410"/>
      <c r="E95" s="94"/>
      <c r="F95" s="91" t="s">
        <v>68</v>
      </c>
      <c r="G95" s="388" t="s">
        <v>422</v>
      </c>
      <c r="H95" s="36">
        <f>E95</f>
        <v>0</v>
      </c>
      <c r="I95" s="98" t="s">
        <v>197</v>
      </c>
    </row>
    <row r="96" spans="1:9" ht="120.75" customHeight="1" x14ac:dyDescent="0.25">
      <c r="A96" s="92"/>
      <c r="B96" s="410"/>
      <c r="C96" s="410"/>
      <c r="D96" s="410"/>
      <c r="E96" s="94"/>
      <c r="F96" s="91" t="s">
        <v>68</v>
      </c>
      <c r="G96" s="388"/>
      <c r="H96" s="36">
        <f>E96</f>
        <v>0</v>
      </c>
      <c r="I96" s="98" t="s">
        <v>198</v>
      </c>
    </row>
  </sheetData>
  <sheetProtection formatCells="0" selectLockedCells="1"/>
  <mergeCells count="105">
    <mergeCell ref="I15:I19"/>
    <mergeCell ref="B15:C15"/>
    <mergeCell ref="B16:C16"/>
    <mergeCell ref="B19:C19"/>
    <mergeCell ref="B22:D22"/>
    <mergeCell ref="G25:G27"/>
    <mergeCell ref="H25:H27"/>
    <mergeCell ref="B20:D20"/>
    <mergeCell ref="D15:D19"/>
    <mergeCell ref="F15:F19"/>
    <mergeCell ref="H15:H19"/>
    <mergeCell ref="B1:D1"/>
    <mergeCell ref="A2:F2"/>
    <mergeCell ref="B3:F3"/>
    <mergeCell ref="B4:D4"/>
    <mergeCell ref="B5:D5"/>
    <mergeCell ref="B10:D10"/>
    <mergeCell ref="B11:D11"/>
    <mergeCell ref="B13:D13"/>
    <mergeCell ref="B14:D14"/>
    <mergeCell ref="B6:D6"/>
    <mergeCell ref="B7:D7"/>
    <mergeCell ref="B9:D9"/>
    <mergeCell ref="A14:A20"/>
    <mergeCell ref="A8:G8"/>
    <mergeCell ref="A12:G12"/>
    <mergeCell ref="B40:D40"/>
    <mergeCell ref="B41:D41"/>
    <mergeCell ref="B42:D42"/>
    <mergeCell ref="B93:F93"/>
    <mergeCell ref="B84:D84"/>
    <mergeCell ref="B85:D85"/>
    <mergeCell ref="B87:D87"/>
    <mergeCell ref="B88:D88"/>
    <mergeCell ref="B89:D89"/>
    <mergeCell ref="A82:G82"/>
    <mergeCell ref="B91:D91"/>
    <mergeCell ref="B90:D90"/>
    <mergeCell ref="A86:G86"/>
    <mergeCell ref="A92:G92"/>
    <mergeCell ref="B83:D83"/>
    <mergeCell ref="B55:D55"/>
    <mergeCell ref="B56:D56"/>
    <mergeCell ref="B49:D49"/>
    <mergeCell ref="B48:D48"/>
    <mergeCell ref="B43:D43"/>
    <mergeCell ref="B45:F45"/>
    <mergeCell ref="B46:D46"/>
    <mergeCell ref="B47:D47"/>
    <mergeCell ref="A44:G44"/>
    <mergeCell ref="A39:G39"/>
    <mergeCell ref="E15:E19"/>
    <mergeCell ref="G15:G19"/>
    <mergeCell ref="B26:D26"/>
    <mergeCell ref="B23:D23"/>
    <mergeCell ref="B24:D24"/>
    <mergeCell ref="B28:D28"/>
    <mergeCell ref="B35:D35"/>
    <mergeCell ref="B25:D25"/>
    <mergeCell ref="B37:D37"/>
    <mergeCell ref="B38:D38"/>
    <mergeCell ref="B27:D27"/>
    <mergeCell ref="B36:D36"/>
    <mergeCell ref="A24:A27"/>
    <mergeCell ref="A28:A33"/>
    <mergeCell ref="A21:G21"/>
    <mergeCell ref="A34:G34"/>
    <mergeCell ref="B29:D29"/>
    <mergeCell ref="B30:D30"/>
    <mergeCell ref="B31:D31"/>
    <mergeCell ref="B32:D32"/>
    <mergeCell ref="B33:D33"/>
    <mergeCell ref="B94:D94"/>
    <mergeCell ref="B95:D96"/>
    <mergeCell ref="B59:D59"/>
    <mergeCell ref="B70:F70"/>
    <mergeCell ref="B66:D66"/>
    <mergeCell ref="B67:D67"/>
    <mergeCell ref="B68:D68"/>
    <mergeCell ref="A52:G52"/>
    <mergeCell ref="A58:G58"/>
    <mergeCell ref="A62:G62"/>
    <mergeCell ref="A69:G69"/>
    <mergeCell ref="G95:G96"/>
    <mergeCell ref="A79:G79"/>
    <mergeCell ref="B60:D60"/>
    <mergeCell ref="B61:D61"/>
    <mergeCell ref="B63:D63"/>
    <mergeCell ref="B65:D65"/>
    <mergeCell ref="B57:D57"/>
    <mergeCell ref="B53:D53"/>
    <mergeCell ref="B54:D54"/>
    <mergeCell ref="B64:D64"/>
    <mergeCell ref="B77:D77"/>
    <mergeCell ref="B81:D81"/>
    <mergeCell ref="B80:D80"/>
    <mergeCell ref="B76:D76"/>
    <mergeCell ref="B78:D78"/>
    <mergeCell ref="B74:D74"/>
    <mergeCell ref="B75:D75"/>
    <mergeCell ref="A73:G73"/>
    <mergeCell ref="B71:D71"/>
    <mergeCell ref="B72:D72"/>
    <mergeCell ref="B50:D50"/>
    <mergeCell ref="B51:D51"/>
  </mergeCells>
  <dataValidations count="8">
    <dataValidation allowBlank="1" showErrorMessage="1" sqref="H96" xr:uid="{00000000-0002-0000-0500-000000000000}"/>
    <dataValidation allowBlank="1" showInputMessage="1" showErrorMessage="1" prompt="Please list down short description of your innovation." sqref="I95:I96" xr:uid="{00000000-0002-0000-0500-000001000000}"/>
    <dataValidation type="decimal" allowBlank="1" showErrorMessage="1" error="Please enter 0.5 or 1 or 1.5 or 2." prompt="Please Enter 0 or 1 or 1.5 or 2." sqref="H95" xr:uid="{00000000-0002-0000-0500-000002000000}">
      <formula1>0</formula1>
      <formula2>2</formula2>
    </dataValidation>
    <dataValidation type="list" allowBlank="1" showInputMessage="1" showErrorMessage="1" sqref="E6:E7 E41:E43 E37 E48:E51 E55:E56 E61 E66:E68 E77:E78 E81 E89:E91 E25:E26 E85" xr:uid="{00000000-0002-0000-0500-000003000000}">
      <formula1>"Y,N"</formula1>
    </dataValidation>
    <dataValidation type="decimal" allowBlank="1" showInputMessage="1" showErrorMessage="1" sqref="E10:E11 E27:E28 E36 E32:E33 E30" xr:uid="{00000000-0002-0000-0500-000004000000}">
      <formula1>0</formula1>
      <formula2>100</formula2>
    </dataValidation>
    <dataValidation type="list" allowBlank="1" showInputMessage="1" showErrorMessage="1" sqref="E20 E72 E38 E57" xr:uid="{00000000-0002-0000-0500-000005000000}">
      <formula1>"A,B"</formula1>
    </dataValidation>
    <dataValidation type="list" showErrorMessage="1" error="Please enter 0.5 or 1 or 1.5 or 2." prompt="Please Enter 0.5 or 1 or 1.5 or 2." sqref="E95:E96" xr:uid="{00000000-0002-0000-0500-000006000000}">
      <formula1>"0, 0.5, 1.0, 1.5, 2.0"</formula1>
    </dataValidation>
    <dataValidation type="decimal" allowBlank="1" showInputMessage="1" showErrorMessage="1" sqref="E29" xr:uid="{00000000-0002-0000-0500-000007000000}">
      <formula1>-1000</formula1>
      <formula2>1000</formula2>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0"/>
  <sheetViews>
    <sheetView zoomScaleNormal="100" workbookViewId="0">
      <selection activeCell="G35" sqref="G35"/>
    </sheetView>
  </sheetViews>
  <sheetFormatPr defaultColWidth="8.7109375" defaultRowHeight="15.75" x14ac:dyDescent="0.25"/>
  <cols>
    <col min="1" max="1" width="8.28515625" style="312" customWidth="1"/>
    <col min="2" max="2" width="65.7109375" style="279" customWidth="1"/>
    <col min="3" max="4" width="10.7109375" style="279" customWidth="1"/>
    <col min="5" max="5" width="19" style="279" customWidth="1"/>
    <col min="6" max="6" width="10.7109375" style="279" customWidth="1"/>
    <col min="7" max="7" width="30.7109375" style="279" customWidth="1"/>
    <col min="8" max="9" width="50.7109375" style="279" customWidth="1"/>
    <col min="10" max="10" width="15.5703125" style="279" customWidth="1"/>
    <col min="11" max="11" width="17.28515625" style="279" customWidth="1"/>
    <col min="12" max="16384" width="8.7109375" style="279"/>
  </cols>
  <sheetData>
    <row r="1" spans="1:7" ht="47.25" x14ac:dyDescent="0.25">
      <c r="A1" s="19"/>
      <c r="B1" s="282" t="s">
        <v>423</v>
      </c>
      <c r="C1" s="20" t="s">
        <v>61</v>
      </c>
      <c r="D1" s="20" t="s">
        <v>62</v>
      </c>
      <c r="E1" s="21" t="s">
        <v>98</v>
      </c>
      <c r="F1" s="20" t="s">
        <v>99</v>
      </c>
      <c r="G1" s="282" t="s">
        <v>100</v>
      </c>
    </row>
    <row r="2" spans="1:7" ht="21" x14ac:dyDescent="0.25">
      <c r="A2" s="523" t="s">
        <v>29</v>
      </c>
      <c r="B2" s="523"/>
      <c r="C2" s="523"/>
      <c r="D2" s="523"/>
      <c r="E2" s="23">
        <v>15</v>
      </c>
      <c r="F2" s="24">
        <f>MIN(SUM(F3,F20,F31,F47),15)</f>
        <v>0</v>
      </c>
      <c r="G2" s="25" t="s">
        <v>101</v>
      </c>
    </row>
    <row r="3" spans="1:7" x14ac:dyDescent="0.25">
      <c r="A3" s="26" t="s">
        <v>424</v>
      </c>
      <c r="B3" s="519" t="s">
        <v>52</v>
      </c>
      <c r="C3" s="519"/>
      <c r="D3" s="519"/>
      <c r="E3" s="27">
        <v>5</v>
      </c>
      <c r="F3" s="28">
        <f>MIN(SUM(F15,F10,F19), 5)</f>
        <v>0</v>
      </c>
      <c r="G3" s="26"/>
    </row>
    <row r="4" spans="1:7" x14ac:dyDescent="0.25">
      <c r="A4" s="29" t="s">
        <v>425</v>
      </c>
      <c r="B4" s="30" t="s">
        <v>426</v>
      </c>
      <c r="C4" s="30"/>
      <c r="D4" s="31"/>
      <c r="E4" s="32"/>
      <c r="F4" s="33"/>
      <c r="G4" s="32"/>
    </row>
    <row r="5" spans="1:7" ht="31.5" x14ac:dyDescent="0.25">
      <c r="A5" s="295" t="s">
        <v>70</v>
      </c>
      <c r="B5" s="34" t="s">
        <v>427</v>
      </c>
      <c r="C5" s="10"/>
      <c r="D5" s="35" t="s">
        <v>65</v>
      </c>
      <c r="E5" s="285" t="s">
        <v>126</v>
      </c>
      <c r="F5" s="36">
        <f>IF(C5="Y",2,0)</f>
        <v>0</v>
      </c>
      <c r="G5" s="58"/>
    </row>
    <row r="6" spans="1:7" ht="31.5" x14ac:dyDescent="0.25">
      <c r="A6" s="431" t="s">
        <v>72</v>
      </c>
      <c r="B6" s="34" t="s">
        <v>428</v>
      </c>
      <c r="C6" s="37"/>
      <c r="D6" s="35"/>
      <c r="E6" s="285"/>
      <c r="F6" s="36"/>
      <c r="G6" s="57"/>
    </row>
    <row r="7" spans="1:7" x14ac:dyDescent="0.25">
      <c r="A7" s="431"/>
      <c r="B7" s="34" t="s">
        <v>429</v>
      </c>
      <c r="C7" s="39" t="s">
        <v>137</v>
      </c>
      <c r="D7" s="35" t="s">
        <v>137</v>
      </c>
      <c r="E7" s="40" t="s">
        <v>137</v>
      </c>
      <c r="F7" s="35" t="s">
        <v>137</v>
      </c>
      <c r="G7" s="57"/>
    </row>
    <row r="8" spans="1:7" ht="31.5" x14ac:dyDescent="0.25">
      <c r="A8" s="431"/>
      <c r="B8" s="34" t="s">
        <v>430</v>
      </c>
      <c r="C8" s="39" t="s">
        <v>137</v>
      </c>
      <c r="D8" s="35" t="s">
        <v>137</v>
      </c>
      <c r="E8" s="40" t="s">
        <v>137</v>
      </c>
      <c r="F8" s="35" t="s">
        <v>137</v>
      </c>
      <c r="G8" s="57"/>
    </row>
    <row r="9" spans="1:7" ht="63" x14ac:dyDescent="0.25">
      <c r="A9" s="295" t="s">
        <v>75</v>
      </c>
      <c r="B9" s="34" t="s">
        <v>431</v>
      </c>
      <c r="C9" s="10"/>
      <c r="D9" s="35" t="s">
        <v>65</v>
      </c>
      <c r="E9" s="285" t="s">
        <v>109</v>
      </c>
      <c r="F9" s="36">
        <f>IF(C9="Y",1,0)</f>
        <v>0</v>
      </c>
      <c r="G9" s="57"/>
    </row>
    <row r="10" spans="1:7" x14ac:dyDescent="0.25">
      <c r="A10" s="41"/>
      <c r="B10" s="520" t="s">
        <v>432</v>
      </c>
      <c r="C10" s="520"/>
      <c r="D10" s="520"/>
      <c r="E10" s="520"/>
      <c r="F10" s="42">
        <f>SUM(F5:F9)</f>
        <v>0</v>
      </c>
      <c r="G10" s="43"/>
    </row>
    <row r="11" spans="1:7" x14ac:dyDescent="0.25">
      <c r="A11" s="29" t="s">
        <v>433</v>
      </c>
      <c r="B11" s="30" t="s">
        <v>434</v>
      </c>
      <c r="C11" s="30"/>
      <c r="D11" s="31"/>
      <c r="E11" s="32"/>
      <c r="F11" s="33"/>
      <c r="G11" s="32"/>
    </row>
    <row r="12" spans="1:7" ht="47.25" x14ac:dyDescent="0.25">
      <c r="A12" s="290" t="s">
        <v>70</v>
      </c>
      <c r="B12" s="44" t="s">
        <v>435</v>
      </c>
      <c r="C12" s="10"/>
      <c r="D12" s="35" t="s">
        <v>65</v>
      </c>
      <c r="E12" s="45" t="s">
        <v>126</v>
      </c>
      <c r="F12" s="36">
        <f>IF(C12="Y",2,0)</f>
        <v>0</v>
      </c>
      <c r="G12" s="57"/>
    </row>
    <row r="13" spans="1:7" ht="63" x14ac:dyDescent="0.25">
      <c r="A13" s="290" t="s">
        <v>72</v>
      </c>
      <c r="B13" s="46" t="s">
        <v>436</v>
      </c>
      <c r="C13" s="10"/>
      <c r="D13" s="35" t="s">
        <v>65</v>
      </c>
      <c r="E13" s="285" t="s">
        <v>126</v>
      </c>
      <c r="F13" s="36">
        <f>IF(C13="Y",2,0)</f>
        <v>0</v>
      </c>
      <c r="G13" s="57"/>
    </row>
    <row r="14" spans="1:7" ht="60.95" customHeight="1" x14ac:dyDescent="0.25">
      <c r="A14" s="290" t="s">
        <v>75</v>
      </c>
      <c r="B14" s="46" t="s">
        <v>437</v>
      </c>
      <c r="C14" s="10"/>
      <c r="D14" s="35" t="s">
        <v>65</v>
      </c>
      <c r="E14" s="285" t="s">
        <v>109</v>
      </c>
      <c r="F14" s="36">
        <f>IF(C14="Y",1,0)</f>
        <v>0</v>
      </c>
      <c r="G14" s="57"/>
    </row>
    <row r="15" spans="1:7" x14ac:dyDescent="0.25">
      <c r="A15" s="41"/>
      <c r="B15" s="520" t="s">
        <v>438</v>
      </c>
      <c r="C15" s="520"/>
      <c r="D15" s="520"/>
      <c r="E15" s="520"/>
      <c r="F15" s="42">
        <f>SUM(F12:F14)</f>
        <v>0</v>
      </c>
      <c r="G15" s="43"/>
    </row>
    <row r="16" spans="1:7" x14ac:dyDescent="0.25">
      <c r="A16" s="29" t="s">
        <v>439</v>
      </c>
      <c r="B16" s="30" t="s">
        <v>440</v>
      </c>
      <c r="C16" s="30"/>
      <c r="D16" s="31"/>
      <c r="E16" s="32"/>
      <c r="F16" s="33"/>
      <c r="G16" s="32"/>
    </row>
    <row r="17" spans="1:7" ht="31.5" x14ac:dyDescent="0.25">
      <c r="A17" s="290" t="s">
        <v>70</v>
      </c>
      <c r="B17" s="44" t="s">
        <v>441</v>
      </c>
      <c r="C17" s="10"/>
      <c r="D17" s="35" t="s">
        <v>65</v>
      </c>
      <c r="E17" s="45" t="s">
        <v>261</v>
      </c>
      <c r="F17" s="36">
        <f>IF(C17="Y",0.5,0)</f>
        <v>0</v>
      </c>
      <c r="G17" s="57"/>
    </row>
    <row r="18" spans="1:7" ht="31.5" x14ac:dyDescent="0.25">
      <c r="A18" s="290" t="s">
        <v>72</v>
      </c>
      <c r="B18" s="46" t="s">
        <v>442</v>
      </c>
      <c r="C18" s="10"/>
      <c r="D18" s="35" t="s">
        <v>65</v>
      </c>
      <c r="E18" s="285" t="s">
        <v>109</v>
      </c>
      <c r="F18" s="36">
        <f>IF(C18="Y",1,0)</f>
        <v>0</v>
      </c>
      <c r="G18" s="57"/>
    </row>
    <row r="19" spans="1:7" x14ac:dyDescent="0.25">
      <c r="A19" s="41"/>
      <c r="B19" s="520" t="s">
        <v>443</v>
      </c>
      <c r="C19" s="520"/>
      <c r="D19" s="520"/>
      <c r="E19" s="520"/>
      <c r="F19" s="42">
        <f>SUM(F16:F18)</f>
        <v>0</v>
      </c>
      <c r="G19" s="43"/>
    </row>
    <row r="20" spans="1:7" x14ac:dyDescent="0.25">
      <c r="A20" s="26" t="s">
        <v>444</v>
      </c>
      <c r="B20" s="519" t="s">
        <v>54</v>
      </c>
      <c r="C20" s="519"/>
      <c r="D20" s="519"/>
      <c r="E20" s="27">
        <v>5</v>
      </c>
      <c r="F20" s="28">
        <f>MIN(SUM(F25,F30),5)</f>
        <v>0</v>
      </c>
      <c r="G20" s="26"/>
    </row>
    <row r="21" spans="1:7" x14ac:dyDescent="0.25">
      <c r="A21" s="29" t="s">
        <v>445</v>
      </c>
      <c r="B21" s="30" t="s">
        <v>446</v>
      </c>
      <c r="C21" s="30"/>
      <c r="D21" s="31"/>
      <c r="E21" s="32"/>
      <c r="F21" s="33"/>
      <c r="G21" s="32"/>
    </row>
    <row r="22" spans="1:7" ht="63" x14ac:dyDescent="0.25">
      <c r="A22" s="290" t="s">
        <v>70</v>
      </c>
      <c r="B22" s="47" t="s">
        <v>447</v>
      </c>
      <c r="C22" s="10"/>
      <c r="D22" s="35" t="s">
        <v>65</v>
      </c>
      <c r="E22" s="285" t="s">
        <v>109</v>
      </c>
      <c r="F22" s="36">
        <f>IF(C22="Y",1,0)</f>
        <v>0</v>
      </c>
      <c r="G22" s="57"/>
    </row>
    <row r="23" spans="1:7" ht="78.75" x14ac:dyDescent="0.25">
      <c r="A23" s="290" t="s">
        <v>72</v>
      </c>
      <c r="B23" s="47" t="s">
        <v>448</v>
      </c>
      <c r="C23" s="10"/>
      <c r="D23" s="35" t="s">
        <v>65</v>
      </c>
      <c r="E23" s="285" t="s">
        <v>126</v>
      </c>
      <c r="F23" s="36">
        <f>IF(C23="Y",2,0)</f>
        <v>0</v>
      </c>
      <c r="G23" s="57"/>
    </row>
    <row r="24" spans="1:7" ht="31.5" x14ac:dyDescent="0.25">
      <c r="A24" s="290" t="s">
        <v>75</v>
      </c>
      <c r="B24" s="47" t="s">
        <v>449</v>
      </c>
      <c r="C24" s="10"/>
      <c r="D24" s="35" t="s">
        <v>65</v>
      </c>
      <c r="E24" s="285" t="s">
        <v>109</v>
      </c>
      <c r="F24" s="36">
        <f>IF(C24="Y",1,0)</f>
        <v>0</v>
      </c>
      <c r="G24" s="57"/>
    </row>
    <row r="25" spans="1:7" x14ac:dyDescent="0.25">
      <c r="A25" s="41"/>
      <c r="B25" s="520" t="s">
        <v>450</v>
      </c>
      <c r="C25" s="520"/>
      <c r="D25" s="520"/>
      <c r="E25" s="520"/>
      <c r="F25" s="42">
        <f>SUM(F22:F24)</f>
        <v>0</v>
      </c>
      <c r="G25" s="43"/>
    </row>
    <row r="26" spans="1:7" x14ac:dyDescent="0.25">
      <c r="A26" s="29" t="s">
        <v>451</v>
      </c>
      <c r="B26" s="30" t="s">
        <v>452</v>
      </c>
      <c r="C26" s="30"/>
      <c r="D26" s="31"/>
      <c r="E26" s="32"/>
      <c r="F26" s="33"/>
      <c r="G26" s="32"/>
    </row>
    <row r="27" spans="1:7" ht="78.75" x14ac:dyDescent="0.25">
      <c r="A27" s="290" t="s">
        <v>70</v>
      </c>
      <c r="B27" s="47" t="s">
        <v>453</v>
      </c>
      <c r="C27" s="10"/>
      <c r="D27" s="35" t="s">
        <v>65</v>
      </c>
      <c r="E27" s="48" t="s">
        <v>126</v>
      </c>
      <c r="F27" s="36">
        <f>IF(C27="Y",2,0)</f>
        <v>0</v>
      </c>
      <c r="G27" s="57"/>
    </row>
    <row r="28" spans="1:7" ht="47.25" x14ac:dyDescent="0.25">
      <c r="A28" s="290" t="s">
        <v>72</v>
      </c>
      <c r="B28" s="47" t="s">
        <v>454</v>
      </c>
      <c r="C28" s="10"/>
      <c r="D28" s="35" t="s">
        <v>65</v>
      </c>
      <c r="E28" s="49" t="s">
        <v>272</v>
      </c>
      <c r="F28" s="36">
        <f>IF(C28="Y",3,0)</f>
        <v>0</v>
      </c>
      <c r="G28" s="59"/>
    </row>
    <row r="29" spans="1:7" ht="31.5" x14ac:dyDescent="0.25">
      <c r="A29" s="290" t="s">
        <v>75</v>
      </c>
      <c r="B29" s="47" t="s">
        <v>455</v>
      </c>
      <c r="C29" s="10"/>
      <c r="D29" s="35" t="s">
        <v>65</v>
      </c>
      <c r="E29" s="49" t="s">
        <v>109</v>
      </c>
      <c r="F29" s="36">
        <f>IF(C29="Y",1,0)</f>
        <v>0</v>
      </c>
      <c r="G29" s="59"/>
    </row>
    <row r="30" spans="1:7" x14ac:dyDescent="0.25">
      <c r="A30" s="41"/>
      <c r="B30" s="520" t="s">
        <v>456</v>
      </c>
      <c r="C30" s="520"/>
      <c r="D30" s="520"/>
      <c r="E30" s="520"/>
      <c r="F30" s="42">
        <f>SUM(F27:F29)</f>
        <v>0</v>
      </c>
      <c r="G30" s="43"/>
    </row>
    <row r="31" spans="1:7" x14ac:dyDescent="0.25">
      <c r="A31" s="26" t="s">
        <v>457</v>
      </c>
      <c r="B31" s="519" t="s">
        <v>56</v>
      </c>
      <c r="C31" s="519"/>
      <c r="D31" s="519"/>
      <c r="E31" s="27">
        <v>5</v>
      </c>
      <c r="F31" s="28">
        <f>MIN(SUM(F36,F41,F46),5)</f>
        <v>0</v>
      </c>
      <c r="G31" s="26"/>
    </row>
    <row r="32" spans="1:7" x14ac:dyDescent="0.25">
      <c r="A32" s="29" t="s">
        <v>458</v>
      </c>
      <c r="B32" s="30" t="s">
        <v>459</v>
      </c>
      <c r="C32" s="30"/>
      <c r="D32" s="31"/>
      <c r="E32" s="32"/>
      <c r="F32" s="33"/>
      <c r="G32" s="32"/>
    </row>
    <row r="33" spans="1:7" ht="47.25" x14ac:dyDescent="0.25">
      <c r="A33" s="290" t="s">
        <v>70</v>
      </c>
      <c r="B33" s="301" t="s">
        <v>460</v>
      </c>
      <c r="C33" s="10"/>
      <c r="D33" s="35" t="s">
        <v>65</v>
      </c>
      <c r="E33" s="285" t="s">
        <v>109</v>
      </c>
      <c r="F33" s="36">
        <f>IF(C33="Y",1,0)</f>
        <v>0</v>
      </c>
      <c r="G33" s="57"/>
    </row>
    <row r="34" spans="1:7" ht="31.5" x14ac:dyDescent="0.25">
      <c r="A34" s="290" t="s">
        <v>72</v>
      </c>
      <c r="B34" s="301" t="s">
        <v>461</v>
      </c>
      <c r="C34" s="10"/>
      <c r="D34" s="35" t="s">
        <v>65</v>
      </c>
      <c r="E34" s="285" t="s">
        <v>109</v>
      </c>
      <c r="F34" s="36">
        <f>IF(C34="Y",1,0)</f>
        <v>0</v>
      </c>
      <c r="G34" s="57"/>
    </row>
    <row r="35" spans="1:7" ht="47.25" x14ac:dyDescent="0.25">
      <c r="A35" s="290" t="s">
        <v>75</v>
      </c>
      <c r="B35" s="301" t="s">
        <v>514</v>
      </c>
      <c r="C35" s="10"/>
      <c r="D35" s="35" t="s">
        <v>65</v>
      </c>
      <c r="E35" s="285" t="s">
        <v>109</v>
      </c>
      <c r="F35" s="36">
        <f>IF(C35="Y",1,0)</f>
        <v>0</v>
      </c>
      <c r="G35" s="57"/>
    </row>
    <row r="36" spans="1:7" x14ac:dyDescent="0.25">
      <c r="A36" s="41"/>
      <c r="B36" s="520" t="s">
        <v>462</v>
      </c>
      <c r="C36" s="520"/>
      <c r="D36" s="520"/>
      <c r="E36" s="520"/>
      <c r="F36" s="42">
        <f>SUM(F33:F35)</f>
        <v>0</v>
      </c>
      <c r="G36" s="43"/>
    </row>
    <row r="37" spans="1:7" x14ac:dyDescent="0.25">
      <c r="A37" s="29" t="s">
        <v>463</v>
      </c>
      <c r="B37" s="30" t="s">
        <v>464</v>
      </c>
      <c r="C37" s="30"/>
      <c r="D37" s="31"/>
      <c r="E37" s="32"/>
      <c r="F37" s="33"/>
      <c r="G37" s="32"/>
    </row>
    <row r="38" spans="1:7" ht="126" x14ac:dyDescent="0.25">
      <c r="A38" s="38"/>
      <c r="B38" s="47" t="s">
        <v>465</v>
      </c>
      <c r="C38" s="37"/>
      <c r="D38" s="35"/>
      <c r="E38" s="285"/>
      <c r="F38" s="36"/>
      <c r="G38" s="57"/>
    </row>
    <row r="39" spans="1:7" x14ac:dyDescent="0.25">
      <c r="A39" s="290" t="s">
        <v>70</v>
      </c>
      <c r="B39" s="50" t="s">
        <v>466</v>
      </c>
      <c r="C39" s="10"/>
      <c r="D39" s="35" t="s">
        <v>65</v>
      </c>
      <c r="E39" s="285" t="s">
        <v>109</v>
      </c>
      <c r="F39" s="36">
        <f>IF(C39="Y",1,0)</f>
        <v>0</v>
      </c>
      <c r="G39" s="57"/>
    </row>
    <row r="40" spans="1:7" x14ac:dyDescent="0.25">
      <c r="A40" s="290" t="s">
        <v>72</v>
      </c>
      <c r="B40" s="50" t="s">
        <v>467</v>
      </c>
      <c r="C40" s="10"/>
      <c r="D40" s="35" t="s">
        <v>65</v>
      </c>
      <c r="E40" s="285" t="s">
        <v>261</v>
      </c>
      <c r="F40" s="36">
        <f>IF(C40="Y",0.5,0)</f>
        <v>0</v>
      </c>
      <c r="G40" s="57"/>
    </row>
    <row r="41" spans="1:7" ht="15.6" customHeight="1" x14ac:dyDescent="0.25">
      <c r="A41" s="41"/>
      <c r="B41" s="520" t="s">
        <v>468</v>
      </c>
      <c r="C41" s="520"/>
      <c r="D41" s="520"/>
      <c r="E41" s="520"/>
      <c r="F41" s="42">
        <f>SUM(F38:F40)</f>
        <v>0</v>
      </c>
      <c r="G41" s="43"/>
    </row>
    <row r="42" spans="1:7" x14ac:dyDescent="0.25">
      <c r="A42" s="29" t="s">
        <v>469</v>
      </c>
      <c r="B42" s="30" t="s">
        <v>470</v>
      </c>
      <c r="C42" s="30"/>
      <c r="D42" s="31"/>
      <c r="E42" s="32"/>
      <c r="F42" s="33"/>
      <c r="G42" s="32"/>
    </row>
    <row r="43" spans="1:7" ht="63" x14ac:dyDescent="0.25">
      <c r="A43" s="521"/>
      <c r="B43" s="51" t="s">
        <v>471</v>
      </c>
      <c r="C43" s="37"/>
      <c r="D43" s="35"/>
      <c r="E43" s="285"/>
      <c r="F43" s="36"/>
      <c r="G43" s="59"/>
    </row>
    <row r="44" spans="1:7" ht="47.25" x14ac:dyDescent="0.25">
      <c r="A44" s="521"/>
      <c r="B44" s="52" t="s">
        <v>472</v>
      </c>
      <c r="C44" s="10"/>
      <c r="D44" s="35" t="s">
        <v>65</v>
      </c>
      <c r="E44" s="285" t="s">
        <v>109</v>
      </c>
      <c r="F44" s="36">
        <f>IF(C44="Y",1,0)</f>
        <v>0</v>
      </c>
      <c r="G44" s="57"/>
    </row>
    <row r="45" spans="1:7" ht="47.25" x14ac:dyDescent="0.25">
      <c r="A45" s="521"/>
      <c r="B45" s="53" t="s">
        <v>473</v>
      </c>
      <c r="C45" s="10"/>
      <c r="D45" s="35" t="s">
        <v>65</v>
      </c>
      <c r="E45" s="285" t="s">
        <v>109</v>
      </c>
      <c r="F45" s="36">
        <f>IF(C45="Y",1,0)</f>
        <v>0</v>
      </c>
      <c r="G45" s="57"/>
    </row>
    <row r="46" spans="1:7" ht="15.6" customHeight="1" x14ac:dyDescent="0.25">
      <c r="A46" s="41"/>
      <c r="B46" s="520" t="s">
        <v>474</v>
      </c>
      <c r="C46" s="520"/>
      <c r="D46" s="520"/>
      <c r="E46" s="520"/>
      <c r="F46" s="42">
        <f>SUM(F43:F45)</f>
        <v>0</v>
      </c>
      <c r="G46" s="43"/>
    </row>
    <row r="47" spans="1:7" x14ac:dyDescent="0.25">
      <c r="A47" s="26"/>
      <c r="B47" s="519" t="s">
        <v>475</v>
      </c>
      <c r="C47" s="519"/>
      <c r="D47" s="519"/>
      <c r="E47" s="27">
        <v>3</v>
      </c>
      <c r="F47" s="28">
        <f>MIN(SUM(F49:F50),3)</f>
        <v>0</v>
      </c>
      <c r="G47" s="26"/>
    </row>
    <row r="48" spans="1:7" ht="63" x14ac:dyDescent="0.25">
      <c r="A48" s="29"/>
      <c r="B48" s="30" t="s">
        <v>476</v>
      </c>
      <c r="C48" s="30"/>
      <c r="D48" s="31"/>
      <c r="E48" s="54"/>
      <c r="F48" s="55"/>
      <c r="G48" s="56" t="s">
        <v>194</v>
      </c>
    </row>
    <row r="49" spans="1:7" ht="161.25" customHeight="1" x14ac:dyDescent="0.25">
      <c r="A49" s="431"/>
      <c r="B49" s="522" t="s">
        <v>477</v>
      </c>
      <c r="C49" s="10"/>
      <c r="D49" s="35" t="s">
        <v>68</v>
      </c>
      <c r="E49" s="285" t="s">
        <v>126</v>
      </c>
      <c r="F49" s="36">
        <f>C49</f>
        <v>0</v>
      </c>
      <c r="G49" s="95" t="s">
        <v>197</v>
      </c>
    </row>
    <row r="50" spans="1:7" ht="161.25" customHeight="1" x14ac:dyDescent="0.25">
      <c r="A50" s="431"/>
      <c r="B50" s="522"/>
      <c r="C50" s="10"/>
      <c r="D50" s="35" t="s">
        <v>68</v>
      </c>
      <c r="E50" s="285" t="s">
        <v>126</v>
      </c>
      <c r="F50" s="36">
        <f>C50</f>
        <v>0</v>
      </c>
      <c r="G50" s="319" t="s">
        <v>478</v>
      </c>
    </row>
  </sheetData>
  <sheetProtection selectLockedCells="1"/>
  <mergeCells count="17">
    <mergeCell ref="B19:E19"/>
    <mergeCell ref="A2:D2"/>
    <mergeCell ref="B3:D3"/>
    <mergeCell ref="B10:E10"/>
    <mergeCell ref="B15:E15"/>
    <mergeCell ref="A6:A8"/>
    <mergeCell ref="B49:B50"/>
    <mergeCell ref="A49:A50"/>
    <mergeCell ref="B25:E25"/>
    <mergeCell ref="B30:E30"/>
    <mergeCell ref="B36:E36"/>
    <mergeCell ref="B47:D47"/>
    <mergeCell ref="B20:D20"/>
    <mergeCell ref="B31:D31"/>
    <mergeCell ref="B41:E41"/>
    <mergeCell ref="A43:A45"/>
    <mergeCell ref="B46:E46"/>
  </mergeCells>
  <dataValidations count="4">
    <dataValidation type="list" allowBlank="1" showInputMessage="1" showErrorMessage="1" sqref="C27:C29 C12:C14 C33:C35 C44:C45 C5 C22:C24 C9 C17:C18" xr:uid="{00000000-0002-0000-0600-000000000000}">
      <formula1>"Y,N"</formula1>
    </dataValidation>
    <dataValidation type="decimal" allowBlank="1" showErrorMessage="1" error="Please enter 0.5 or 1 or 1.5 or 2." prompt="Please Enter 0 or 1 or 1.5 or 2." sqref="F49:F50" xr:uid="{00000000-0002-0000-0600-000001000000}">
      <formula1>0</formula1>
      <formula2>2</formula2>
    </dataValidation>
    <dataValidation allowBlank="1" showInputMessage="1" showErrorMessage="1" prompt="Please list down short description of your innovation." sqref="G49:G50" xr:uid="{00000000-0002-0000-0600-000002000000}"/>
    <dataValidation type="list" showErrorMessage="1" error="Please enter 0.5 or 1 or 1.5 or 2." prompt="Please Enter 0.5 or 1 or 1.5 or 2." sqref="C49:C50"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6"/>
  <sheetViews>
    <sheetView topLeftCell="A5" zoomScaleNormal="100" workbookViewId="0">
      <selection activeCell="G9" sqref="G9"/>
    </sheetView>
  </sheetViews>
  <sheetFormatPr defaultRowHeight="15.75" x14ac:dyDescent="0.25"/>
  <cols>
    <col min="1" max="1" width="8.28515625" style="1" customWidth="1"/>
    <col min="2" max="2" width="65.7109375" customWidth="1"/>
    <col min="3" max="3" width="9.42578125" customWidth="1"/>
    <col min="4" max="4" width="12.42578125" customWidth="1"/>
    <col min="5" max="6" width="12" style="13" customWidth="1"/>
    <col min="7" max="7" width="18.42578125" customWidth="1"/>
    <col min="8" max="8" width="50.42578125" style="335" customWidth="1"/>
    <col min="9" max="9" width="50.7109375" style="335" customWidth="1"/>
    <col min="10" max="10" width="17.28515625" hidden="1" customWidth="1"/>
    <col min="11" max="14" width="9.140625" hidden="1" customWidth="1"/>
  </cols>
  <sheetData>
    <row r="1" spans="1:14" ht="16.5" thickBot="1" x14ac:dyDescent="0.3">
      <c r="H1" s="307"/>
      <c r="I1" s="307"/>
    </row>
    <row r="2" spans="1:14" ht="21" x14ac:dyDescent="0.25">
      <c r="A2" s="526" t="s">
        <v>479</v>
      </c>
      <c r="B2" s="527"/>
      <c r="C2" s="527"/>
      <c r="D2" s="527"/>
      <c r="E2" s="527"/>
      <c r="F2" s="527"/>
      <c r="G2" s="528"/>
      <c r="H2" s="307"/>
      <c r="I2" s="307"/>
    </row>
    <row r="3" spans="1:14" ht="85.5" customHeight="1" x14ac:dyDescent="0.25">
      <c r="A3" s="541"/>
      <c r="B3" s="542"/>
      <c r="C3" s="542"/>
      <c r="D3" s="542"/>
      <c r="E3" s="542"/>
      <c r="F3" s="542"/>
      <c r="G3" s="543"/>
      <c r="H3" s="307"/>
      <c r="I3" s="307"/>
    </row>
    <row r="4" spans="1:14" ht="190.5" customHeight="1" thickBot="1" x14ac:dyDescent="0.3">
      <c r="A4" s="544" t="s">
        <v>510</v>
      </c>
      <c r="B4" s="545"/>
      <c r="C4" s="545"/>
      <c r="D4" s="545"/>
      <c r="E4" s="545"/>
      <c r="F4" s="545"/>
      <c r="G4" s="546"/>
      <c r="H4" s="307"/>
      <c r="I4" s="307"/>
    </row>
    <row r="5" spans="1:14" x14ac:dyDescent="0.25">
      <c r="H5" s="307"/>
      <c r="I5" s="307"/>
    </row>
    <row r="6" spans="1:14" ht="30.95" customHeight="1" x14ac:dyDescent="0.25">
      <c r="A6" s="2"/>
      <c r="B6" s="3" t="s">
        <v>480</v>
      </c>
      <c r="C6" s="537" t="s">
        <v>98</v>
      </c>
      <c r="D6" s="537"/>
      <c r="E6" s="537" t="s">
        <v>507</v>
      </c>
      <c r="F6" s="537"/>
      <c r="G6" s="328" t="s">
        <v>505</v>
      </c>
      <c r="H6" s="307"/>
      <c r="I6" s="307"/>
      <c r="K6" s="537" t="s">
        <v>507</v>
      </c>
      <c r="L6" s="537"/>
      <c r="M6" s="537" t="s">
        <v>507</v>
      </c>
      <c r="N6" s="537"/>
    </row>
    <row r="7" spans="1:14" ht="18.75" x14ac:dyDescent="0.25">
      <c r="A7" s="535" t="s">
        <v>30</v>
      </c>
      <c r="B7" s="536"/>
      <c r="C7" s="538">
        <f>'[3]Maintainability Score Summary'!$K$37</f>
        <v>124</v>
      </c>
      <c r="D7" s="539"/>
      <c r="E7" s="539"/>
      <c r="F7" s="539"/>
      <c r="G7" s="329"/>
      <c r="H7" s="307"/>
      <c r="I7" s="307"/>
      <c r="K7" s="539"/>
      <c r="L7" s="539"/>
      <c r="M7" s="539"/>
      <c r="N7" s="539"/>
    </row>
    <row r="8" spans="1:14" x14ac:dyDescent="0.25">
      <c r="A8" s="533" t="s">
        <v>481</v>
      </c>
      <c r="B8" s="533"/>
      <c r="C8" s="534">
        <f>'[3]Maintainability Score Summary'!$E$6</f>
        <v>8.5</v>
      </c>
      <c r="D8" s="534"/>
      <c r="E8" s="534">
        <f t="shared" ref="E8:E10" si="0">MAX(K8:N8)</f>
        <v>0</v>
      </c>
      <c r="F8" s="534"/>
      <c r="G8" s="327" t="str">
        <f>IF(G9="","",G9)</f>
        <v/>
      </c>
      <c r="H8" s="307"/>
      <c r="I8" s="307"/>
      <c r="K8" s="558">
        <f>'[3]Maintainability Score Summary'!$F$6</f>
        <v>0</v>
      </c>
      <c r="L8" s="534"/>
      <c r="M8" s="558">
        <f>'[4]Maintainability Score Summary'!$F$6</f>
        <v>0</v>
      </c>
      <c r="N8" s="534"/>
    </row>
    <row r="9" spans="1:14" x14ac:dyDescent="0.25">
      <c r="A9" s="11">
        <v>0.1</v>
      </c>
      <c r="B9" s="12" t="str">
        <f>'[3]Maintainability Score Summary'!$B$7</f>
        <v>General Project Requirement</v>
      </c>
      <c r="C9" s="540">
        <f>'[3]Maintainability Score Summary'!$E$7</f>
        <v>8.5</v>
      </c>
      <c r="D9" s="540"/>
      <c r="E9" s="540">
        <f t="shared" si="0"/>
        <v>0</v>
      </c>
      <c r="F9" s="540"/>
      <c r="G9" s="334"/>
      <c r="H9" s="307"/>
      <c r="I9" s="307"/>
      <c r="K9" s="550">
        <f>'[3]Maintainability Score Summary'!$F$7</f>
        <v>0</v>
      </c>
      <c r="L9" s="531"/>
      <c r="M9" s="550">
        <f>'[4]Maintainability Score Summary'!$F$7</f>
        <v>0</v>
      </c>
      <c r="N9" s="531"/>
    </row>
    <row r="10" spans="1:14" x14ac:dyDescent="0.25">
      <c r="A10" s="533" t="s">
        <v>482</v>
      </c>
      <c r="B10" s="533"/>
      <c r="C10" s="534">
        <f>'[3]Maintainability Score Summary'!$E$8</f>
        <v>14.5</v>
      </c>
      <c r="D10" s="534"/>
      <c r="E10" s="534">
        <f t="shared" si="0"/>
        <v>0</v>
      </c>
      <c r="F10" s="534"/>
      <c r="G10" s="327" t="str">
        <f>IF(OR(G11="",G13="",G17=""),"",SUM(G17,G13,G11))</f>
        <v/>
      </c>
      <c r="H10" s="307"/>
      <c r="I10" s="307"/>
      <c r="K10" s="558">
        <f>'[3]Maintainability Score Summary'!$F$8</f>
        <v>0</v>
      </c>
      <c r="L10" s="534"/>
      <c r="M10" s="558">
        <f>'[4]Maintainability Score Summary'!$F$8</f>
        <v>0</v>
      </c>
      <c r="N10" s="534"/>
    </row>
    <row r="11" spans="1:14" x14ac:dyDescent="0.25">
      <c r="A11" s="529" t="str">
        <f>'[3]Maintainability Score Summary'!$A$9</f>
        <v>Part A - General Façade</v>
      </c>
      <c r="B11" s="530"/>
      <c r="C11" s="532">
        <f>'[3]Maintainability Score Summary'!$E$9</f>
        <v>2</v>
      </c>
      <c r="D11" s="532"/>
      <c r="E11" s="532">
        <f>MAX(K11:N11)</f>
        <v>0</v>
      </c>
      <c r="F11" s="532"/>
      <c r="G11" s="330" t="str">
        <f>IF(G12="","",G12)</f>
        <v/>
      </c>
      <c r="H11" s="307"/>
      <c r="I11" s="307"/>
      <c r="K11" s="559">
        <f>'[3]Maintainability Score Summary'!$F$9</f>
        <v>0</v>
      </c>
      <c r="L11" s="532"/>
      <c r="M11" s="559">
        <f>'[4]Maintainability Score Summary'!$F$9</f>
        <v>0</v>
      </c>
      <c r="N11" s="532"/>
    </row>
    <row r="12" spans="1:14" x14ac:dyDescent="0.25">
      <c r="A12" s="6">
        <v>1.1000000000000001</v>
      </c>
      <c r="B12" s="7" t="str">
        <f>'[3]Maintainability Score Summary'!$B$10</f>
        <v>General Façade</v>
      </c>
      <c r="C12" s="531">
        <f>'[3]Maintainability Score Summary'!$E$10</f>
        <v>2</v>
      </c>
      <c r="D12" s="531"/>
      <c r="E12" s="531">
        <f t="shared" ref="E12:E13" si="1">MAX(K12:N12)</f>
        <v>0</v>
      </c>
      <c r="F12" s="531"/>
      <c r="G12" s="334"/>
      <c r="H12" s="307"/>
      <c r="I12" s="307"/>
      <c r="K12" s="550">
        <f>'[3]Maintainability Score Summary'!$F$10</f>
        <v>0</v>
      </c>
      <c r="L12" s="531"/>
      <c r="M12" s="550">
        <f>'[4]Maintainability Score Summary'!$F$10</f>
        <v>0</v>
      </c>
      <c r="N12" s="531"/>
    </row>
    <row r="13" spans="1:14" x14ac:dyDescent="0.25">
      <c r="A13" s="529" t="str">
        <f>'[3]Maintainability Score Summary'!$A$11</f>
        <v>Part B - Façade System</v>
      </c>
      <c r="B13" s="530"/>
      <c r="C13" s="532">
        <f>'[3]Maintainability Score Summary'!$E$11</f>
        <v>4</v>
      </c>
      <c r="D13" s="532"/>
      <c r="E13" s="532">
        <f t="shared" si="1"/>
        <v>0</v>
      </c>
      <c r="F13" s="532"/>
      <c r="G13" s="330" t="str">
        <f>IF(G14="","",G14)</f>
        <v/>
      </c>
      <c r="H13" s="307"/>
      <c r="I13" s="307"/>
      <c r="K13" s="559">
        <f>'[3]Maintainability Score Summary'!$F$11</f>
        <v>0</v>
      </c>
      <c r="L13" s="532"/>
      <c r="M13" s="559">
        <f>'[4]Maintainability Score Summary'!$F$11</f>
        <v>0</v>
      </c>
      <c r="N13" s="532"/>
    </row>
    <row r="14" spans="1:14" x14ac:dyDescent="0.25">
      <c r="A14" s="6">
        <v>1.2</v>
      </c>
      <c r="B14" s="7" t="str">
        <f>'[3]Maintainability Score Summary'!$B$12</f>
        <v>Cladding system: Tile/ Stone/ Metal/ Others</v>
      </c>
      <c r="C14" s="531">
        <f>'[3]Maintainability Score Summary'!$E$12</f>
        <v>4</v>
      </c>
      <c r="D14" s="531"/>
      <c r="E14" s="531">
        <f>MAX(K14:N14)</f>
        <v>0</v>
      </c>
      <c r="F14" s="531"/>
      <c r="G14" s="547"/>
      <c r="H14" s="307"/>
      <c r="I14" s="307"/>
      <c r="K14" s="560">
        <f>'[3]Maintainability Score Summary'!$F$12</f>
        <v>0</v>
      </c>
      <c r="L14" s="560"/>
      <c r="M14" s="560">
        <f>'[4]Maintainability Score Summary'!$F$12</f>
        <v>0</v>
      </c>
      <c r="N14" s="560"/>
    </row>
    <row r="15" spans="1:14" x14ac:dyDescent="0.25">
      <c r="A15" s="6">
        <v>1.3</v>
      </c>
      <c r="B15" s="7" t="str">
        <f>'[3]Maintainability Score Summary'!$B$13</f>
        <v>Curtain Wall: Glazing/ Others</v>
      </c>
      <c r="C15" s="531"/>
      <c r="D15" s="531"/>
      <c r="E15" s="531"/>
      <c r="F15" s="531"/>
      <c r="G15" s="547"/>
      <c r="H15" s="307"/>
      <c r="I15" s="307"/>
      <c r="K15" s="560"/>
      <c r="L15" s="560"/>
      <c r="M15" s="560"/>
      <c r="N15" s="560"/>
    </row>
    <row r="16" spans="1:14" x14ac:dyDescent="0.25">
      <c r="A16" s="6">
        <v>1.4</v>
      </c>
      <c r="B16" s="7" t="str">
        <f>'[3]Maintainability Score Summary'!$B$14</f>
        <v>Masonry and Lightweight Concrete Panels</v>
      </c>
      <c r="C16" s="531"/>
      <c r="D16" s="531"/>
      <c r="E16" s="531"/>
      <c r="F16" s="531"/>
      <c r="G16" s="547"/>
      <c r="H16" s="307"/>
      <c r="I16" s="307"/>
      <c r="K16" s="560"/>
      <c r="L16" s="560"/>
      <c r="M16" s="560"/>
      <c r="N16" s="560"/>
    </row>
    <row r="17" spans="1:14" x14ac:dyDescent="0.25">
      <c r="A17" s="529" t="str">
        <f>'[3]Maintainability Score Summary'!$A$15</f>
        <v>Part C - Others</v>
      </c>
      <c r="B17" s="530"/>
      <c r="C17" s="532">
        <f>'[3]Maintainability Score Summary'!$E$15</f>
        <v>8.5</v>
      </c>
      <c r="D17" s="532"/>
      <c r="E17" s="532">
        <f t="shared" ref="E17:E68" si="2">MAX(K17:N17)</f>
        <v>0</v>
      </c>
      <c r="F17" s="532"/>
      <c r="G17" s="330" t="str">
        <f>IF(OR(G18="",G19="",G20=""),"",SUM(G18:G20))</f>
        <v/>
      </c>
      <c r="H17" s="307"/>
      <c r="I17" s="307"/>
      <c r="K17" s="559">
        <f>'[3]Maintainability Score Summary'!$F$15</f>
        <v>0</v>
      </c>
      <c r="L17" s="559"/>
      <c r="M17" s="559">
        <f>'[4]Maintainability Score Summary'!$F$15</f>
        <v>0</v>
      </c>
      <c r="N17" s="559"/>
    </row>
    <row r="18" spans="1:14" x14ac:dyDescent="0.25">
      <c r="A18" s="6" t="s">
        <v>483</v>
      </c>
      <c r="B18" s="7" t="str">
        <f>'[3]Maintainability Score Summary'!$B$16</f>
        <v>Façade Features/ considerations</v>
      </c>
      <c r="C18" s="531">
        <f>'[3]Maintainability Score Summary'!$E$16</f>
        <v>3.5</v>
      </c>
      <c r="D18" s="531"/>
      <c r="E18" s="531">
        <f t="shared" si="2"/>
        <v>0</v>
      </c>
      <c r="F18" s="531"/>
      <c r="G18" s="340"/>
      <c r="H18" s="307"/>
      <c r="I18" s="307"/>
      <c r="K18" s="550">
        <f>'[3]Maintainability Score Summary'!$F$16</f>
        <v>0</v>
      </c>
      <c r="L18" s="550"/>
      <c r="M18" s="550">
        <f>'[4]Maintainability Score Summary'!$F$16</f>
        <v>0</v>
      </c>
      <c r="N18" s="550"/>
    </row>
    <row r="19" spans="1:14" x14ac:dyDescent="0.25">
      <c r="A19" s="6" t="s">
        <v>484</v>
      </c>
      <c r="B19" s="7" t="str">
        <f>'[3]Maintainability Score Summary'!$B$17</f>
        <v>Entrance lobby</v>
      </c>
      <c r="C19" s="531">
        <f>'[3]Maintainability Score Summary'!$E$17</f>
        <v>3</v>
      </c>
      <c r="D19" s="531"/>
      <c r="E19" s="531">
        <f t="shared" si="2"/>
        <v>0</v>
      </c>
      <c r="F19" s="531"/>
      <c r="G19" s="340"/>
      <c r="H19" s="307"/>
      <c r="I19" s="307"/>
      <c r="K19" s="550">
        <f>'[3]Maintainability Score Summary'!$F$17</f>
        <v>0</v>
      </c>
      <c r="L19" s="550"/>
      <c r="M19" s="550">
        <f>'[4]Maintainability Score Summary'!$F$17</f>
        <v>0</v>
      </c>
      <c r="N19" s="550"/>
    </row>
    <row r="20" spans="1:14" x14ac:dyDescent="0.25">
      <c r="A20" s="6" t="s">
        <v>485</v>
      </c>
      <c r="B20" s="7" t="str">
        <f>'[3]Maintainability Score Summary'!$B$18</f>
        <v>Roof</v>
      </c>
      <c r="C20" s="531">
        <f>'[3]Maintainability Score Summary'!$E$18</f>
        <v>2</v>
      </c>
      <c r="D20" s="531"/>
      <c r="E20" s="531">
        <f t="shared" si="2"/>
        <v>0</v>
      </c>
      <c r="F20" s="531"/>
      <c r="G20" s="340"/>
      <c r="H20" s="307"/>
      <c r="I20" s="307"/>
      <c r="K20" s="550">
        <f>'[3]Maintainability Score Summary'!$F$18</f>
        <v>0</v>
      </c>
      <c r="L20" s="550"/>
      <c r="M20" s="550">
        <f>'[4]Maintainability Score Summary'!$F$18</f>
        <v>0</v>
      </c>
      <c r="N20" s="550"/>
    </row>
    <row r="21" spans="1:14" x14ac:dyDescent="0.25">
      <c r="A21" s="533" t="s">
        <v>486</v>
      </c>
      <c r="B21" s="533" t="s">
        <v>54</v>
      </c>
      <c r="C21" s="534">
        <f>'[3]Maintainability Score Summary'!$E$19</f>
        <v>19</v>
      </c>
      <c r="D21" s="534"/>
      <c r="E21" s="534">
        <f t="shared" si="2"/>
        <v>0</v>
      </c>
      <c r="F21" s="534"/>
      <c r="G21" s="327" t="str">
        <f>IF(OR(G22="",G23="",G24="",G25="",G26="",G27=""),"",SUM(G22:G27))</f>
        <v/>
      </c>
      <c r="H21" s="307"/>
      <c r="I21" s="307"/>
      <c r="K21" s="558">
        <f>'[3]Maintainability Score Summary'!$F$19</f>
        <v>0</v>
      </c>
      <c r="L21" s="534"/>
      <c r="M21" s="558">
        <f>'[4]Maintainability Score Summary'!$F$19</f>
        <v>0</v>
      </c>
      <c r="N21" s="534"/>
    </row>
    <row r="22" spans="1:14" x14ac:dyDescent="0.25">
      <c r="A22" s="6">
        <v>2.1</v>
      </c>
      <c r="B22" s="9" t="str">
        <f>'[3]Maintainability Score Summary'!$B$20</f>
        <v>Floors</v>
      </c>
      <c r="C22" s="531">
        <f>'[3]Maintainability Score Summary'!$E$20</f>
        <v>2.5</v>
      </c>
      <c r="D22" s="531"/>
      <c r="E22" s="531">
        <f t="shared" si="2"/>
        <v>0</v>
      </c>
      <c r="F22" s="531"/>
      <c r="G22" s="340"/>
      <c r="H22" s="307"/>
      <c r="I22" s="307"/>
      <c r="K22" s="550">
        <f>'[3]Maintainability Score Summary'!$F$20</f>
        <v>0</v>
      </c>
      <c r="L22" s="531"/>
      <c r="M22" s="550">
        <f>'[4]Maintainability Score Summary'!$F$20</f>
        <v>0</v>
      </c>
      <c r="N22" s="531"/>
    </row>
    <row r="23" spans="1:14" x14ac:dyDescent="0.25">
      <c r="A23" s="6">
        <v>2.2000000000000002</v>
      </c>
      <c r="B23" s="9" t="str">
        <f>'[3]Maintainability Score Summary'!$B$21</f>
        <v>Walls and Partitions</v>
      </c>
      <c r="C23" s="531">
        <f>'[3]Maintainability Score Summary'!$E$21</f>
        <v>1</v>
      </c>
      <c r="D23" s="531"/>
      <c r="E23" s="531">
        <f t="shared" si="2"/>
        <v>0</v>
      </c>
      <c r="F23" s="531"/>
      <c r="G23" s="340"/>
      <c r="H23" s="307"/>
      <c r="I23" s="307"/>
      <c r="K23" s="550">
        <f>'[3]Maintainability Score Summary'!$F$21</f>
        <v>0</v>
      </c>
      <c r="L23" s="531"/>
      <c r="M23" s="550">
        <f>'[4]Maintainability Score Summary'!$F$21</f>
        <v>0</v>
      </c>
      <c r="N23" s="531"/>
    </row>
    <row r="24" spans="1:14" x14ac:dyDescent="0.25">
      <c r="A24" s="6">
        <v>2.2999999999999998</v>
      </c>
      <c r="B24" s="9" t="str">
        <f>'[3]Maintainability Score Summary'!$B$22</f>
        <v>Ceiling</v>
      </c>
      <c r="C24" s="531">
        <f>'[3]Maintainability Score Summary'!$E$22</f>
        <v>4.5</v>
      </c>
      <c r="D24" s="531"/>
      <c r="E24" s="531">
        <f t="shared" si="2"/>
        <v>0</v>
      </c>
      <c r="F24" s="531"/>
      <c r="G24" s="340"/>
      <c r="H24" s="307"/>
      <c r="I24" s="307"/>
      <c r="K24" s="550">
        <f>'[3]Maintainability Score Summary'!$F$22</f>
        <v>0</v>
      </c>
      <c r="L24" s="531"/>
      <c r="M24" s="550">
        <f>'[4]Maintainability Score Summary'!$F$22</f>
        <v>0</v>
      </c>
      <c r="N24" s="531"/>
    </row>
    <row r="25" spans="1:14" x14ac:dyDescent="0.25">
      <c r="A25" s="6">
        <v>2.4</v>
      </c>
      <c r="B25" s="9" t="str">
        <f>'[3]Maintainability Score Summary'!$B$23</f>
        <v>Wet Rooms and Storage</v>
      </c>
      <c r="C25" s="531">
        <f>'[3]Maintainability Score Summary'!$E$23</f>
        <v>8</v>
      </c>
      <c r="D25" s="531"/>
      <c r="E25" s="531">
        <f t="shared" si="2"/>
        <v>0</v>
      </c>
      <c r="F25" s="531"/>
      <c r="G25" s="340"/>
      <c r="H25" s="307"/>
      <c r="I25" s="307"/>
      <c r="K25" s="550">
        <f>'[3]Maintainability Score Summary'!$F$23</f>
        <v>0</v>
      </c>
      <c r="L25" s="531"/>
      <c r="M25" s="550">
        <f>'[4]Maintainability Score Summary'!$F$23</f>
        <v>0</v>
      </c>
      <c r="N25" s="531"/>
    </row>
    <row r="26" spans="1:14" x14ac:dyDescent="0.25">
      <c r="A26" s="6">
        <v>2.5</v>
      </c>
      <c r="B26" s="9" t="str">
        <f>'[3]Maintainability Score Summary'!$B$24</f>
        <v>Basements</v>
      </c>
      <c r="C26" s="531">
        <f>'[3]Maintainability Score Summary'!$E$24</f>
        <v>1</v>
      </c>
      <c r="D26" s="531"/>
      <c r="E26" s="531">
        <f t="shared" si="2"/>
        <v>0</v>
      </c>
      <c r="F26" s="531"/>
      <c r="G26" s="340"/>
      <c r="H26" s="307"/>
      <c r="I26" s="307"/>
      <c r="K26" s="550">
        <f>'[3]Maintainability Score Summary'!$F$24</f>
        <v>0</v>
      </c>
      <c r="L26" s="531"/>
      <c r="M26" s="550">
        <f>'[4]Maintainability Score Summary'!$F$24</f>
        <v>0</v>
      </c>
      <c r="N26" s="531"/>
    </row>
    <row r="27" spans="1:14" x14ac:dyDescent="0.25">
      <c r="A27" s="6">
        <v>2.6</v>
      </c>
      <c r="B27" s="9" t="str">
        <f>'[3]Maintainability Score Summary'!$B$25</f>
        <v>Loading Bay/ Back of House Service Areas</v>
      </c>
      <c r="C27" s="531">
        <f>'[3]Maintainability Score Summary'!$E$25</f>
        <v>2</v>
      </c>
      <c r="D27" s="531"/>
      <c r="E27" s="531">
        <f t="shared" si="2"/>
        <v>0</v>
      </c>
      <c r="F27" s="531"/>
      <c r="G27" s="340"/>
      <c r="H27" s="307"/>
      <c r="I27" s="307"/>
      <c r="K27" s="550">
        <f>'[3]Maintainability Score Summary'!$F$25</f>
        <v>0</v>
      </c>
      <c r="L27" s="531"/>
      <c r="M27" s="550">
        <f>'[4]Maintainability Score Summary'!$F$25</f>
        <v>0</v>
      </c>
      <c r="N27" s="531"/>
    </row>
    <row r="28" spans="1:14" x14ac:dyDescent="0.25">
      <c r="A28" s="533" t="s">
        <v>487</v>
      </c>
      <c r="B28" s="533"/>
      <c r="C28" s="534">
        <f>'[3]Maintainability Score Summary'!$E$26</f>
        <v>26.5</v>
      </c>
      <c r="D28" s="534"/>
      <c r="E28" s="534">
        <f t="shared" si="2"/>
        <v>0</v>
      </c>
      <c r="F28" s="534"/>
      <c r="G28" s="327" t="str">
        <f>IF(OR(G29="",G32=""),"",G29+G32)</f>
        <v/>
      </c>
      <c r="H28" s="307"/>
      <c r="I28" s="307"/>
      <c r="K28" s="558">
        <f>'[3]Maintainability Score Summary'!$F$26</f>
        <v>0</v>
      </c>
      <c r="L28" s="534"/>
      <c r="M28" s="558">
        <f>'[4]Maintainability Score Summary'!$F$26</f>
        <v>0</v>
      </c>
      <c r="N28" s="534"/>
    </row>
    <row r="29" spans="1:14" x14ac:dyDescent="0.25">
      <c r="A29" s="529" t="str">
        <f>'[3]Maintainability Score Summary'!$A$27</f>
        <v>Part A - Cooling Systems</v>
      </c>
      <c r="B29" s="530"/>
      <c r="C29" s="532">
        <f>'[3]Maintainability Score Summary'!$E$27</f>
        <v>13.5</v>
      </c>
      <c r="D29" s="532"/>
      <c r="E29" s="532">
        <f t="shared" si="2"/>
        <v>0</v>
      </c>
      <c r="F29" s="532"/>
      <c r="G29" s="330" t="str">
        <f>IF(OR(G30="",G31=""),"",SUM(G30:G31))</f>
        <v/>
      </c>
      <c r="H29" s="307"/>
      <c r="I29" s="307"/>
      <c r="K29" s="559">
        <f>'[3]Maintainability Score Summary'!$F$27</f>
        <v>0</v>
      </c>
      <c r="L29" s="532"/>
      <c r="M29" s="559">
        <f>'[4]Maintainability Score Summary'!$F$27</f>
        <v>0</v>
      </c>
      <c r="N29" s="532"/>
    </row>
    <row r="30" spans="1:14" x14ac:dyDescent="0.25">
      <c r="A30" s="6">
        <v>3.1</v>
      </c>
      <c r="B30" s="9" t="str">
        <f>'[3]Maintainability Score Summary'!$B$28</f>
        <v>Chiller Plant</v>
      </c>
      <c r="C30" s="531">
        <f>'[3]Maintainability Score Summary'!$E$28</f>
        <v>13.5</v>
      </c>
      <c r="D30" s="531"/>
      <c r="E30" s="531">
        <f t="shared" si="2"/>
        <v>0</v>
      </c>
      <c r="F30" s="531"/>
      <c r="G30" s="340"/>
      <c r="H30" s="307"/>
      <c r="I30" s="307"/>
      <c r="K30" s="550">
        <f>'[3]Maintainability Score Summary'!$F$28</f>
        <v>0</v>
      </c>
      <c r="L30" s="531"/>
      <c r="M30" s="550">
        <f>'[4]Maintainability Score Summary'!$F$28</f>
        <v>0</v>
      </c>
      <c r="N30" s="531"/>
    </row>
    <row r="31" spans="1:14" x14ac:dyDescent="0.25">
      <c r="A31" s="6">
        <v>3.2</v>
      </c>
      <c r="B31" s="9" t="str">
        <f>'[3]Maintainability Score Summary'!$B$29</f>
        <v>VRF</v>
      </c>
      <c r="C31" s="531">
        <f>'[3]Maintainability Score Summary'!$E$29</f>
        <v>1.5</v>
      </c>
      <c r="D31" s="531"/>
      <c r="E31" s="531">
        <f t="shared" si="2"/>
        <v>0</v>
      </c>
      <c r="F31" s="531"/>
      <c r="G31" s="340"/>
      <c r="H31" s="307"/>
      <c r="I31" s="307"/>
      <c r="K31" s="550">
        <f>'[3]Maintainability Score Summary'!$F$29</f>
        <v>0</v>
      </c>
      <c r="L31" s="531"/>
      <c r="M31" s="550">
        <f>'[4]Maintainability Score Summary'!$F$29</f>
        <v>0</v>
      </c>
      <c r="N31" s="531"/>
    </row>
    <row r="32" spans="1:14" x14ac:dyDescent="0.25">
      <c r="A32" s="529" t="str">
        <f>'[3]Maintainability Score Summary'!$A$30</f>
        <v>Part B - Other systems</v>
      </c>
      <c r="B32" s="530"/>
      <c r="C32" s="532">
        <f>'[3]Maintainability Score Summary'!$E$30</f>
        <v>13</v>
      </c>
      <c r="D32" s="532"/>
      <c r="E32" s="532">
        <f t="shared" si="2"/>
        <v>0</v>
      </c>
      <c r="F32" s="532"/>
      <c r="G32" s="330" t="str">
        <f>IF(OR(G33="",G34="",G35="",G36=""),"",SUM(G33:G36))</f>
        <v/>
      </c>
      <c r="H32" s="307"/>
      <c r="I32" s="307"/>
      <c r="K32" s="559">
        <f>'[3]Maintainability Score Summary'!$F$30</f>
        <v>0</v>
      </c>
      <c r="L32" s="532"/>
      <c r="M32" s="559">
        <f>'[4]Maintainability Score Summary'!$F$30</f>
        <v>0</v>
      </c>
      <c r="N32" s="532"/>
    </row>
    <row r="33" spans="1:14" x14ac:dyDescent="0.25">
      <c r="A33" s="6">
        <v>3.3</v>
      </c>
      <c r="B33" s="9" t="str">
        <f>'[3]Maintainability Score Summary'!$B$31</f>
        <v>Air Distribution System</v>
      </c>
      <c r="C33" s="531">
        <f>'[3]Maintainability Score Summary'!$E$31</f>
        <v>8</v>
      </c>
      <c r="D33" s="531"/>
      <c r="E33" s="531">
        <f t="shared" si="2"/>
        <v>0</v>
      </c>
      <c r="F33" s="531"/>
      <c r="G33" s="340"/>
      <c r="H33" s="307"/>
      <c r="I33" s="307"/>
      <c r="K33" s="550">
        <f>'[3]Maintainability Score Summary'!$F$31</f>
        <v>0</v>
      </c>
      <c r="L33" s="531"/>
      <c r="M33" s="550">
        <f>'[4]Maintainability Score Summary'!$F$31</f>
        <v>0</v>
      </c>
      <c r="N33" s="531"/>
    </row>
    <row r="34" spans="1:14" x14ac:dyDescent="0.25">
      <c r="A34" s="6">
        <v>3.4</v>
      </c>
      <c r="B34" s="9" t="str">
        <f>'[3]Maintainability Score Summary'!$B$32</f>
        <v>Domestic Water Supply</v>
      </c>
      <c r="C34" s="531">
        <f>'[3]Maintainability Score Summary'!$E$32</f>
        <v>0.5</v>
      </c>
      <c r="D34" s="531"/>
      <c r="E34" s="531">
        <f t="shared" si="2"/>
        <v>0</v>
      </c>
      <c r="F34" s="531"/>
      <c r="G34" s="340"/>
      <c r="H34" s="307"/>
      <c r="I34" s="307"/>
      <c r="K34" s="550">
        <f>'[3]Maintainability Score Summary'!$F$32</f>
        <v>0</v>
      </c>
      <c r="L34" s="531"/>
      <c r="M34" s="550">
        <f>'[4]Maintainability Score Summary'!$F$32</f>
        <v>0</v>
      </c>
      <c r="N34" s="531"/>
    </row>
    <row r="35" spans="1:14" x14ac:dyDescent="0.25">
      <c r="A35" s="6">
        <v>3.5</v>
      </c>
      <c r="B35" s="9" t="str">
        <f>'[3]Maintainability Score Summary'!$B$33</f>
        <v>Sanitary System</v>
      </c>
      <c r="C35" s="531">
        <f>'[3]Maintainability Score Summary'!$E$33</f>
        <v>1.5</v>
      </c>
      <c r="D35" s="531"/>
      <c r="E35" s="531">
        <f t="shared" si="2"/>
        <v>0</v>
      </c>
      <c r="F35" s="531"/>
      <c r="G35" s="340"/>
      <c r="H35" s="307"/>
      <c r="I35" s="307"/>
      <c r="K35" s="550">
        <f>'[3]Maintainability Score Summary'!$F$33</f>
        <v>0</v>
      </c>
      <c r="L35" s="531"/>
      <c r="M35" s="550">
        <f>'[4]Maintainability Score Summary'!$F$33</f>
        <v>0</v>
      </c>
      <c r="N35" s="531"/>
    </row>
    <row r="36" spans="1:14" x14ac:dyDescent="0.25">
      <c r="A36" s="6">
        <v>3.6</v>
      </c>
      <c r="B36" s="9" t="str">
        <f>'[3]Maintainability Score Summary'!$B$34</f>
        <v>Fire Protection System</v>
      </c>
      <c r="C36" s="531">
        <f>'[3]Maintainability Score Summary'!$E$34</f>
        <v>3</v>
      </c>
      <c r="D36" s="531"/>
      <c r="E36" s="531">
        <f t="shared" si="2"/>
        <v>0</v>
      </c>
      <c r="F36" s="531"/>
      <c r="G36" s="340"/>
      <c r="H36" s="307"/>
      <c r="I36" s="307"/>
      <c r="K36" s="550">
        <f>'[3]Maintainability Score Summary'!$F$34</f>
        <v>0</v>
      </c>
      <c r="L36" s="531"/>
      <c r="M36" s="550">
        <f>'[4]Maintainability Score Summary'!$F$34</f>
        <v>0</v>
      </c>
      <c r="N36" s="531"/>
    </row>
    <row r="37" spans="1:14" x14ac:dyDescent="0.25">
      <c r="A37" s="533" t="s">
        <v>488</v>
      </c>
      <c r="B37" s="533" t="s">
        <v>464</v>
      </c>
      <c r="C37" s="534">
        <f>'[3]Maintainability Score Summary'!$E$35</f>
        <v>11</v>
      </c>
      <c r="D37" s="534"/>
      <c r="E37" s="534">
        <f t="shared" si="2"/>
        <v>0</v>
      </c>
      <c r="F37" s="534"/>
      <c r="G37" s="327" t="str">
        <f>IF(OR(G38="",G39="",G40="",G41="",G42=""),"",SUM(G38:G42))</f>
        <v/>
      </c>
      <c r="H37" s="307"/>
      <c r="I37" s="307"/>
      <c r="K37" s="558">
        <f>'[3]Maintainability Score Summary'!$F$35</f>
        <v>0</v>
      </c>
      <c r="L37" s="534"/>
      <c r="M37" s="558">
        <f>'[4]Maintainability Score Summary'!$F$35</f>
        <v>0</v>
      </c>
      <c r="N37" s="534"/>
    </row>
    <row r="38" spans="1:14" x14ac:dyDescent="0.25">
      <c r="A38" s="6">
        <v>4.0999999999999996</v>
      </c>
      <c r="B38" s="9" t="str">
        <f>'[3]Maintainability Score Summary'!$B$36</f>
        <v>Lighting System</v>
      </c>
      <c r="C38" s="531">
        <f>'[3]Maintainability Score Summary'!$E$36</f>
        <v>2.5</v>
      </c>
      <c r="D38" s="531"/>
      <c r="E38" s="531">
        <f t="shared" si="2"/>
        <v>0</v>
      </c>
      <c r="F38" s="531"/>
      <c r="G38" s="340"/>
      <c r="H38" s="307"/>
      <c r="I38" s="307"/>
      <c r="K38" s="550">
        <f>'[3]Maintainability Score Summary'!$F$36</f>
        <v>0</v>
      </c>
      <c r="L38" s="531"/>
      <c r="M38" s="550">
        <f>'[4]Maintainability Score Summary'!$F$36</f>
        <v>0</v>
      </c>
      <c r="N38" s="531"/>
    </row>
    <row r="39" spans="1:14" x14ac:dyDescent="0.25">
      <c r="A39" s="6">
        <v>4.2</v>
      </c>
      <c r="B39" s="9" t="str">
        <f>'[3]Maintainability Score Summary'!$B$37</f>
        <v>Power Distribution System</v>
      </c>
      <c r="C39" s="531">
        <f>'[3]Maintainability Score Summary'!$E$37</f>
        <v>2.5</v>
      </c>
      <c r="D39" s="531"/>
      <c r="E39" s="531">
        <f t="shared" si="2"/>
        <v>0</v>
      </c>
      <c r="F39" s="531"/>
      <c r="G39" s="340"/>
      <c r="H39" s="307"/>
      <c r="I39" s="307"/>
      <c r="K39" s="550">
        <f>'[3]Maintainability Score Summary'!$F$37</f>
        <v>0</v>
      </c>
      <c r="L39" s="531"/>
      <c r="M39" s="550">
        <f>'[4]Maintainability Score Summary'!$F$37</f>
        <v>0</v>
      </c>
      <c r="N39" s="531"/>
    </row>
    <row r="40" spans="1:14" x14ac:dyDescent="0.25">
      <c r="A40" s="6">
        <v>4.3</v>
      </c>
      <c r="B40" s="9" t="str">
        <f>'[3]Maintainability Score Summary'!$B$38</f>
        <v>Extra Low Voltage System</v>
      </c>
      <c r="C40" s="531">
        <f>'[3]Maintainability Score Summary'!$E$38</f>
        <v>3.5</v>
      </c>
      <c r="D40" s="531"/>
      <c r="E40" s="531">
        <f t="shared" si="2"/>
        <v>0</v>
      </c>
      <c r="F40" s="531"/>
      <c r="G40" s="340"/>
      <c r="H40" s="307"/>
      <c r="I40" s="307"/>
      <c r="K40" s="550">
        <f>'[3]Maintainability Score Summary'!$F$38</f>
        <v>0</v>
      </c>
      <c r="L40" s="531"/>
      <c r="M40" s="550">
        <f>'[4]Maintainability Score Summary'!$F$38</f>
        <v>0</v>
      </c>
      <c r="N40" s="531"/>
    </row>
    <row r="41" spans="1:14" x14ac:dyDescent="0.25">
      <c r="A41" s="6">
        <v>4.4000000000000004</v>
      </c>
      <c r="B41" s="9" t="str">
        <f>'[3]Maintainability Score Summary'!$B$39</f>
        <v>Lightning Protection System</v>
      </c>
      <c r="C41" s="531">
        <f>'[3]Maintainability Score Summary'!$E$39</f>
        <v>1</v>
      </c>
      <c r="D41" s="531"/>
      <c r="E41" s="531">
        <f t="shared" si="2"/>
        <v>0</v>
      </c>
      <c r="F41" s="531"/>
      <c r="G41" s="340"/>
      <c r="H41" s="307"/>
      <c r="I41" s="307"/>
      <c r="K41" s="550">
        <f>'[3]Maintainability Score Summary'!$F$39</f>
        <v>0</v>
      </c>
      <c r="L41" s="531"/>
      <c r="M41" s="550">
        <f>'[4]Maintainability Score Summary'!$F$39</f>
        <v>0</v>
      </c>
      <c r="N41" s="531"/>
    </row>
    <row r="42" spans="1:14" x14ac:dyDescent="0.25">
      <c r="A42" s="6">
        <v>4.5</v>
      </c>
      <c r="B42" s="9" t="str">
        <f>'[3]Maintainability Score Summary'!$B$40</f>
        <v>Vertical Transportation System</v>
      </c>
      <c r="C42" s="531">
        <f>'[3]Maintainability Score Summary'!$E$40</f>
        <v>1.5</v>
      </c>
      <c r="D42" s="531"/>
      <c r="E42" s="531">
        <f t="shared" si="2"/>
        <v>0</v>
      </c>
      <c r="F42" s="531"/>
      <c r="G42" s="340"/>
      <c r="H42" s="307"/>
      <c r="I42" s="307"/>
      <c r="K42" s="550">
        <f>'[3]Maintainability Score Summary'!$F$40</f>
        <v>0</v>
      </c>
      <c r="L42" s="531"/>
      <c r="M42" s="550">
        <f>'[4]Maintainability Score Summary'!$F$40</f>
        <v>0</v>
      </c>
      <c r="N42" s="531"/>
    </row>
    <row r="43" spans="1:14" x14ac:dyDescent="0.25">
      <c r="A43" s="533" t="s">
        <v>489</v>
      </c>
      <c r="B43" s="533"/>
      <c r="C43" s="534">
        <f>'[3]Maintainability Score Summary'!$L$6</f>
        <v>10.5</v>
      </c>
      <c r="D43" s="534"/>
      <c r="E43" s="534">
        <f t="shared" si="2"/>
        <v>0</v>
      </c>
      <c r="F43" s="534"/>
      <c r="G43" s="327" t="str">
        <f>IF(OR(G44="",G45="",G46="",G47="",G48=""),"",SUM(G44:G48))</f>
        <v/>
      </c>
      <c r="H43" s="307"/>
      <c r="I43" s="307"/>
      <c r="K43" s="558">
        <f>'[3]Maintainability Score Summary'!$M$6</f>
        <v>0</v>
      </c>
      <c r="L43" s="534"/>
      <c r="M43" s="558">
        <f>'[4]Maintainability Score Summary'!$M$6</f>
        <v>0</v>
      </c>
      <c r="N43" s="534"/>
    </row>
    <row r="44" spans="1:14" x14ac:dyDescent="0.25">
      <c r="A44" s="6">
        <v>5.0999999999999996</v>
      </c>
      <c r="B44" s="9" t="str">
        <f>'[3]Maintainability Score Summary'!$I$7</f>
        <v>Softscape</v>
      </c>
      <c r="C44" s="531">
        <f>'[3]Maintainability Score Summary'!$L$7</f>
        <v>2</v>
      </c>
      <c r="D44" s="531"/>
      <c r="E44" s="531">
        <f t="shared" si="2"/>
        <v>0</v>
      </c>
      <c r="F44" s="531"/>
      <c r="G44" s="340"/>
      <c r="H44" s="307"/>
      <c r="I44" s="307"/>
      <c r="K44" s="550">
        <f>'[3]Maintainability Score Summary'!$M$7</f>
        <v>0</v>
      </c>
      <c r="L44" s="531"/>
      <c r="M44" s="550">
        <f>'[4]Maintainability Score Summary'!$M$7</f>
        <v>0</v>
      </c>
      <c r="N44" s="531"/>
    </row>
    <row r="45" spans="1:14" x14ac:dyDescent="0.25">
      <c r="A45" s="6">
        <v>5.2</v>
      </c>
      <c r="B45" s="9" t="str">
        <f>'[3]Maintainability Score Summary'!$I$8</f>
        <v>Hardscape</v>
      </c>
      <c r="C45" s="531">
        <f>'[3]Maintainability Score Summary'!$L$8</f>
        <v>2.5</v>
      </c>
      <c r="D45" s="531"/>
      <c r="E45" s="531">
        <f t="shared" si="2"/>
        <v>0</v>
      </c>
      <c r="F45" s="531"/>
      <c r="G45" s="340"/>
      <c r="H45" s="307"/>
      <c r="I45" s="307"/>
      <c r="K45" s="550">
        <f>'[3]Maintainability Score Summary'!$M$8</f>
        <v>0</v>
      </c>
      <c r="L45" s="531"/>
      <c r="M45" s="550">
        <f>'[4]Maintainability Score Summary'!$M$8</f>
        <v>0</v>
      </c>
      <c r="N45" s="531"/>
    </row>
    <row r="46" spans="1:14" x14ac:dyDescent="0.25">
      <c r="A46" s="6">
        <v>5.3</v>
      </c>
      <c r="B46" s="9" t="str">
        <f>'[3]Maintainability Score Summary'!$I$9</f>
        <v>Vertical Greenery</v>
      </c>
      <c r="C46" s="531">
        <f>'[3]Maintainability Score Summary'!$L$9</f>
        <v>0.5</v>
      </c>
      <c r="D46" s="531"/>
      <c r="E46" s="531">
        <f t="shared" si="2"/>
        <v>0</v>
      </c>
      <c r="F46" s="531"/>
      <c r="G46" s="340"/>
      <c r="H46" s="307"/>
      <c r="I46" s="307"/>
      <c r="K46" s="550">
        <f>'[3]Maintainability Score Summary'!$M$9</f>
        <v>0</v>
      </c>
      <c r="L46" s="531"/>
      <c r="M46" s="550">
        <f>'[4]Maintainability Score Summary'!$M$9</f>
        <v>0</v>
      </c>
      <c r="N46" s="531"/>
    </row>
    <row r="47" spans="1:14" x14ac:dyDescent="0.25">
      <c r="A47" s="6">
        <v>5.4</v>
      </c>
      <c r="B47" s="9" t="str">
        <f>'[3]Maintainability Score Summary'!$I$10</f>
        <v>Roof, Sky Terraces, Planter boxes on building edge/façade</v>
      </c>
      <c r="C47" s="531">
        <f>'[3]Maintainability Score Summary'!$L$10</f>
        <v>3</v>
      </c>
      <c r="D47" s="531"/>
      <c r="E47" s="531">
        <f t="shared" si="2"/>
        <v>0</v>
      </c>
      <c r="F47" s="531"/>
      <c r="G47" s="340"/>
      <c r="H47" s="307"/>
      <c r="I47" s="307"/>
      <c r="K47" s="550">
        <f>'[3]Maintainability Score Summary'!$M$10</f>
        <v>0</v>
      </c>
      <c r="L47" s="531"/>
      <c r="M47" s="550">
        <f>'[4]Maintainability Score Summary'!$M$10</f>
        <v>0</v>
      </c>
      <c r="N47" s="531"/>
    </row>
    <row r="48" spans="1:14" x14ac:dyDescent="0.25">
      <c r="A48" s="6">
        <v>5.5</v>
      </c>
      <c r="B48" s="9" t="str">
        <f>'[3]Maintainability Score Summary'!$I$11</f>
        <v>Standalone Structures</v>
      </c>
      <c r="C48" s="531">
        <f>'[3]Maintainability Score Summary'!$L$11</f>
        <v>2.5</v>
      </c>
      <c r="D48" s="531"/>
      <c r="E48" s="531">
        <f t="shared" si="2"/>
        <v>0</v>
      </c>
      <c r="F48" s="531"/>
      <c r="G48" s="340"/>
      <c r="H48" s="307"/>
      <c r="I48" s="307"/>
      <c r="K48" s="550">
        <f>'[3]Maintainability Score Summary'!$M$11</f>
        <v>0</v>
      </c>
      <c r="L48" s="531"/>
      <c r="M48" s="550">
        <f>'[4]Maintainability Score Summary'!$M$11</f>
        <v>0</v>
      </c>
      <c r="N48" s="531"/>
    </row>
    <row r="49" spans="1:14" x14ac:dyDescent="0.25">
      <c r="A49" s="533" t="s">
        <v>490</v>
      </c>
      <c r="B49" s="533"/>
      <c r="C49" s="534">
        <f>'[3]Maintainability Score Summary'!$L$12</f>
        <v>11</v>
      </c>
      <c r="D49" s="534"/>
      <c r="E49" s="534">
        <f t="shared" si="2"/>
        <v>0</v>
      </c>
      <c r="F49" s="534"/>
      <c r="G49" s="327" t="str">
        <f>IF(OR(G50="",G51=""),"",SUM(G50:G51))</f>
        <v/>
      </c>
      <c r="H49" s="307"/>
      <c r="I49" s="307"/>
      <c r="K49" s="558">
        <f>'[3]Maintainability Score Summary'!$M$12</f>
        <v>0</v>
      </c>
      <c r="L49" s="534"/>
      <c r="M49" s="558">
        <f>'[4]Maintainability Score Summary'!$M$12</f>
        <v>0</v>
      </c>
      <c r="N49" s="534"/>
    </row>
    <row r="50" spans="1:14" x14ac:dyDescent="0.25">
      <c r="A50" s="6">
        <v>6.1</v>
      </c>
      <c r="B50" s="9" t="str">
        <f>'[3]Maintainability Score Summary'!$I$13</f>
        <v>Cybersecurity</v>
      </c>
      <c r="C50" s="531">
        <f>'[3]Maintainability Score Summary'!$L$13</f>
        <v>1</v>
      </c>
      <c r="D50" s="531"/>
      <c r="E50" s="531">
        <f t="shared" si="2"/>
        <v>0</v>
      </c>
      <c r="F50" s="531"/>
      <c r="G50" s="340"/>
      <c r="H50" s="307"/>
      <c r="I50" s="307"/>
      <c r="K50" s="550">
        <f>'[3]Maintainability Score Summary'!$M$13</f>
        <v>0</v>
      </c>
      <c r="L50" s="531"/>
      <c r="M50" s="550">
        <f>'[4]Maintainability Score Summary'!$M$13</f>
        <v>0</v>
      </c>
      <c r="N50" s="531"/>
    </row>
    <row r="51" spans="1:14" x14ac:dyDescent="0.25">
      <c r="A51" s="6">
        <v>6.2</v>
      </c>
      <c r="B51" s="9" t="str">
        <f>'[3]Maintainability Score Summary'!$I$14</f>
        <v>Adoption of Smart FM solutions</v>
      </c>
      <c r="C51" s="531">
        <f>'[3]Maintainability Score Summary'!$L$14</f>
        <v>10</v>
      </c>
      <c r="D51" s="531"/>
      <c r="E51" s="531">
        <f t="shared" si="2"/>
        <v>0</v>
      </c>
      <c r="F51" s="531"/>
      <c r="G51" s="340"/>
      <c r="H51" s="307"/>
      <c r="I51" s="307"/>
      <c r="K51" s="550">
        <f>'[3]Maintainability Score Summary'!$M$14</f>
        <v>0</v>
      </c>
      <c r="L51" s="531"/>
      <c r="M51" s="550">
        <f>'[4]Maintainability Score Summary'!$M$14</f>
        <v>0</v>
      </c>
      <c r="N51" s="531"/>
    </row>
    <row r="52" spans="1:14" x14ac:dyDescent="0.25">
      <c r="A52" s="533" t="s">
        <v>491</v>
      </c>
      <c r="B52" s="533"/>
      <c r="C52" s="534">
        <f>'[3]Maintainability Score Summary'!$L$15</f>
        <v>10.5</v>
      </c>
      <c r="D52" s="534"/>
      <c r="E52" s="534">
        <f t="shared" si="2"/>
        <v>0</v>
      </c>
      <c r="F52" s="534"/>
      <c r="G52" s="327" t="str">
        <f>IF(OR(G53="",G54="",G55="",G56=""),"",SUM(G53:G56))</f>
        <v/>
      </c>
      <c r="H52" s="307"/>
      <c r="I52" s="307"/>
      <c r="K52" s="558">
        <f>'[3]Maintainability Score Summary'!$M$15</f>
        <v>0</v>
      </c>
      <c r="L52" s="534"/>
      <c r="M52" s="558">
        <f>'[4]Maintainability Score Summary'!$M$15</f>
        <v>0</v>
      </c>
      <c r="N52" s="534"/>
    </row>
    <row r="53" spans="1:14" x14ac:dyDescent="0.25">
      <c r="A53" s="6">
        <v>7.1</v>
      </c>
      <c r="B53" s="9" t="str">
        <f>'[3]Maintainability Score Summary'!$I$16</f>
        <v>Central Computer</v>
      </c>
      <c r="C53" s="531">
        <f>'[3]Maintainability Score Summary'!$L$16</f>
        <v>2</v>
      </c>
      <c r="D53" s="531"/>
      <c r="E53" s="531">
        <f t="shared" si="2"/>
        <v>0</v>
      </c>
      <c r="F53" s="531"/>
      <c r="G53" s="340"/>
      <c r="H53" s="307"/>
      <c r="I53" s="307"/>
      <c r="K53" s="550">
        <f>'[3]Maintainability Score Summary'!$M$16</f>
        <v>0</v>
      </c>
      <c r="L53" s="531"/>
      <c r="M53" s="550">
        <f>'[4]Maintainability Score Summary'!$M$16</f>
        <v>0</v>
      </c>
      <c r="N53" s="531"/>
    </row>
    <row r="54" spans="1:14" x14ac:dyDescent="0.25">
      <c r="A54" s="6">
        <v>7.2</v>
      </c>
      <c r="B54" s="9" t="str">
        <f>'[3]Maintainability Score Summary'!$I$17</f>
        <v>Software Integration</v>
      </c>
      <c r="C54" s="531">
        <f>'[3]Maintainability Score Summary'!$L$17</f>
        <v>4</v>
      </c>
      <c r="D54" s="531"/>
      <c r="E54" s="531">
        <f t="shared" si="2"/>
        <v>0</v>
      </c>
      <c r="F54" s="531"/>
      <c r="G54" s="340"/>
      <c r="H54" s="307"/>
      <c r="I54" s="307"/>
      <c r="K54" s="550">
        <f>'[3]Maintainability Score Summary'!$M$17</f>
        <v>0</v>
      </c>
      <c r="L54" s="531"/>
      <c r="M54" s="550">
        <f>'[4]Maintainability Score Summary'!$M$17</f>
        <v>0</v>
      </c>
      <c r="N54" s="531"/>
    </row>
    <row r="55" spans="1:14" x14ac:dyDescent="0.25">
      <c r="A55" s="6">
        <v>7.3</v>
      </c>
      <c r="B55" s="9" t="str">
        <f>'[3]Maintainability Score Summary'!$I$18</f>
        <v>Controllers</v>
      </c>
      <c r="C55" s="531">
        <f>'[3]Maintainability Score Summary'!$L$18</f>
        <v>2.5</v>
      </c>
      <c r="D55" s="531"/>
      <c r="E55" s="531">
        <f t="shared" si="2"/>
        <v>0</v>
      </c>
      <c r="F55" s="531"/>
      <c r="G55" s="340"/>
      <c r="H55" s="307"/>
      <c r="I55" s="307"/>
      <c r="K55" s="550">
        <f>'[3]Maintainability Score Summary'!$M$18</f>
        <v>0</v>
      </c>
      <c r="L55" s="531"/>
      <c r="M55" s="550">
        <f>'[4]Maintainability Score Summary'!$M$18</f>
        <v>0</v>
      </c>
      <c r="N55" s="531"/>
    </row>
    <row r="56" spans="1:14" x14ac:dyDescent="0.25">
      <c r="A56" s="6">
        <v>7.4</v>
      </c>
      <c r="B56" s="9" t="str">
        <f>'[3]Maintainability Score Summary'!$I$19</f>
        <v>Integration with M&amp;E systems</v>
      </c>
      <c r="C56" s="531">
        <f>'[3]Maintainability Score Summary'!$L$19</f>
        <v>2</v>
      </c>
      <c r="D56" s="531"/>
      <c r="E56" s="531">
        <f t="shared" si="2"/>
        <v>0</v>
      </c>
      <c r="F56" s="531"/>
      <c r="G56" s="340"/>
      <c r="H56" s="307"/>
      <c r="I56" s="307"/>
      <c r="K56" s="550">
        <f>'[3]Maintainability Score Summary'!$M$19</f>
        <v>0</v>
      </c>
      <c r="L56" s="531"/>
      <c r="M56" s="550">
        <f>'[4]Maintainability Score Summary'!$M$19</f>
        <v>0</v>
      </c>
      <c r="N56" s="531"/>
    </row>
    <row r="57" spans="1:14" x14ac:dyDescent="0.25">
      <c r="A57" s="533" t="s">
        <v>492</v>
      </c>
      <c r="B57" s="533"/>
      <c r="C57" s="534">
        <f>'[3]Maintainability Score Summary'!$L$20</f>
        <v>12.5</v>
      </c>
      <c r="D57" s="534"/>
      <c r="E57" s="534">
        <f t="shared" si="2"/>
        <v>0</v>
      </c>
      <c r="F57" s="534"/>
      <c r="G57" s="327" t="str">
        <f>IF(OR(G58="",G61=""),"",G58+G61)</f>
        <v/>
      </c>
      <c r="H57" s="307"/>
      <c r="I57" s="307"/>
      <c r="K57" s="558">
        <f>'[3]Maintainability Score Summary'!$M$20</f>
        <v>0</v>
      </c>
      <c r="L57" s="534"/>
      <c r="M57" s="558">
        <f>'[4]Maintainability Score Summary'!$M$20</f>
        <v>0</v>
      </c>
      <c r="N57" s="534"/>
    </row>
    <row r="58" spans="1:14" x14ac:dyDescent="0.25">
      <c r="A58" s="529" t="str">
        <f>'[3]Maintainability Score Summary'!$H$21</f>
        <v>Part A - Asset Management</v>
      </c>
      <c r="B58" s="530"/>
      <c r="C58" s="532">
        <f>'[3]Maintainability Score Summary'!$L$21</f>
        <v>3</v>
      </c>
      <c r="D58" s="532"/>
      <c r="E58" s="532">
        <f t="shared" si="2"/>
        <v>0</v>
      </c>
      <c r="F58" s="532"/>
      <c r="G58" s="330" t="str">
        <f>IF(OR(G59="",G60=""),"",SUM(G59:G60))</f>
        <v/>
      </c>
      <c r="H58" s="307"/>
      <c r="I58" s="307"/>
      <c r="K58" s="559">
        <f>'[3]Maintainability Score Summary'!$M$21</f>
        <v>0</v>
      </c>
      <c r="L58" s="532"/>
      <c r="M58" s="559">
        <f>'[4]Maintainability Score Summary'!$M$21</f>
        <v>0</v>
      </c>
      <c r="N58" s="532"/>
    </row>
    <row r="59" spans="1:14" x14ac:dyDescent="0.25">
      <c r="A59" s="6">
        <v>8.1</v>
      </c>
      <c r="B59" s="9" t="str">
        <f>'[3]Maintainability Score Summary'!$I$22</f>
        <v>Failure Analysis</v>
      </c>
      <c r="C59" s="531">
        <f>'[3]Maintainability Score Summary'!$L$22</f>
        <v>1.5</v>
      </c>
      <c r="D59" s="531"/>
      <c r="E59" s="531">
        <f t="shared" si="2"/>
        <v>0</v>
      </c>
      <c r="F59" s="531"/>
      <c r="G59" s="340"/>
      <c r="H59" s="307"/>
      <c r="I59" s="307"/>
      <c r="K59" s="550">
        <f>'[3]Maintainability Score Summary'!$M$22</f>
        <v>0</v>
      </c>
      <c r="L59" s="531"/>
      <c r="M59" s="550">
        <f>'[4]Maintainability Score Summary'!$M$22</f>
        <v>0</v>
      </c>
      <c r="N59" s="531"/>
    </row>
    <row r="60" spans="1:14" x14ac:dyDescent="0.25">
      <c r="A60" s="6">
        <v>8.1999999999999993</v>
      </c>
      <c r="B60" s="9" t="str">
        <f>'[3]Maintainability Score Summary'!$I$23</f>
        <v>Life Cycle Management</v>
      </c>
      <c r="C60" s="531">
        <f>'[3]Maintainability Score Summary'!$L$23</f>
        <v>1.5</v>
      </c>
      <c r="D60" s="531"/>
      <c r="E60" s="531">
        <f t="shared" si="2"/>
        <v>0</v>
      </c>
      <c r="F60" s="531"/>
      <c r="G60" s="340"/>
      <c r="H60" s="307"/>
      <c r="I60" s="307"/>
      <c r="K60" s="550">
        <f>'[3]Maintainability Score Summary'!$M$23</f>
        <v>0</v>
      </c>
      <c r="L60" s="531"/>
      <c r="M60" s="550">
        <f>'[4]Maintainability Score Summary'!$M$23</f>
        <v>0</v>
      </c>
      <c r="N60" s="531"/>
    </row>
    <row r="61" spans="1:14" x14ac:dyDescent="0.25">
      <c r="A61" s="529" t="str">
        <f>'[3]Maintainability Score Summary'!$H$24</f>
        <v>Part B - Operations Management and Supply Chain Management</v>
      </c>
      <c r="B61" s="530"/>
      <c r="C61" s="532">
        <f>'[3]Maintainability Score Summary'!$L$24</f>
        <v>9.5</v>
      </c>
      <c r="D61" s="532"/>
      <c r="E61" s="532">
        <f t="shared" si="2"/>
        <v>0</v>
      </c>
      <c r="F61" s="532"/>
      <c r="G61" s="330" t="str">
        <f>IF(OR(G62="",G63="",G64="",G65=""),"",SUM(G62:G65))</f>
        <v/>
      </c>
      <c r="H61" s="307"/>
      <c r="I61" s="307"/>
      <c r="K61" s="559">
        <f>'[3]Maintainability Score Summary'!$M$24</f>
        <v>0</v>
      </c>
      <c r="L61" s="532"/>
      <c r="M61" s="559">
        <f>'[4]Maintainability Score Summary'!$M$24</f>
        <v>0</v>
      </c>
      <c r="N61" s="532"/>
    </row>
    <row r="62" spans="1:14" x14ac:dyDescent="0.25">
      <c r="A62" s="6">
        <v>8.3000000000000007</v>
      </c>
      <c r="B62" s="9" t="str">
        <f>'[3]Maintainability Score Summary'!$I$25</f>
        <v>Service Management</v>
      </c>
      <c r="C62" s="531">
        <f>'[3]Maintainability Score Summary'!$L$25</f>
        <v>2.5</v>
      </c>
      <c r="D62" s="531"/>
      <c r="E62" s="531">
        <f t="shared" si="2"/>
        <v>0</v>
      </c>
      <c r="F62" s="531"/>
      <c r="G62" s="340"/>
      <c r="H62" s="307"/>
      <c r="I62" s="307"/>
      <c r="K62" s="550">
        <f>'[3]Maintainability Score Summary'!$M$25</f>
        <v>0</v>
      </c>
      <c r="L62" s="531"/>
      <c r="M62" s="550">
        <f>'[4]Maintainability Score Summary'!$M$25</f>
        <v>0</v>
      </c>
      <c r="N62" s="531"/>
    </row>
    <row r="63" spans="1:14" x14ac:dyDescent="0.25">
      <c r="A63" s="6">
        <v>8.4</v>
      </c>
      <c r="B63" s="9" t="str">
        <f>'[3]Maintainability Score Summary'!$I$26</f>
        <v>Maintenance Management</v>
      </c>
      <c r="C63" s="531">
        <f>'[3]Maintainability Score Summary'!$L$26</f>
        <v>1.5</v>
      </c>
      <c r="D63" s="531"/>
      <c r="E63" s="531">
        <f t="shared" si="2"/>
        <v>0</v>
      </c>
      <c r="F63" s="531"/>
      <c r="G63" s="340"/>
      <c r="H63" s="307"/>
      <c r="I63" s="307"/>
      <c r="K63" s="550">
        <f>'[3]Maintainability Score Summary'!$M$26</f>
        <v>0</v>
      </c>
      <c r="L63" s="531"/>
      <c r="M63" s="550">
        <f>'[4]Maintainability Score Summary'!$M$26</f>
        <v>0</v>
      </c>
      <c r="N63" s="531"/>
    </row>
    <row r="64" spans="1:14" x14ac:dyDescent="0.25">
      <c r="A64" s="6">
        <v>8.5</v>
      </c>
      <c r="B64" s="9" t="str">
        <f>'[3]Maintainability Score Summary'!$I$27</f>
        <v>Other General Services</v>
      </c>
      <c r="C64" s="531">
        <f>'[3]Maintainability Score Summary'!$L$27</f>
        <v>1</v>
      </c>
      <c r="D64" s="531"/>
      <c r="E64" s="531">
        <f t="shared" si="2"/>
        <v>0</v>
      </c>
      <c r="F64" s="531"/>
      <c r="G64" s="340"/>
      <c r="H64" s="307"/>
      <c r="I64" s="307"/>
      <c r="K64" s="550">
        <f>'[3]Maintainability Score Summary'!$M$27</f>
        <v>0</v>
      </c>
      <c r="L64" s="531"/>
      <c r="M64" s="550">
        <f>'[4]Maintainability Score Summary'!$M$27</f>
        <v>0</v>
      </c>
      <c r="N64" s="531"/>
    </row>
    <row r="65" spans="1:14" x14ac:dyDescent="0.25">
      <c r="A65" s="6">
        <v>8.6</v>
      </c>
      <c r="B65" s="9" t="str">
        <f>'[3]Maintainability Score Summary'!$I$28</f>
        <v>Supply Chain Management</v>
      </c>
      <c r="C65" s="531">
        <f>'[3]Maintainability Score Summary'!$L$28</f>
        <v>4.5</v>
      </c>
      <c r="D65" s="531"/>
      <c r="E65" s="531">
        <f t="shared" si="2"/>
        <v>0</v>
      </c>
      <c r="F65" s="531"/>
      <c r="G65" s="340"/>
      <c r="H65" s="307"/>
      <c r="I65" s="307"/>
      <c r="K65" s="550">
        <f>'[3]Maintainability Score Summary'!$M$28</f>
        <v>0</v>
      </c>
      <c r="L65" s="531"/>
      <c r="M65" s="550">
        <f>'[4]Maintainability Score Summary'!$M$28</f>
        <v>0</v>
      </c>
      <c r="N65" s="531"/>
    </row>
    <row r="66" spans="1:14" x14ac:dyDescent="0.25">
      <c r="A66" s="533" t="s">
        <v>493</v>
      </c>
      <c r="B66" s="533"/>
      <c r="C66" s="534">
        <v>3</v>
      </c>
      <c r="D66" s="534"/>
      <c r="E66" s="534">
        <f t="shared" si="2"/>
        <v>0</v>
      </c>
      <c r="F66" s="534"/>
      <c r="G66" s="327" t="str">
        <f>IF(OR(G67="",G68=""),"",SUM(G67:G68))</f>
        <v/>
      </c>
      <c r="H66" s="307"/>
      <c r="I66" s="307"/>
      <c r="K66" s="534">
        <f>SUM(K67:K68)</f>
        <v>0</v>
      </c>
      <c r="L66" s="534"/>
      <c r="M66" s="534">
        <f>SUM(M67:M68)</f>
        <v>0</v>
      </c>
      <c r="N66" s="534"/>
    </row>
    <row r="67" spans="1:14" x14ac:dyDescent="0.25">
      <c r="A67" s="8"/>
      <c r="B67" s="9" t="s">
        <v>494</v>
      </c>
      <c r="C67" s="531">
        <f>'[3]Maintainability Score Summary'!$L$30</f>
        <v>2</v>
      </c>
      <c r="D67" s="531"/>
      <c r="E67" s="531">
        <f t="shared" si="2"/>
        <v>0</v>
      </c>
      <c r="F67" s="531"/>
      <c r="G67" s="340"/>
      <c r="H67" s="307"/>
      <c r="I67" s="307"/>
      <c r="K67" s="550">
        <f>'[3]Maintainability Score Summary'!$M$30</f>
        <v>0</v>
      </c>
      <c r="L67" s="531"/>
      <c r="M67" s="550">
        <f>'[4]Maintainability Score Summary'!$M$30</f>
        <v>0</v>
      </c>
      <c r="N67" s="531"/>
    </row>
    <row r="68" spans="1:14" x14ac:dyDescent="0.25">
      <c r="A68" s="8"/>
      <c r="B68" s="9" t="s">
        <v>495</v>
      </c>
      <c r="C68" s="531">
        <f>'[3]Maintainability Score Summary'!$L$31</f>
        <v>1</v>
      </c>
      <c r="D68" s="531"/>
      <c r="E68" s="531">
        <f t="shared" si="2"/>
        <v>0</v>
      </c>
      <c r="F68" s="531"/>
      <c r="G68" s="340"/>
      <c r="H68" s="307"/>
      <c r="I68" s="307"/>
      <c r="K68" s="550">
        <f>'[3]Maintainability Score Summary'!$M$31</f>
        <v>0</v>
      </c>
      <c r="L68" s="531"/>
      <c r="M68" s="550">
        <f>'[4]Maintainability Score Summary'!$M$31</f>
        <v>0</v>
      </c>
      <c r="N68" s="531"/>
    </row>
    <row r="69" spans="1:14" s="1" customFormat="1" x14ac:dyDescent="0.25">
      <c r="A69" s="14"/>
      <c r="B69" s="16" t="s">
        <v>496</v>
      </c>
      <c r="C69" s="551" t="str">
        <f>IF(J69=0,IF(OR(G57="",G52="",G49="",G43="",G37="",G28="",G21="",G10="",G8=""),"",G57+G52+G49+G43+G37+G28+G21+G10+G8),J69)</f>
        <v/>
      </c>
      <c r="D69" s="552"/>
      <c r="E69" s="552"/>
      <c r="F69" s="552"/>
      <c r="G69" s="553"/>
      <c r="H69" s="307"/>
      <c r="I69" s="336"/>
      <c r="J69" s="338">
        <f>MAX(K69:N69)</f>
        <v>0</v>
      </c>
      <c r="K69" s="524">
        <f>'[3]Maintainability Score Summary'!$K$36</f>
        <v>0</v>
      </c>
      <c r="L69" s="524"/>
      <c r="M69" s="524">
        <f>'[4]Maintainability Score Summary'!$K$36</f>
        <v>0</v>
      </c>
      <c r="N69" s="524"/>
    </row>
    <row r="70" spans="1:14" s="1" customFormat="1" x14ac:dyDescent="0.25">
      <c r="A70" s="14"/>
      <c r="B70" s="16" t="s">
        <v>497</v>
      </c>
      <c r="C70" s="548">
        <f>MAX(K70:N70)</f>
        <v>0</v>
      </c>
      <c r="D70" s="549"/>
      <c r="E70" s="549"/>
      <c r="F70" s="549"/>
      <c r="G70" s="340"/>
      <c r="H70" s="307"/>
      <c r="I70" s="336"/>
      <c r="J70" s="339"/>
      <c r="K70" s="551">
        <f>'[3]Maintainability Score Summary'!$K$38</f>
        <v>0</v>
      </c>
      <c r="L70" s="553"/>
      <c r="M70" s="551">
        <f>'[4]Maintainability Score Summary'!$K$38</f>
        <v>0</v>
      </c>
      <c r="N70" s="553"/>
    </row>
    <row r="71" spans="1:14" s="1" customFormat="1" x14ac:dyDescent="0.25">
      <c r="A71" s="14"/>
      <c r="B71" s="331" t="s">
        <v>506</v>
      </c>
      <c r="C71" s="548">
        <f>MAX(K71:N71)</f>
        <v>0</v>
      </c>
      <c r="D71" s="549"/>
      <c r="E71" s="549"/>
      <c r="F71" s="549"/>
      <c r="G71" s="332" t="str">
        <f>IF(OR(G67="",G68="",C69=""),"",IF(C69=J72,G67+G68,""))</f>
        <v/>
      </c>
      <c r="H71" s="307"/>
      <c r="I71" s="336"/>
      <c r="J71" s="339"/>
      <c r="K71" s="551">
        <f>'[3]Maintainability Score Summary'!$N$36</f>
        <v>0</v>
      </c>
      <c r="L71" s="552"/>
      <c r="M71" s="548">
        <f>'[4]Maintainability Score Summary'!$N$36</f>
        <v>0</v>
      </c>
      <c r="N71" s="548"/>
    </row>
    <row r="72" spans="1:14" s="1" customFormat="1" x14ac:dyDescent="0.25">
      <c r="A72" s="14"/>
      <c r="B72" s="554" t="s">
        <v>498</v>
      </c>
      <c r="C72" s="548" t="s">
        <v>499</v>
      </c>
      <c r="D72" s="548"/>
      <c r="E72" s="556">
        <f>MAX(K72:N72)</f>
        <v>0</v>
      </c>
      <c r="F72" s="556"/>
      <c r="G72" s="332">
        <f>IF(OR(C69="",G66=""),0,IF(C69=J72,(C69/(124-G70))*124,0))</f>
        <v>0</v>
      </c>
      <c r="H72" s="307"/>
      <c r="I72" s="336"/>
      <c r="J72" s="341" t="str">
        <f>IF(OR(G57="",G52="",G49="",G43="",G37="",G28="",G21="",G10="",G8=""),"",G57+G52+G49+G43+G37+G28+G21+G10+G8)</f>
        <v/>
      </c>
      <c r="K72" s="556">
        <f>'[3]Maintainability Score Summary'!$K$39</f>
        <v>0</v>
      </c>
      <c r="L72" s="556"/>
      <c r="M72" s="556">
        <f>'[4]Maintainability Score Summary'!$K$39</f>
        <v>0</v>
      </c>
      <c r="N72" s="556"/>
    </row>
    <row r="73" spans="1:14" s="1" customFormat="1" x14ac:dyDescent="0.25">
      <c r="A73" s="14"/>
      <c r="B73" s="555"/>
      <c r="C73" s="548" t="s">
        <v>500</v>
      </c>
      <c r="D73" s="548"/>
      <c r="E73" s="556">
        <f>MAX(K73:N73)</f>
        <v>0</v>
      </c>
      <c r="F73" s="556"/>
      <c r="G73" s="337">
        <f>IF(OR(G72="",G71=""),0,G72+G71)</f>
        <v>0</v>
      </c>
      <c r="H73" s="307"/>
      <c r="I73" s="336"/>
      <c r="J73" s="339"/>
      <c r="K73" s="556">
        <f>'[3]Maintainability Score Summary'!$M$39</f>
        <v>0</v>
      </c>
      <c r="L73" s="556"/>
      <c r="M73" s="556">
        <f>'[4]Maintainability Score Summary'!$M$39</f>
        <v>0</v>
      </c>
      <c r="N73" s="556"/>
    </row>
    <row r="74" spans="1:14" x14ac:dyDescent="0.25">
      <c r="A74" s="14"/>
      <c r="B74" s="16" t="s">
        <v>501</v>
      </c>
      <c r="C74" s="549" t="str">
        <f>IF(K74="",IF(M74="",K74,M74))</f>
        <v/>
      </c>
      <c r="D74" s="549"/>
      <c r="E74" s="549"/>
      <c r="F74" s="549"/>
      <c r="G74" s="333"/>
      <c r="H74" s="307"/>
      <c r="I74" s="307"/>
      <c r="J74" s="13" t="str">
        <f>IF(AND(C74="",G74=""),"",IF(C74="",G74,C74))</f>
        <v/>
      </c>
      <c r="K74" s="561" t="str">
        <f>'[3]Maintainability Score Summary'!$M$49</f>
        <v/>
      </c>
      <c r="L74" s="562"/>
      <c r="M74" s="561" t="str">
        <f>'[4]Maintainability Score Summary'!$M$49</f>
        <v/>
      </c>
      <c r="N74" s="562"/>
    </row>
    <row r="75" spans="1:14" x14ac:dyDescent="0.25">
      <c r="A75" s="14"/>
      <c r="B75" s="15" t="s">
        <v>502</v>
      </c>
      <c r="C75" s="551">
        <f>IF(J75=0,IF(G73=0,0,IF(G73/6&gt;15,15,G73/6)),J75)</f>
        <v>0</v>
      </c>
      <c r="D75" s="552"/>
      <c r="E75" s="552"/>
      <c r="F75" s="552"/>
      <c r="G75" s="553"/>
      <c r="H75" s="307"/>
      <c r="I75" s="307"/>
      <c r="J75" s="341">
        <f>MAX(K75:N75)</f>
        <v>0</v>
      </c>
      <c r="K75" s="525">
        <f>'[3]Maintainability Score Summary'!$M$43</f>
        <v>0</v>
      </c>
      <c r="L75" s="525"/>
      <c r="M75" s="525">
        <f>'[4]Maintainability Score Summary'!$M$43</f>
        <v>0</v>
      </c>
      <c r="N75" s="525"/>
    </row>
    <row r="76" spans="1:14" x14ac:dyDescent="0.25">
      <c r="A76" s="14"/>
      <c r="B76" s="15" t="s">
        <v>503</v>
      </c>
      <c r="C76" s="557" t="str">
        <f>IF(AND(C75=0,G73=""),"",IF(AND(C75&gt;=10,J74="Y"),"Yes","No"))</f>
        <v>No</v>
      </c>
      <c r="D76" s="557"/>
      <c r="E76" s="557"/>
      <c r="F76" s="557"/>
      <c r="G76" s="557"/>
      <c r="H76" s="307"/>
      <c r="I76" s="307"/>
      <c r="J76" t="str">
        <f>'[3]Maintainability Score Summary'!$M$45</f>
        <v/>
      </c>
    </row>
  </sheetData>
  <sheetProtection algorithmName="SHA-512" hashValue="bU/RijxhH7UzORdDBrTGY9Ac/PLX2x7jV2PpuhGP5Sfs5oXM/qH3g29VDFoOxN0VvNEtyuxujU5GYVGHdQ2mTw==" saltValue="VcWOw9A9//iT5HdI/c+8/Q==" spinCount="100000" sheet="1" formatCells="0" selectLockedCells="1"/>
  <mergeCells count="291">
    <mergeCell ref="M70:N70"/>
    <mergeCell ref="M71:N71"/>
    <mergeCell ref="M72:N72"/>
    <mergeCell ref="M73:N73"/>
    <mergeCell ref="M74:N74"/>
    <mergeCell ref="M60:N60"/>
    <mergeCell ref="M61:N61"/>
    <mergeCell ref="M62:N62"/>
    <mergeCell ref="M63:N63"/>
    <mergeCell ref="M64:N64"/>
    <mergeCell ref="M65:N65"/>
    <mergeCell ref="M66:N66"/>
    <mergeCell ref="M67:N67"/>
    <mergeCell ref="M68:N68"/>
    <mergeCell ref="M51:N51"/>
    <mergeCell ref="M52:N52"/>
    <mergeCell ref="M53:N53"/>
    <mergeCell ref="M54:N54"/>
    <mergeCell ref="M55:N55"/>
    <mergeCell ref="M56:N56"/>
    <mergeCell ref="M57:N57"/>
    <mergeCell ref="M58:N58"/>
    <mergeCell ref="M59:N59"/>
    <mergeCell ref="M42:N42"/>
    <mergeCell ref="M43:N43"/>
    <mergeCell ref="M44:N44"/>
    <mergeCell ref="M45:N45"/>
    <mergeCell ref="M46:N46"/>
    <mergeCell ref="M47:N47"/>
    <mergeCell ref="M48:N48"/>
    <mergeCell ref="M49:N49"/>
    <mergeCell ref="M50:N50"/>
    <mergeCell ref="M33:N33"/>
    <mergeCell ref="M34:N34"/>
    <mergeCell ref="M35:N35"/>
    <mergeCell ref="M36:N36"/>
    <mergeCell ref="M37:N37"/>
    <mergeCell ref="M38:N38"/>
    <mergeCell ref="M39:N39"/>
    <mergeCell ref="M40:N40"/>
    <mergeCell ref="M41:N41"/>
    <mergeCell ref="M24:N24"/>
    <mergeCell ref="M25:N25"/>
    <mergeCell ref="M26:N26"/>
    <mergeCell ref="M27:N27"/>
    <mergeCell ref="M28:N28"/>
    <mergeCell ref="M29:N29"/>
    <mergeCell ref="M30:N30"/>
    <mergeCell ref="M31:N31"/>
    <mergeCell ref="M32:N32"/>
    <mergeCell ref="K72:L72"/>
    <mergeCell ref="K73:L73"/>
    <mergeCell ref="K70:L70"/>
    <mergeCell ref="K71:L71"/>
    <mergeCell ref="K74:L74"/>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K62:L62"/>
    <mergeCell ref="K63:L63"/>
    <mergeCell ref="K64:L64"/>
    <mergeCell ref="K65:L65"/>
    <mergeCell ref="K66:L66"/>
    <mergeCell ref="K67:L67"/>
    <mergeCell ref="K68:L68"/>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53:L53"/>
    <mergeCell ref="K54:L54"/>
    <mergeCell ref="K55:L55"/>
    <mergeCell ref="K56:L56"/>
    <mergeCell ref="K57:L57"/>
    <mergeCell ref="K58:L58"/>
    <mergeCell ref="K59:L59"/>
    <mergeCell ref="K60:L60"/>
    <mergeCell ref="K61:L61"/>
    <mergeCell ref="K44:L44"/>
    <mergeCell ref="K45:L45"/>
    <mergeCell ref="K46:L46"/>
    <mergeCell ref="K47:L47"/>
    <mergeCell ref="K48:L48"/>
    <mergeCell ref="K49:L49"/>
    <mergeCell ref="K50:L50"/>
    <mergeCell ref="K51:L51"/>
    <mergeCell ref="K52:L52"/>
    <mergeCell ref="K35:L35"/>
    <mergeCell ref="K36:L36"/>
    <mergeCell ref="K37:L37"/>
    <mergeCell ref="K38:L38"/>
    <mergeCell ref="K39:L39"/>
    <mergeCell ref="K40:L40"/>
    <mergeCell ref="K41:L41"/>
    <mergeCell ref="K42:L42"/>
    <mergeCell ref="K43:L43"/>
    <mergeCell ref="K26:L26"/>
    <mergeCell ref="K27:L27"/>
    <mergeCell ref="K28:L28"/>
    <mergeCell ref="K29:L29"/>
    <mergeCell ref="K30:L30"/>
    <mergeCell ref="K31:L31"/>
    <mergeCell ref="K32:L32"/>
    <mergeCell ref="K33:L33"/>
    <mergeCell ref="K34:L34"/>
    <mergeCell ref="K25:L25"/>
    <mergeCell ref="C75:G75"/>
    <mergeCell ref="B72:B73"/>
    <mergeCell ref="C72:D72"/>
    <mergeCell ref="C73:D73"/>
    <mergeCell ref="E72:F72"/>
    <mergeCell ref="E73:F73"/>
    <mergeCell ref="C76:G76"/>
    <mergeCell ref="C69:G69"/>
    <mergeCell ref="C71:F71"/>
    <mergeCell ref="E45:F45"/>
    <mergeCell ref="C46:D46"/>
    <mergeCell ref="E46:F46"/>
    <mergeCell ref="E40:F40"/>
    <mergeCell ref="C41:D41"/>
    <mergeCell ref="E41:F41"/>
    <mergeCell ref="C42:D42"/>
    <mergeCell ref="E42:F42"/>
    <mergeCell ref="E43:F43"/>
    <mergeCell ref="E38:F38"/>
    <mergeCell ref="C39:D39"/>
    <mergeCell ref="E39:F39"/>
    <mergeCell ref="E31:F31"/>
    <mergeCell ref="C33:D33"/>
    <mergeCell ref="A3:G3"/>
    <mergeCell ref="A4:G4"/>
    <mergeCell ref="G14:G16"/>
    <mergeCell ref="C68:D68"/>
    <mergeCell ref="E68:F68"/>
    <mergeCell ref="C70:F70"/>
    <mergeCell ref="C74:F74"/>
    <mergeCell ref="C67:D67"/>
    <mergeCell ref="E67:F67"/>
    <mergeCell ref="C66:D66"/>
    <mergeCell ref="E66:F66"/>
    <mergeCell ref="C50:D50"/>
    <mergeCell ref="E50:F50"/>
    <mergeCell ref="C51:D51"/>
    <mergeCell ref="E51:F51"/>
    <mergeCell ref="C47:D47"/>
    <mergeCell ref="E47:F47"/>
    <mergeCell ref="C48:D48"/>
    <mergeCell ref="E48:F48"/>
    <mergeCell ref="C49:D49"/>
    <mergeCell ref="E49:F49"/>
    <mergeCell ref="C44:D44"/>
    <mergeCell ref="E44:F44"/>
    <mergeCell ref="C45:D45"/>
    <mergeCell ref="E33:F33"/>
    <mergeCell ref="C34:D34"/>
    <mergeCell ref="E34:F34"/>
    <mergeCell ref="C35:D35"/>
    <mergeCell ref="E35:F35"/>
    <mergeCell ref="E32:F32"/>
    <mergeCell ref="E6:F6"/>
    <mergeCell ref="E7:F7"/>
    <mergeCell ref="E8:F8"/>
    <mergeCell ref="E10:F10"/>
    <mergeCell ref="E21:F21"/>
    <mergeCell ref="E28:F28"/>
    <mergeCell ref="E11:F11"/>
    <mergeCell ref="E13:F13"/>
    <mergeCell ref="E17:F17"/>
    <mergeCell ref="E14:F16"/>
    <mergeCell ref="E26:F26"/>
    <mergeCell ref="E27:F27"/>
    <mergeCell ref="E9:F9"/>
    <mergeCell ref="E22:F22"/>
    <mergeCell ref="E23:F23"/>
    <mergeCell ref="E24:F24"/>
    <mergeCell ref="E20:F20"/>
    <mergeCell ref="E12:F12"/>
    <mergeCell ref="E18:F18"/>
    <mergeCell ref="E19:F19"/>
    <mergeCell ref="E25:F25"/>
    <mergeCell ref="C6:D6"/>
    <mergeCell ref="C7:D7"/>
    <mergeCell ref="C8:D8"/>
    <mergeCell ref="C9:D9"/>
    <mergeCell ref="C10:D10"/>
    <mergeCell ref="C11:D11"/>
    <mergeCell ref="C13:D13"/>
    <mergeCell ref="C17:D17"/>
    <mergeCell ref="C29:D29"/>
    <mergeCell ref="C26:D26"/>
    <mergeCell ref="C27:D27"/>
    <mergeCell ref="C22:D22"/>
    <mergeCell ref="C23:D23"/>
    <mergeCell ref="C24:D24"/>
    <mergeCell ref="C18:D18"/>
    <mergeCell ref="C19:D19"/>
    <mergeCell ref="C14:D16"/>
    <mergeCell ref="C21:D21"/>
    <mergeCell ref="C25:D25"/>
    <mergeCell ref="A7:B7"/>
    <mergeCell ref="C12:D12"/>
    <mergeCell ref="C20:D20"/>
    <mergeCell ref="A43:B43"/>
    <mergeCell ref="A49:B49"/>
    <mergeCell ref="A66:B66"/>
    <mergeCell ref="C32:D32"/>
    <mergeCell ref="E37:F37"/>
    <mergeCell ref="C37:D37"/>
    <mergeCell ref="C28:D28"/>
    <mergeCell ref="A8:B8"/>
    <mergeCell ref="A10:B10"/>
    <mergeCell ref="A21:B21"/>
    <mergeCell ref="A28:B28"/>
    <mergeCell ref="A37:B37"/>
    <mergeCell ref="C43:D43"/>
    <mergeCell ref="C31:D31"/>
    <mergeCell ref="C36:D36"/>
    <mergeCell ref="C40:D40"/>
    <mergeCell ref="C30:D30"/>
    <mergeCell ref="E30:F30"/>
    <mergeCell ref="E29:F29"/>
    <mergeCell ref="E36:F36"/>
    <mergeCell ref="C38:D38"/>
    <mergeCell ref="A52:B52"/>
    <mergeCell ref="C52:D52"/>
    <mergeCell ref="E52:F52"/>
    <mergeCell ref="C53:D53"/>
    <mergeCell ref="E53:F53"/>
    <mergeCell ref="C54:D54"/>
    <mergeCell ref="E54:F54"/>
    <mergeCell ref="C55:D55"/>
    <mergeCell ref="E55:F55"/>
    <mergeCell ref="C56:D56"/>
    <mergeCell ref="E56:F56"/>
    <mergeCell ref="A57:B57"/>
    <mergeCell ref="C57:D57"/>
    <mergeCell ref="E57:F57"/>
    <mergeCell ref="C58:D58"/>
    <mergeCell ref="E58:F58"/>
    <mergeCell ref="C59:D59"/>
    <mergeCell ref="E59:F59"/>
    <mergeCell ref="K69:L69"/>
    <mergeCell ref="M69:N69"/>
    <mergeCell ref="K75:L75"/>
    <mergeCell ref="M75:N75"/>
    <mergeCell ref="A2:G2"/>
    <mergeCell ref="A11:B11"/>
    <mergeCell ref="A17:B17"/>
    <mergeCell ref="A13:B13"/>
    <mergeCell ref="A29:B29"/>
    <mergeCell ref="A32:B32"/>
    <mergeCell ref="A58:B58"/>
    <mergeCell ref="A61:B61"/>
    <mergeCell ref="C65:D65"/>
    <mergeCell ref="E65:F65"/>
    <mergeCell ref="C60:D60"/>
    <mergeCell ref="E60:F60"/>
    <mergeCell ref="C61:D61"/>
    <mergeCell ref="E61:F61"/>
    <mergeCell ref="C62:D62"/>
    <mergeCell ref="E62:F62"/>
    <mergeCell ref="C63:D63"/>
    <mergeCell ref="E63:F63"/>
    <mergeCell ref="C64:D64"/>
    <mergeCell ref="E64:F64"/>
  </mergeCells>
  <dataValidations count="15">
    <dataValidation type="decimal" allowBlank="1" showInputMessage="1" showErrorMessage="1" sqref="K33:N33 K9:N9 K25:N25" xr:uid="{00000000-0002-0000-0700-000000000000}">
      <formula1>0</formula1>
      <formula2>8</formula2>
    </dataValidation>
    <dataValidation type="decimal" allowBlank="1" showInputMessage="1" showErrorMessage="1" sqref="K42:N42 K35:N35 K27:N27 K31:N31 K59:N60 K63:N63" xr:uid="{00000000-0002-0000-0700-000001000000}">
      <formula1>0</formula1>
      <formula2>1.5</formula2>
    </dataValidation>
    <dataValidation type="decimal" allowBlank="1" showInputMessage="1" showErrorMessage="1" sqref="M14 E14 K54:N54 K14" xr:uid="{00000000-0002-0000-0700-000002000000}">
      <formula1>0</formula1>
      <formula2>4</formula2>
    </dataValidation>
    <dataValidation type="decimal" allowBlank="1" showInputMessage="1" showErrorMessage="1" sqref="K19:N19 K12:N12 K36:N36 K47:N47" xr:uid="{00000000-0002-0000-0700-000003000000}">
      <formula1>0</formula1>
      <formula2>3</formula2>
    </dataValidation>
    <dataValidation type="decimal" allowBlank="1" showInputMessage="1" showErrorMessage="1" sqref="K22:N22 K38:N39 K45:N45 K48:N48 K55:N55 K62:N62" xr:uid="{00000000-0002-0000-0700-000004000000}">
      <formula1>0</formula1>
      <formula2>2.5</formula2>
    </dataValidation>
    <dataValidation type="decimal" allowBlank="1" showInputMessage="1" showErrorMessage="1" sqref="K50:N50 K26:N26 K23:N23 K41:N41 K64:N64 K68:N68" xr:uid="{00000000-0002-0000-0700-000005000000}">
      <formula1>0</formula1>
      <formula2>1</formula2>
    </dataValidation>
    <dataValidation type="decimal" allowBlank="1" showInputMessage="1" showErrorMessage="1" sqref="K29:N29 K58:N58" xr:uid="{00000000-0002-0000-0700-000006000000}">
      <formula1>0</formula1>
      <formula2>9.5</formula2>
    </dataValidation>
    <dataValidation type="decimal" allowBlank="1" showInputMessage="1" showErrorMessage="1" sqref="K20:N20 K44:N44 K53:N53 K56:N56 K67:N67" xr:uid="{00000000-0002-0000-0700-000007000000}">
      <formula1>0</formula1>
      <formula2>2</formula2>
    </dataValidation>
    <dataValidation type="decimal" allowBlank="1" showInputMessage="1" showErrorMessage="1" sqref="K40:N40 K18:N18" xr:uid="{00000000-0002-0000-0700-000008000000}">
      <formula1>0</formula1>
      <formula2>3.5</formula2>
    </dataValidation>
    <dataValidation type="decimal" allowBlank="1" showInputMessage="1" showErrorMessage="1" sqref="K24:N24 K65:N65" xr:uid="{00000000-0002-0000-0700-000009000000}">
      <formula1>0</formula1>
      <formula2>4.5</formula2>
    </dataValidation>
    <dataValidation type="decimal" allowBlank="1" showInputMessage="1" showErrorMessage="1" sqref="K30:N30" xr:uid="{00000000-0002-0000-0700-00000A000000}">
      <formula1>0</formula1>
      <formula2>13.5</formula2>
    </dataValidation>
    <dataValidation type="decimal" allowBlank="1" showInputMessage="1" showErrorMessage="1" sqref="K34:N34 K46:N46" xr:uid="{00000000-0002-0000-0700-00000B000000}">
      <formula1>0</formula1>
      <formula2>0.5</formula2>
    </dataValidation>
    <dataValidation type="decimal" allowBlank="1" showInputMessage="1" showErrorMessage="1" sqref="K51:N51" xr:uid="{00000000-0002-0000-0700-00000C000000}">
      <formula1>0</formula1>
      <formula2>10</formula2>
    </dataValidation>
    <dataValidation type="decimal" allowBlank="1" showInputMessage="1" showErrorMessage="1" sqref="G9 G12 G14:G16 G67:G68 G18:G20 G22:G27 G30:G31 G33:G36 G38:G42 G44:G48 G50:G51 G53:G56 G59:G60 G62:G65" xr:uid="{00000000-0002-0000-0700-00000D000000}">
      <formula1>0</formula1>
      <formula2>C9</formula2>
    </dataValidation>
    <dataValidation type="list" allowBlank="1" showInputMessage="1" showErrorMessage="1" sqref="G74" xr:uid="{00000000-0002-0000-0700-00000E000000}">
      <formula1>"Y,N"</formula1>
    </dataValidation>
  </dataValidations>
  <pageMargins left="0.7" right="0.7" top="0.75" bottom="0.75" header="0.3" footer="0.3"/>
  <pageSetup paperSize="9" scale="63" orientation="portrait" r:id="rId1"/>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57150</xdr:rowOff>
              </from>
              <to>
                <xdr:col>1</xdr:col>
                <xdr:colOff>342900</xdr:colOff>
                <xdr:row>2</xdr:row>
                <xdr:rowOff>1047750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38BA46-8BCF-4149-8A3B-5291AA55F569}">
  <ds:schemaRefs>
    <ds:schemaRef ds:uri="http://schemas.microsoft.com/sharepoint/v3/contenttype/forms"/>
  </ds:schemaRefs>
</ds:datastoreItem>
</file>

<file path=customXml/itemProps2.xml><?xml version="1.0" encoding="utf-8"?>
<ds:datastoreItem xmlns:ds="http://schemas.openxmlformats.org/officeDocument/2006/customXml" ds:itemID="{8D7E9840-37E4-4E0B-BA37-E11C35FB1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215C53-2C22-4219-8C9B-71B7E8AB1640}">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www.w3.org/XML/1998/namespace"/>
    <ds:schemaRef ds:uri="0b3cb28a-1a54-47b8-ac26-0dd7a10a3d05"/>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Yu Xuan TAN (BCA)</cp:lastModifiedBy>
  <cp:revision/>
  <cp:lastPrinted>2022-05-13T08:51:07Z</cp:lastPrinted>
  <dcterms:created xsi:type="dcterms:W3CDTF">2021-09-01T03:12:41Z</dcterms:created>
  <dcterms:modified xsi:type="dcterms:W3CDTF">2022-07-19T07:39:30Z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2021-10-19T09:58:21Z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