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C:\Users\bca-yuxuan\Desktop\GM International\"/>
    </mc:Choice>
  </mc:AlternateContent>
  <xr:revisionPtr revIDLastSave="0" documentId="13_ncr:1_{9124AD58-2F4E-4096-95D5-4A3C4392F369}" xr6:coauthVersionLast="47" xr6:coauthVersionMax="47" xr10:uidLastSave="{00000000-0000-0000-0000-000000000000}"/>
  <bookViews>
    <workbookView xWindow="-120" yWindow="-120" windowWidth="29040" windowHeight="15840" tabRatio="632"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Maintainability'!$A$1:$G$68</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5" i="26" l="1"/>
  <c r="E55" i="26" s="1"/>
  <c r="M44" i="26"/>
  <c r="E44" i="26" s="1"/>
  <c r="M26" i="26"/>
  <c r="E26" i="26" s="1"/>
  <c r="M50" i="26"/>
  <c r="E50" i="26" s="1"/>
  <c r="M56" i="26"/>
  <c r="E56" i="26" s="1"/>
  <c r="M60" i="26"/>
  <c r="E60" i="26" s="1"/>
  <c r="M42" i="26"/>
  <c r="E42" i="26" s="1"/>
  <c r="M37" i="26"/>
  <c r="E37" i="26" s="1"/>
  <c r="M54" i="26"/>
  <c r="E54" i="26" s="1"/>
  <c r="M35" i="26"/>
  <c r="E35" i="26" s="1"/>
  <c r="M23" i="26"/>
  <c r="E23" i="26" s="1"/>
  <c r="M19" i="26"/>
  <c r="E19" i="26" s="1"/>
  <c r="E20" i="26"/>
  <c r="E34" i="26"/>
  <c r="E48" i="26"/>
  <c r="M57" i="26"/>
  <c r="E57" i="26" s="1"/>
  <c r="M41" i="26"/>
  <c r="E41" i="26" s="1"/>
  <c r="M27" i="26"/>
  <c r="E27" i="26" s="1"/>
  <c r="C7" i="26"/>
  <c r="K66" i="26"/>
  <c r="K65" i="26"/>
  <c r="K64" i="26"/>
  <c r="K63" i="26"/>
  <c r="K62" i="26"/>
  <c r="K60" i="26"/>
  <c r="K59" i="26"/>
  <c r="K58" i="26"/>
  <c r="K57" i="26"/>
  <c r="K56" i="26"/>
  <c r="K55" i="26"/>
  <c r="K54" i="26"/>
  <c r="K53" i="26"/>
  <c r="K52" i="26"/>
  <c r="K51" i="26"/>
  <c r="K50" i="26"/>
  <c r="K49" i="26"/>
  <c r="K47" i="26"/>
  <c r="K46" i="26"/>
  <c r="K45" i="26"/>
  <c r="K44" i="26"/>
  <c r="K43" i="26"/>
  <c r="K42" i="26"/>
  <c r="K41" i="26"/>
  <c r="K40" i="26"/>
  <c r="K39" i="26"/>
  <c r="K38" i="26"/>
  <c r="K37" i="26"/>
  <c r="K36" i="26"/>
  <c r="K35" i="26"/>
  <c r="K33" i="26"/>
  <c r="K32" i="26"/>
  <c r="K31" i="26"/>
  <c r="K30" i="26"/>
  <c r="K29" i="26"/>
  <c r="K28" i="26"/>
  <c r="K27" i="26"/>
  <c r="K26" i="26"/>
  <c r="K25" i="26"/>
  <c r="K24" i="26"/>
  <c r="K23" i="26"/>
  <c r="K22" i="26"/>
  <c r="K21" i="26"/>
  <c r="K19" i="26"/>
  <c r="K18" i="26"/>
  <c r="K17" i="26"/>
  <c r="K14" i="26"/>
  <c r="K13" i="26"/>
  <c r="K12" i="26"/>
  <c r="K11" i="26"/>
  <c r="K10" i="26"/>
  <c r="K9" i="26"/>
  <c r="K8" i="26"/>
  <c r="C60" i="26"/>
  <c r="B60" i="26"/>
  <c r="C59" i="26"/>
  <c r="B59" i="26"/>
  <c r="C57" i="26"/>
  <c r="B57" i="26"/>
  <c r="C56" i="26"/>
  <c r="B56" i="26"/>
  <c r="C55" i="26"/>
  <c r="B55" i="26"/>
  <c r="C54" i="26"/>
  <c r="B54" i="26"/>
  <c r="C53" i="26"/>
  <c r="B53" i="26"/>
  <c r="C52" i="26"/>
  <c r="A52" i="26"/>
  <c r="C51" i="26"/>
  <c r="B51" i="26"/>
  <c r="C50" i="26"/>
  <c r="B50" i="26"/>
  <c r="C49" i="26"/>
  <c r="B49" i="26"/>
  <c r="C48" i="26"/>
  <c r="B48" i="26"/>
  <c r="C47" i="26"/>
  <c r="B47" i="26"/>
  <c r="C46" i="26"/>
  <c r="B46" i="26"/>
  <c r="C45" i="26"/>
  <c r="A45" i="26"/>
  <c r="C44" i="26"/>
  <c r="B44" i="26"/>
  <c r="C43" i="26"/>
  <c r="B43" i="26"/>
  <c r="C42" i="26"/>
  <c r="B42" i="26"/>
  <c r="C41" i="26"/>
  <c r="B41" i="26"/>
  <c r="C40" i="26"/>
  <c r="B40" i="26"/>
  <c r="C39" i="26"/>
  <c r="B39" i="26"/>
  <c r="C38" i="26"/>
  <c r="A38" i="26"/>
  <c r="C37" i="26"/>
  <c r="B37" i="26"/>
  <c r="C36" i="26"/>
  <c r="B36" i="26"/>
  <c r="C35" i="26"/>
  <c r="B35" i="26"/>
  <c r="C34" i="26"/>
  <c r="B34" i="26"/>
  <c r="C33" i="26"/>
  <c r="B33" i="26"/>
  <c r="C32" i="26"/>
  <c r="A32" i="26"/>
  <c r="C31" i="26"/>
  <c r="B31" i="26"/>
  <c r="C30" i="26"/>
  <c r="B30" i="26"/>
  <c r="C29" i="26"/>
  <c r="A29" i="26"/>
  <c r="C28" i="26"/>
  <c r="A28" i="26"/>
  <c r="C27" i="26"/>
  <c r="B27" i="26"/>
  <c r="C26" i="26"/>
  <c r="B26" i="26"/>
  <c r="C25" i="26"/>
  <c r="B25" i="26"/>
  <c r="C24" i="26"/>
  <c r="B24" i="26"/>
  <c r="C23" i="26"/>
  <c r="B23" i="26"/>
  <c r="C22" i="26"/>
  <c r="B22" i="26"/>
  <c r="C21" i="26"/>
  <c r="A21" i="26"/>
  <c r="C20" i="26"/>
  <c r="B20" i="26"/>
  <c r="C19" i="26"/>
  <c r="B19" i="26"/>
  <c r="C18" i="26"/>
  <c r="B18" i="26"/>
  <c r="C17" i="26"/>
  <c r="A17" i="26"/>
  <c r="B16" i="26"/>
  <c r="B15" i="26"/>
  <c r="C14" i="26"/>
  <c r="B14" i="26"/>
  <c r="C13" i="26"/>
  <c r="A13" i="26"/>
  <c r="C12" i="26"/>
  <c r="B12" i="26"/>
  <c r="C11" i="26"/>
  <c r="A11" i="26"/>
  <c r="C10" i="26"/>
  <c r="A10" i="26"/>
  <c r="C9" i="26"/>
  <c r="B9" i="26"/>
  <c r="C8" i="26"/>
  <c r="A8" i="26"/>
  <c r="G17" i="26"/>
  <c r="G58" i="26"/>
  <c r="M47" i="26" l="1"/>
  <c r="E47" i="26" s="1"/>
  <c r="M43" i="26"/>
  <c r="E43" i="26" s="1"/>
  <c r="M24" i="26"/>
  <c r="E24" i="26" s="1"/>
  <c r="M31" i="26"/>
  <c r="E31" i="26" s="1"/>
  <c r="M51" i="26"/>
  <c r="E51" i="26" s="1"/>
  <c r="M36" i="26"/>
  <c r="E36" i="26" s="1"/>
  <c r="M59" i="26"/>
  <c r="E59" i="26" s="1"/>
  <c r="M8" i="26"/>
  <c r="E8" i="26" s="1"/>
  <c r="M40" i="26"/>
  <c r="E40" i="26" s="1"/>
  <c r="M49" i="26"/>
  <c r="E49" i="26" s="1"/>
  <c r="G21" i="26"/>
  <c r="G13" i="26"/>
  <c r="G29" i="26"/>
  <c r="G32" i="26"/>
  <c r="G52" i="26"/>
  <c r="G45" i="26"/>
  <c r="G38" i="26"/>
  <c r="G8" i="26"/>
  <c r="G11" i="26"/>
  <c r="M62" i="26" l="1"/>
  <c r="C62" i="26" s="1"/>
  <c r="M45" i="26"/>
  <c r="E45" i="26" s="1"/>
  <c r="M38" i="26"/>
  <c r="E38" i="26" s="1"/>
  <c r="M17" i="26"/>
  <c r="E17" i="26" s="1"/>
  <c r="M18" i="26"/>
  <c r="E18" i="26" s="1"/>
  <c r="M25" i="26"/>
  <c r="E25" i="26" s="1"/>
  <c r="M9" i="26"/>
  <c r="E9" i="26" s="1"/>
  <c r="M46" i="26"/>
  <c r="E46" i="26" s="1"/>
  <c r="M39" i="26"/>
  <c r="E39" i="26" s="1"/>
  <c r="M11" i="26"/>
  <c r="E11" i="26" s="1"/>
  <c r="M12" i="26"/>
  <c r="E12" i="26" s="1"/>
  <c r="M58" i="26"/>
  <c r="E58" i="26" s="1"/>
  <c r="M63" i="26"/>
  <c r="C63" i="26" s="1"/>
  <c r="M52" i="26"/>
  <c r="E52" i="26" s="1"/>
  <c r="M53" i="26"/>
  <c r="E53" i="26" s="1"/>
  <c r="G10" i="26"/>
  <c r="G28" i="26"/>
  <c r="H34" i="5"/>
  <c r="H33" i="5"/>
  <c r="H31" i="5"/>
  <c r="H30" i="5"/>
  <c r="F22" i="2"/>
  <c r="M14" i="26" l="1"/>
  <c r="E14" i="26" s="1"/>
  <c r="M10" i="26"/>
  <c r="E10" i="26" s="1"/>
  <c r="M13" i="26"/>
  <c r="E13" i="26" s="1"/>
  <c r="M21" i="26"/>
  <c r="E21" i="26" s="1"/>
  <c r="M22" i="26"/>
  <c r="E22" i="26" s="1"/>
  <c r="M32" i="26"/>
  <c r="E32" i="26" s="1"/>
  <c r="M33" i="26"/>
  <c r="E33" i="26" s="1"/>
  <c r="J64" i="26"/>
  <c r="F18" i="16"/>
  <c r="F17" i="16"/>
  <c r="F19" i="16" s="1"/>
  <c r="K61" i="26" l="1"/>
  <c r="B32" i="1"/>
  <c r="H26" i="5"/>
  <c r="H35" i="5" s="1"/>
  <c r="M30" i="26" l="1"/>
  <c r="E30" i="26" s="1"/>
  <c r="M61" i="26"/>
  <c r="J61" i="26" s="1"/>
  <c r="C61" i="26" s="1"/>
  <c r="M29" i="26"/>
  <c r="E29" i="26" s="1"/>
  <c r="H53" i="3"/>
  <c r="H51" i="3"/>
  <c r="H10" i="5"/>
  <c r="M67" i="26" l="1"/>
  <c r="J67" i="26" s="1"/>
  <c r="M28" i="26"/>
  <c r="E28" i="26" s="1"/>
  <c r="G64" i="26"/>
  <c r="H15" i="3"/>
  <c r="H37" i="5"/>
  <c r="M64" i="26" l="1"/>
  <c r="E64" i="26" s="1"/>
  <c r="K67" i="26"/>
  <c r="G63" i="26"/>
  <c r="G65" i="26" s="1"/>
  <c r="C67" i="26" s="1"/>
  <c r="F15" i="2"/>
  <c r="D32" i="1" l="1"/>
  <c r="M65" i="26"/>
  <c r="E65" i="26" s="1"/>
  <c r="M66" i="26"/>
  <c r="C66" i="26" s="1"/>
  <c r="F32" i="2"/>
  <c r="C32" i="1" l="1"/>
  <c r="H59" i="3"/>
  <c r="F27" i="16"/>
  <c r="F28" i="16"/>
  <c r="H92" i="5"/>
  <c r="H91" i="5"/>
  <c r="H90" i="5"/>
  <c r="H82" i="5"/>
  <c r="H79" i="5"/>
  <c r="H78" i="5"/>
  <c r="H73" i="5"/>
  <c r="H69" i="5"/>
  <c r="H68" i="5"/>
  <c r="H67" i="5"/>
  <c r="H62" i="5"/>
  <c r="H58" i="5"/>
  <c r="H57" i="5"/>
  <c r="H56" i="5"/>
  <c r="H52" i="5"/>
  <c r="H51" i="5"/>
  <c r="H50" i="5"/>
  <c r="H49" i="5"/>
  <c r="H44" i="5"/>
  <c r="H43" i="5"/>
  <c r="H42" i="5"/>
  <c r="H39" i="5"/>
  <c r="H38" i="5"/>
  <c r="H6" i="5"/>
  <c r="H7" i="5"/>
  <c r="H20" i="5"/>
  <c r="H22" i="5" s="1"/>
  <c r="H11" i="5"/>
  <c r="H66" i="3"/>
  <c r="H75" i="3"/>
  <c r="H74" i="3"/>
  <c r="H71" i="3"/>
  <c r="H67" i="3"/>
  <c r="H65" i="3"/>
  <c r="H61" i="3"/>
  <c r="H48" i="3"/>
  <c r="H34" i="3"/>
  <c r="H28" i="3"/>
  <c r="H20" i="3"/>
  <c r="H19" i="3"/>
  <c r="H42" i="3"/>
  <c r="H57" i="3" l="1"/>
  <c r="J66" i="26"/>
  <c r="C68" i="26" s="1"/>
  <c r="F45" i="16"/>
  <c r="F46" i="16" s="1"/>
  <c r="F44" i="16"/>
  <c r="F40" i="16"/>
  <c r="F39" i="16"/>
  <c r="F41" i="16" s="1"/>
  <c r="F35" i="16"/>
  <c r="F34" i="16"/>
  <c r="F33" i="16"/>
  <c r="F29" i="16"/>
  <c r="F30" i="16" s="1"/>
  <c r="F24" i="16"/>
  <c r="F23" i="16"/>
  <c r="F22" i="16"/>
  <c r="F25" i="16" s="1"/>
  <c r="F14" i="16"/>
  <c r="F5" i="16"/>
  <c r="F13" i="16"/>
  <c r="F12" i="16"/>
  <c r="F9" i="16"/>
  <c r="F8" i="16"/>
  <c r="F7" i="16"/>
  <c r="F50" i="16"/>
  <c r="F49" i="16"/>
  <c r="F47" i="16" s="1"/>
  <c r="F36" i="16" l="1"/>
  <c r="F10" i="16"/>
  <c r="F31" i="16"/>
  <c r="D29" i="1" s="1"/>
  <c r="F20" i="16"/>
  <c r="D28" i="1" s="1"/>
  <c r="F15" i="16"/>
  <c r="F3" i="16" l="1"/>
  <c r="F2" i="16" s="1"/>
  <c r="C11" i="1" s="1"/>
  <c r="D27" i="1" l="1"/>
  <c r="H93" i="5"/>
  <c r="H83" i="5"/>
  <c r="H80" i="5"/>
  <c r="H74" i="5"/>
  <c r="H71" i="5" s="1"/>
  <c r="H70" i="5"/>
  <c r="H63" i="5"/>
  <c r="H59" i="5"/>
  <c r="H53" i="5"/>
  <c r="H12" i="5"/>
  <c r="H8" i="5"/>
  <c r="H40" i="5"/>
  <c r="H3" i="5" s="1"/>
  <c r="H45" i="5"/>
  <c r="H97" i="5"/>
  <c r="H96" i="5"/>
  <c r="H46" i="5" l="1"/>
  <c r="H94" i="5"/>
  <c r="D26" i="1"/>
  <c r="D25" i="1"/>
  <c r="H2" i="5" l="1"/>
  <c r="C10" i="1" s="1"/>
  <c r="D24" i="1"/>
  <c r="H17" i="3"/>
  <c r="H26" i="3"/>
  <c r="H29" i="3"/>
  <c r="H62" i="3"/>
  <c r="H68" i="3"/>
  <c r="H30" i="3" s="1"/>
  <c r="H72" i="3"/>
  <c r="H76" i="3"/>
  <c r="H79" i="3"/>
  <c r="H83" i="3"/>
  <c r="H82" i="3"/>
  <c r="H69" i="3" l="1"/>
  <c r="D23" i="1" s="1"/>
  <c r="D22" i="1"/>
  <c r="H80" i="3"/>
  <c r="H3" i="3"/>
  <c r="I34" i="2"/>
  <c r="I33" i="2"/>
  <c r="I32" i="2"/>
  <c r="F6" i="2"/>
  <c r="F7" i="2"/>
  <c r="F16" i="2"/>
  <c r="F19" i="2"/>
  <c r="F20" i="2" s="1"/>
  <c r="F23" i="2"/>
  <c r="F69" i="2"/>
  <c r="F68" i="2"/>
  <c r="F64" i="2"/>
  <c r="F63" i="2"/>
  <c r="F59" i="2"/>
  <c r="F58" i="2"/>
  <c r="F57" i="2"/>
  <c r="F51" i="2"/>
  <c r="F50" i="2"/>
  <c r="F46" i="2"/>
  <c r="F45" i="2"/>
  <c r="F44" i="2"/>
  <c r="F43" i="2"/>
  <c r="F38" i="2"/>
  <c r="F37" i="2"/>
  <c r="F26" i="2"/>
  <c r="F27" i="2" s="1"/>
  <c r="J34" i="2" l="1"/>
  <c r="F34" i="2"/>
  <c r="F35" i="2" s="1"/>
  <c r="D21" i="1"/>
  <c r="H2" i="3"/>
  <c r="C9" i="1" s="1"/>
  <c r="F66" i="2"/>
  <c r="F47" i="2"/>
  <c r="F8" i="2"/>
  <c r="F3" i="2" s="1"/>
  <c r="F53" i="2"/>
  <c r="F39" i="2"/>
  <c r="J32" i="2"/>
  <c r="F65" i="2"/>
  <c r="F60" i="2"/>
  <c r="F54" i="2" l="1"/>
  <c r="D20" i="1" s="1"/>
  <c r="D18" i="1"/>
  <c r="F28" i="2"/>
  <c r="D19" i="1" s="1"/>
  <c r="F2" i="2" l="1"/>
  <c r="C8" i="1" s="1"/>
  <c r="C12" i="1" l="1"/>
  <c r="C13" i="1" s="1"/>
</calcChain>
</file>

<file path=xl/sharedStrings.xml><?xml version="1.0" encoding="utf-8"?>
<sst xmlns="http://schemas.openxmlformats.org/spreadsheetml/2006/main" count="888" uniqueCount="507">
  <si>
    <t>Project Name:</t>
  </si>
  <si>
    <t>Revision:</t>
  </si>
  <si>
    <t>MAX POINTS</t>
  </si>
  <si>
    <t>SCORING POINTS</t>
  </si>
  <si>
    <t>REMARKS</t>
  </si>
  <si>
    <t>WHOLE LIFE CARBON</t>
  </si>
  <si>
    <t>Health&amp;Wellbeing</t>
  </si>
  <si>
    <t>Whole Life Carbon</t>
  </si>
  <si>
    <t>Resilience</t>
  </si>
  <si>
    <t>Intelligence</t>
  </si>
  <si>
    <t>Maintainability</t>
  </si>
  <si>
    <t>SUMMARY</t>
  </si>
  <si>
    <t>GM Ref No.</t>
  </si>
  <si>
    <t>TOTAL</t>
  </si>
  <si>
    <t>CRITERIA</t>
  </si>
  <si>
    <t>Re1</t>
  </si>
  <si>
    <t>Re2</t>
  </si>
  <si>
    <t>Re3</t>
  </si>
  <si>
    <t>Cn1</t>
  </si>
  <si>
    <t>Cn2</t>
  </si>
  <si>
    <t>Cn3</t>
  </si>
  <si>
    <t>Hw1</t>
  </si>
  <si>
    <t>Hw2</t>
  </si>
  <si>
    <t>Hw3</t>
  </si>
  <si>
    <t>In1</t>
  </si>
  <si>
    <t>In2</t>
  </si>
  <si>
    <t>In3</t>
  </si>
  <si>
    <t>Protect</t>
  </si>
  <si>
    <t>Manage</t>
  </si>
  <si>
    <t>Carbon</t>
  </si>
  <si>
    <t>Construction</t>
  </si>
  <si>
    <t>Fit Out</t>
  </si>
  <si>
    <t>Physiological</t>
  </si>
  <si>
    <t>Psychological</t>
  </si>
  <si>
    <t>Sociological</t>
  </si>
  <si>
    <t>Integrated</t>
  </si>
  <si>
    <t>Data Driven</t>
  </si>
  <si>
    <t>Responsive</t>
  </si>
  <si>
    <t>Restore</t>
  </si>
  <si>
    <t>CORRESPONDING GM SCORE</t>
  </si>
  <si>
    <t>CRITERIA FOR RESILIENCE SECTION</t>
  </si>
  <si>
    <t>Data Input</t>
  </si>
  <si>
    <t>Input Required</t>
  </si>
  <si>
    <t>Available points for New Buildings</t>
  </si>
  <si>
    <t>Points Scored</t>
  </si>
  <si>
    <t>Remarks</t>
  </si>
  <si>
    <t xml:space="preserve">RE1 </t>
  </si>
  <si>
    <t>PROTECT</t>
  </si>
  <si>
    <t xml:space="preserve">Conservation </t>
  </si>
  <si>
    <t xml:space="preserve">RE1.1a </t>
  </si>
  <si>
    <t>Habitat and Ecology</t>
  </si>
  <si>
    <t>(i)</t>
  </si>
  <si>
    <t>Comprehensive EIA to identify design measures to mitigate negative impacts (climate change &amp; ecological systems) to site environment.</t>
  </si>
  <si>
    <t>Y/N</t>
  </si>
  <si>
    <t>1 point</t>
  </si>
  <si>
    <t>(ii)</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</si>
  <si>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</si>
  <si>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</si>
  <si>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</si>
  <si>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</si>
  <si>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</si>
  <si>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</si>
  <si>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</si>
  <si>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</si>
  <si>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</si>
  <si>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</si>
  <si>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</si>
  <si>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Input (%)</t>
  </si>
  <si>
    <t>SUB-TOTAL FOR RE 1.1 b</t>
  </si>
  <si>
    <t>Urban Heat Island (UHI)</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</si>
  <si>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</si>
  <si>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</si>
  <si>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</si>
  <si>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</si>
  <si>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Urban Heat Island Mitigation</t>
  </si>
  <si>
    <t>To demonstrate the UHI mitigation measures via the site coverage at plan view:-
a) ≥ 50% demonstrating mitigation measures (0.5 pt)
b) ≥ 80% demonstrating mitigation measures (1 pt)</t>
  </si>
  <si>
    <t>SUB-TOTAL FOR RE 1.2 b</t>
  </si>
  <si>
    <t>Contextual Response</t>
  </si>
  <si>
    <t>Response to Site Context</t>
  </si>
  <si>
    <t>Site analysis, simulation and studies to demonstrate how site topography, microclimate, access &amp; connectivity has informed the development of building design.</t>
  </si>
  <si>
    <t>SUB-TOTAL FOR RE 1.3 (Max 2 pts)</t>
  </si>
  <si>
    <t>RE2</t>
  </si>
  <si>
    <t>MANAGE</t>
  </si>
  <si>
    <t>Leadership</t>
  </si>
  <si>
    <t>Project Team</t>
  </si>
  <si>
    <t>Appointment of accredited environmentalist specialists to drive and coordinate the environmental design approach.</t>
  </si>
  <si>
    <t>No. of Certified GM AP</t>
  </si>
  <si>
    <t>Input (#)</t>
  </si>
  <si>
    <t>0.25 pts/GM AP &amp; 0.5 pts /GM AAP 
(Capped at 0.5 pts)</t>
  </si>
  <si>
    <t>No. of Certified GM AAP</t>
  </si>
  <si>
    <t>No. of firms certified under SGBC's SGBS certification or SIFMA's CFMC accreditation scheme.</t>
  </si>
  <si>
    <t>0.25 pts/firm 
(Capped at 0.5 pts)</t>
  </si>
  <si>
    <t>SUB-TOTAL FOR RE 2.1 a (Capped at 1 point)</t>
  </si>
  <si>
    <t>Procurement</t>
  </si>
  <si>
    <t>SUB-TOTAL FOR RE 2.1 b</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</si>
  <si>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</si>
  <si>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</si>
  <si>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</si>
  <si>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</si>
  <si>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</si>
  <si>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</si>
  <si>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</si>
  <si>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(iii)</t>
  </si>
  <si>
    <t>Waste audit &amp; engagement:-
a) Conduct annual waste audit to identify areas of wastage
b) Conduct waste management/3R training for staff/tenants/cleaners at least  twice a year</t>
  </si>
  <si>
    <t>SUB-TOTAL FOR RE 2.2 (Capped at 1 point)</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</si>
  <si>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</si>
  <si>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</si>
  <si>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</si>
  <si>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</si>
  <si>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</si>
  <si>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r>
      <rPr>
        <sz val="12"/>
        <rFont val="Calibri"/>
        <family val="2"/>
        <scheme val="minor"/>
      </rPr>
      <t>N.A</t>
    </r>
    <r>
      <rPr>
        <b/>
        <sz val="12"/>
        <rFont val="Calibri"/>
        <family val="2"/>
        <scheme val="minor"/>
      </rPr>
      <t>.</t>
    </r>
  </si>
  <si>
    <t>SUB-TOTAL FOR RE 2.3</t>
  </si>
  <si>
    <t>RE3</t>
  </si>
  <si>
    <t>RESTORE</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</si>
  <si>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</si>
  <si>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</si>
  <si>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</si>
  <si>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</si>
  <si>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</si>
  <si>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</si>
  <si>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</si>
  <si>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</si>
  <si>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</si>
  <si>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</si>
  <si>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</si>
  <si>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</si>
  <si>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</si>
  <si>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</si>
  <si>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</si>
  <si>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</si>
  <si>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</si>
  <si>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</si>
  <si>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t>
  </si>
  <si>
    <t>Sub-total</t>
  </si>
  <si>
    <t>Max 0.5 pt</t>
  </si>
  <si>
    <r>
      <t xml:space="preserve">Adoption of Sustainable or Green Procurement Policy for:-
- </t>
    </r>
    <r>
      <rPr>
        <b/>
        <sz val="12"/>
        <color theme="1"/>
        <rFont val="Calibri"/>
        <family val="2"/>
        <scheme val="minor"/>
      </rPr>
      <t>New Non-Residential Buildings</t>
    </r>
  </si>
  <si>
    <r>
      <t xml:space="preserve">Adoption of Energy Performance Contract (EPC) by accredited EPC firm for 
- </t>
    </r>
    <r>
      <rPr>
        <b/>
        <sz val="12"/>
        <color theme="1"/>
        <rFont val="Calibri"/>
        <family val="2"/>
        <scheme val="minor"/>
      </rPr>
      <t>New Non-Residential Buildings.</t>
    </r>
  </si>
  <si>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</si>
  <si>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CN1</t>
  </si>
  <si>
    <t>Whole Life Carbon (WLC) Assessment</t>
  </si>
  <si>
    <t>Whole Life carbon assessment consistent with EN 15978  and EN 15804</t>
  </si>
  <si>
    <t xml:space="preserve">Minimum Scope Requirement of WLC Assessment </t>
  </si>
  <si>
    <t>Embodied Carbon Computation</t>
  </si>
  <si>
    <t xml:space="preserve">(i) </t>
  </si>
  <si>
    <t xml:space="preserve">(ii) </t>
  </si>
  <si>
    <t>(Reference values based on A1-A4 emissions for superstructure)</t>
  </si>
  <si>
    <t>2030 Transition Plan</t>
  </si>
  <si>
    <t>Carbon and Energy transition plan - delineates steps to deliver a net zero carbon building from 2030 for the asset under assessment, based on scope 1 and 2 emissions</t>
  </si>
  <si>
    <t>CONSTRUCTION</t>
  </si>
  <si>
    <t>Sustainable Construction</t>
  </si>
  <si>
    <t>Use of sustainable construction materials and methods to reduce environmental impacts of the construction phase</t>
  </si>
  <si>
    <t>Design with low CUI</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</si>
  <si>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</si>
  <si>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</si>
  <si>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</si>
  <si>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</si>
  <si>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</si>
  <si>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</si>
  <si>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</si>
  <si>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Sustainable Products and Finishes</t>
  </si>
  <si>
    <t>CN2.3</t>
  </si>
  <si>
    <t>Conservation, Resource Recovery and Waste Management</t>
  </si>
  <si>
    <t>Existing structures are conserved and not demolished</t>
  </si>
  <si>
    <t xml:space="preserve">(iii) </t>
  </si>
  <si>
    <t>Appointment of environmental specialists during construction stage – The main builder is a BCA Green and Gracious Builder with Merit or above rating and has ISO14001 certification.</t>
  </si>
  <si>
    <t>CN3</t>
  </si>
  <si>
    <t>FIT OUT</t>
  </si>
  <si>
    <t>CN3.1</t>
  </si>
  <si>
    <t>Green Lease</t>
  </si>
  <si>
    <t>CN3.2</t>
  </si>
  <si>
    <t>Fit Out Products</t>
  </si>
  <si>
    <t>CN3.3</t>
  </si>
  <si>
    <t>Tenancy Offset</t>
  </si>
  <si>
    <t>INNOVATION</t>
  </si>
  <si>
    <r>
      <t xml:space="preserve">≥ 60% (by cost) of Mechanical, Electrical and Plumbing (MEP) systems are SGBP certified (or equivalent)  administered by local certification bodies
</t>
    </r>
    <r>
      <rPr>
        <b/>
        <sz val="12"/>
        <rFont val="Calibri"/>
        <family val="2"/>
        <scheme val="minor"/>
      </rPr>
      <t>At least 3 MEP systems</t>
    </r>
  </si>
  <si>
    <t>Minimum scope of WLC Assessment</t>
  </si>
  <si>
    <t>Building elements to be included</t>
  </si>
  <si>
    <t>1. Substructure</t>
  </si>
  <si>
    <t>2. Superstructure</t>
  </si>
  <si>
    <t>1. Product Stage [A1-A3]</t>
  </si>
  <si>
    <t>2. Construction Stage [A4-A5]</t>
  </si>
  <si>
    <t>3. Maintenance Stage [B2] Façade</t>
  </si>
  <si>
    <t>4. Replacement Stage [B4] ACMV</t>
  </si>
  <si>
    <t>5. Operational Energy [B6]</t>
  </si>
  <si>
    <t>Lifecycle stages to be included</t>
  </si>
  <si>
    <t>Non-Residential</t>
  </si>
  <si>
    <t>Residential</t>
  </si>
  <si>
    <t>Industrial</t>
  </si>
  <si>
    <t>Reference Values
(kgCO2e/m2)</t>
  </si>
  <si>
    <t>CN1.1a</t>
  </si>
  <si>
    <t>(iv)</t>
  </si>
  <si>
    <t>(v)</t>
  </si>
  <si>
    <t>(vi)</t>
  </si>
  <si>
    <t>(vii)</t>
  </si>
  <si>
    <t>CN1.1b</t>
  </si>
  <si>
    <t>CUI</t>
  </si>
  <si>
    <t>≤ 0.35</t>
  </si>
  <si>
    <t>≤ 0.45</t>
  </si>
  <si>
    <t>Adoption of sustainable building system</t>
  </si>
  <si>
    <t>≥ 55% of CFA</t>
  </si>
  <si>
    <t>≥ 50% of CFA</t>
  </si>
  <si>
    <t>3 points</t>
  </si>
  <si>
    <t>Capped at 1 point</t>
  </si>
  <si>
    <t>0.5 points</t>
  </si>
  <si>
    <r>
      <t>Total concrete use for superstructure (m</t>
    </r>
    <r>
      <rPr>
        <vertAlign val="superscript"/>
        <sz val="12"/>
        <color theme="1"/>
        <rFont val="Calibri"/>
        <family val="2"/>
        <scheme val="minor"/>
      </rPr>
      <t>3</t>
    </r>
    <r>
      <rPr>
        <sz val="12"/>
        <color theme="1"/>
        <rFont val="Calibri"/>
        <family val="2"/>
        <scheme val="minor"/>
      </rPr>
      <t>)</t>
    </r>
  </si>
  <si>
    <t>Cost/Area</t>
  </si>
  <si>
    <t xml:space="preserve">1 point for (a)
2 points for (b)
3 points for (c)  </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</si>
  <si>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</si>
  <si>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Projects can demonstrate substantial performance to a specific Carbon indicator or outcome innovation points can be awarded on a case by case basis. Points shall be awarded based on the strength of evidence of benefits and potential impact.</t>
  </si>
  <si>
    <t>SUB-TOTAL FOR CN 1.1b</t>
  </si>
  <si>
    <t>SUB-TOTAL FOR CN 1.1a</t>
  </si>
  <si>
    <t>SUB-TOTAL FOR CN 1.2</t>
  </si>
  <si>
    <t>SUB-TOTAL FOR CN 2.1</t>
  </si>
  <si>
    <t>SUB-TOTAL FOR CN 2.2</t>
  </si>
  <si>
    <t>0.25 points / tick</t>
  </si>
  <si>
    <t>SUB-TOTAL FOR CN 2.3</t>
  </si>
  <si>
    <t>SUB-TOTAL FOR CN 3.1</t>
  </si>
  <si>
    <t>SUB-TOTAL FOR CN 3.2</t>
  </si>
  <si>
    <t>SUB-TOTAL FOR CN 3.3</t>
  </si>
  <si>
    <t>CRITERIA FOR WHOLE LIFE CARBON SECTION</t>
  </si>
  <si>
    <t>CRITERIA FOR HEALTH &amp; WELLBEING SECTION</t>
  </si>
  <si>
    <t>HW1</t>
  </si>
  <si>
    <t>HW1.1</t>
  </si>
  <si>
    <t>Active Movement Design</t>
  </si>
  <si>
    <t>Health &amp; Wellbeing</t>
  </si>
  <si>
    <t>HW1.1a</t>
  </si>
  <si>
    <t>Active Mobility</t>
  </si>
  <si>
    <t>Input (#) kg CO2e/m2</t>
  </si>
  <si>
    <t>Active Interior</t>
  </si>
  <si>
    <t>HW1.1b</t>
  </si>
  <si>
    <t>Material Emissions</t>
  </si>
  <si>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</si>
  <si>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HW1.2</t>
  </si>
  <si>
    <t>Table HW 1.2.1</t>
  </si>
  <si>
    <t>Material Emissions Requirements for non SGBC 4 tick labelled products</t>
  </si>
  <si>
    <t>For products, finishes and furnishings</t>
  </si>
  <si>
    <t>Paints, Varnishes, lacquers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</si>
  <si>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</si>
  <si>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</si>
  <si>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</si>
  <si>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t>HW1.3</t>
  </si>
  <si>
    <t>Air Quality and Comfort</t>
  </si>
  <si>
    <t>HW1.3a</t>
  </si>
  <si>
    <t>Thermal Comfort</t>
  </si>
  <si>
    <t>HW1.3b</t>
  </si>
  <si>
    <t>Outdoor Air Provision (Not applicable to Residential Buildings)</t>
  </si>
  <si>
    <t>HW1.3c</t>
  </si>
  <si>
    <t>Clean Air</t>
  </si>
  <si>
    <t>UVGI system for air disinfection</t>
  </si>
  <si>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</si>
  <si>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HW2</t>
  </si>
  <si>
    <t>HW2.1</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</si>
  <si>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</si>
  <si>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</si>
  <si>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</si>
  <si>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</si>
  <si>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HW2.2</t>
  </si>
  <si>
    <t>Circadian Rhythm</t>
  </si>
  <si>
    <t xml:space="preserve">Access to Nature
</t>
  </si>
  <si>
    <t>Direct connection to plants, water, light or nature views; Indirect connection via natural materials, patterns, art; Placement of natural elements along common circulation routes, shared seating areas, workstations</t>
  </si>
  <si>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</si>
  <si>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t>HW2.3</t>
  </si>
  <si>
    <t>Sound</t>
  </si>
  <si>
    <t>HW2.3a</t>
  </si>
  <si>
    <t>HW2.3b</t>
  </si>
  <si>
    <t>Interior Acoustic Comfort</t>
  </si>
  <si>
    <t>HW3</t>
  </si>
  <si>
    <t>HW3.1</t>
  </si>
  <si>
    <t>Inclusive</t>
  </si>
  <si>
    <t>HW3.2</t>
  </si>
  <si>
    <t>Communal Spaces</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</si>
  <si>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</si>
  <si>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</si>
  <si>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t>HW3.2a</t>
  </si>
  <si>
    <t>Provision of community spaces and facilities, within the development, including physical exercise facilities, playgrounds, communal gardens/allotments/sensory spaces</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</si>
  <si>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</si>
  <si>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</si>
  <si>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</si>
  <si>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HW3.3</t>
  </si>
  <si>
    <t>Health and Wellness programmes</t>
  </si>
  <si>
    <t>HW3.3a</t>
  </si>
  <si>
    <t>HW3.3b</t>
  </si>
  <si>
    <t>Physical Activity and Mental Wellness Programmes</t>
  </si>
  <si>
    <t>Healthy Eating &amp; Drinking</t>
  </si>
  <si>
    <t>Create a healthy food environment through provision of facilities, programmes and policies</t>
  </si>
  <si>
    <t>On site eateries with HPB’s healthier dining programme</t>
  </si>
  <si>
    <t>Corporate policies on healthy eating including catering procurement policies.</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</si>
  <si>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</si>
  <si>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</si>
  <si>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0.5 points for (a)
1 point for (b)</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</si>
  <si>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</si>
  <si>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</si>
  <si>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1 point for (a)
0.5 points for (b)</t>
  </si>
  <si>
    <t>A/B</t>
  </si>
  <si>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</si>
  <si>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Points shall be awarded based on the strength of evidence of benefits and potential impact.  
Please do a self scoring for each Innovation &amp; input either 0.5, 1, 1.5 &amp; 2 points.
(Capped at 2 points)</t>
  </si>
  <si>
    <t>Sub-Total for HW1.1a</t>
  </si>
  <si>
    <t>Sub-Total for HW1.1b</t>
  </si>
  <si>
    <t>Sub-Total for HW1.2</t>
  </si>
  <si>
    <t>Sub-Total for HW1.3a</t>
  </si>
  <si>
    <t>Sub-Total for HW1.3b</t>
  </si>
  <si>
    <t>Sub-Total for HW1.3c</t>
  </si>
  <si>
    <t>Sub-Total for HW2.1</t>
  </si>
  <si>
    <t>Sub-Total for HW2.2</t>
  </si>
  <si>
    <t>Sub-Total for HW2.3a</t>
  </si>
  <si>
    <t>Sub-Total for HW2.3b</t>
  </si>
  <si>
    <t>Sub-Total for HW3.1</t>
  </si>
  <si>
    <t>Sub-Total for HW3.2a</t>
  </si>
  <si>
    <t>Sub-Total for HW3.2b</t>
  </si>
  <si>
    <t>Sub-Total for HW3.3a</t>
  </si>
  <si>
    <t>Sub-Total for HW3.3b</t>
  </si>
  <si>
    <t>Innovation</t>
  </si>
  <si>
    <t>w/o Bonus</t>
  </si>
  <si>
    <t>Bonus Points</t>
  </si>
  <si>
    <t>CRITERIA FOR INTELLIGENCE SECTION</t>
  </si>
  <si>
    <t>Digital Life Cycle</t>
  </si>
  <si>
    <t>IN 1</t>
  </si>
  <si>
    <t>IN 1.1</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</si>
  <si>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</si>
  <si>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</si>
  <si>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</si>
  <si>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</si>
  <si>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</si>
  <si>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IN 1.2</t>
  </si>
  <si>
    <t>Common Data Environment</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</si>
  <si>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</si>
  <si>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</si>
  <si>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</si>
  <si>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1.1</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</si>
  <si>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</si>
  <si>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</si>
  <si>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</si>
  <si>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</si>
  <si>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</si>
  <si>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</si>
  <si>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1.2</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</si>
  <si>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</si>
  <si>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</si>
  <si>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</si>
  <si>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</si>
  <si>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</si>
  <si>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</si>
  <si>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</si>
  <si>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</si>
  <si>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</si>
  <si>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</si>
  <si>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</si>
  <si>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</si>
  <si>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</si>
  <si>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</si>
  <si>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</si>
  <si>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</si>
  <si>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</si>
  <si>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</si>
  <si>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</si>
  <si>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</si>
  <si>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</si>
  <si>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</si>
  <si>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</si>
  <si>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</si>
  <si>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</si>
  <si>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 no. 2:</t>
  </si>
  <si>
    <t>PHYSIOLOGICAL</t>
  </si>
  <si>
    <t>PSYCHOLOGICAL</t>
  </si>
  <si>
    <t>SOCIOLOGICAL</t>
  </si>
  <si>
    <t xml:space="preserve">RE1.1 </t>
  </si>
  <si>
    <t>RE1.2</t>
  </si>
  <si>
    <t>RE1.3</t>
  </si>
  <si>
    <t>RE2.1</t>
  </si>
  <si>
    <t>RE2.1b</t>
  </si>
  <si>
    <t>RE2.1a</t>
  </si>
  <si>
    <t>RE1.2a</t>
  </si>
  <si>
    <t>RE1.2b</t>
  </si>
  <si>
    <t>RE2.2</t>
  </si>
  <si>
    <t>RE2.3</t>
  </si>
  <si>
    <t>RE3.1</t>
  </si>
  <si>
    <t>RE3.2</t>
  </si>
  <si>
    <t>CN1.1</t>
  </si>
  <si>
    <t>CN1.2</t>
  </si>
  <si>
    <t>CN2</t>
  </si>
  <si>
    <t>CN2.1</t>
  </si>
  <si>
    <t>CN2.2</t>
  </si>
  <si>
    <t>(a) &gt;10% Reduction from the reference embodied carbon (for Concrete, Glass and Steel)
(b) &gt;30% Reduction from the reference embodied carbon (for Concrete, Glass and Steel)</t>
  </si>
  <si>
    <t>1 point for (a)
2 points for (b)</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</si>
  <si>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</si>
  <si>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</si>
  <si>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</si>
  <si>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0.5 points for (a) 
OR
1 point for (b)</t>
  </si>
  <si>
    <r>
      <rPr>
        <b/>
        <sz val="12"/>
        <color theme="1"/>
        <rFont val="Calibri"/>
        <family val="2"/>
        <scheme val="minor"/>
      </rPr>
      <t>Periodic (Post) Occupancy Evaluation</t>
    </r>
    <r>
      <rPr>
        <sz val="12"/>
        <color theme="1"/>
        <rFont val="Calibri"/>
        <family val="2"/>
        <scheme val="minor"/>
      </rPr>
      <t xml:space="preserve">
At least once every 3 years </t>
    </r>
  </si>
  <si>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</si>
  <si>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Controls should provide the logic to modify the operation of the VAV box, FCU, Passive Displacement System coil temperature, Ceiling fan speed or other system employed, which will adjust thermal comfort in that zone.</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</si>
  <si>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</si>
  <si>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</si>
  <si>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</si>
  <si>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t>CRITERIA FOR MAINTAINABILITY SECTION</t>
  </si>
  <si>
    <t>1.5</t>
  </si>
  <si>
    <t>1.6</t>
  </si>
  <si>
    <t>1.7</t>
  </si>
  <si>
    <t>TOTAL Maintainability Section Points Scored</t>
  </si>
  <si>
    <t>Maintainability Prorated Points</t>
  </si>
  <si>
    <t>Total No. of Pre-Requisites Not Complied</t>
  </si>
  <si>
    <t>TOTAL Maintainability Section Points Scored After Pro-rating</t>
  </si>
  <si>
    <t>w Bonus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</si>
  <si>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</si>
  <si>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</si>
  <si>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</si>
  <si>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</si>
  <si>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</si>
  <si>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</si>
  <si>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</si>
  <si>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</si>
  <si>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</si>
  <si>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</si>
  <si>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</si>
  <si>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</si>
  <si>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</si>
  <si>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</si>
  <si>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</si>
  <si>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</si>
  <si>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</si>
  <si>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</si>
  <si>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CRITERIA FOR ENERGY EFFICIENCY SECTION</t>
  </si>
  <si>
    <t>ENERGY EFFICIENCY</t>
  </si>
  <si>
    <t>Building supplied by District Cooling System?</t>
  </si>
  <si>
    <t>PATHWAY 1 - EUI</t>
  </si>
  <si>
    <t>PATHWAY 2 - FIXED METRICS</t>
  </si>
  <si>
    <t>Energy Usage Intensity</t>
  </si>
  <si>
    <t>Non AC Areas</t>
  </si>
  <si>
    <t>Lighting Power Budget</t>
  </si>
  <si>
    <t xml:space="preserve">Mechanical Ventilation </t>
  </si>
  <si>
    <t>Integrated Energy Management &amp; control Systems</t>
  </si>
  <si>
    <r>
      <t xml:space="preserve">On-Site Renewables - </t>
    </r>
    <r>
      <rPr>
        <i/>
        <sz val="12"/>
        <color theme="1"/>
        <rFont val="Calibri"/>
        <family val="2"/>
        <scheme val="minor"/>
      </rPr>
      <t>replacement to make up any deficiencies from the above list, with safety factor</t>
    </r>
  </si>
  <si>
    <r>
      <t xml:space="preserve">Air side efficiency (kW/RT)
</t>
    </r>
    <r>
      <rPr>
        <i/>
        <sz val="12"/>
        <color theme="1"/>
        <rFont val="Calibri"/>
        <family val="2"/>
        <scheme val="minor"/>
      </rPr>
      <t>(for buildings with DCS)</t>
    </r>
  </si>
  <si>
    <t>Reduced Heat Gain (ETTV)</t>
  </si>
  <si>
    <t>(viii)</t>
  </si>
  <si>
    <t>a) Lighting controls provided in accordance with SS 530: 2014 Code of Practice for Energy Efficiency Standard for Building Services and Equipment.</t>
  </si>
  <si>
    <t>d) A control device shall be installed in every guestroom for the purpose of automatically switching off the lighting and reducing the air conditioning loads when a guestroom is not occupied.</t>
  </si>
  <si>
    <t>c) Automatic controls for the air-conditioning system to respond to  periods of non-use, or reduced heat load.</t>
  </si>
  <si>
    <t>b) Energy consumption monitoring and benchmarking system</t>
  </si>
  <si>
    <t>Three Phase (no. of ticks)</t>
  </si>
  <si>
    <t>Single Phase (no. of ticks)</t>
  </si>
  <si>
    <t>a) ACMV TSE</t>
  </si>
  <si>
    <t>b) ACMV (Unitary)</t>
  </si>
  <si>
    <t>PATHWAY 3 - ENERGY SAVINGS</t>
  </si>
  <si>
    <t>Saving from BAU (2005 Code)</t>
  </si>
  <si>
    <t>Saving from Current Reference (2005 Code)</t>
  </si>
  <si>
    <t>EUI (kWh/m2/yr)</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</si>
  <si>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</si>
  <si>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</si>
  <si>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r>
      <t>Control zones should not exceed 100m</t>
    </r>
    <r>
      <rPr>
        <vertAlign val="superscript"/>
        <sz val="12"/>
        <color theme="1"/>
        <rFont val="Calibri"/>
        <family val="2"/>
        <scheme val="minor"/>
      </rPr>
      <t>2</t>
    </r>
  </si>
  <si>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</si>
  <si>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</si>
  <si>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</si>
  <si>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</si>
  <si>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</si>
  <si>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Sound Zoning Design Approach</t>
  </si>
  <si>
    <t>Implement acoustic control measures to minimise acoustic discomfort internally.</t>
  </si>
  <si>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</si>
  <si>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</si>
  <si>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</si>
  <si>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Ensuring lighting is aligned with circadian rhythm with day-night cycle with access to views to the outside</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</si>
  <si>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</si>
  <si>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</si>
  <si>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CN1.1(A) will be excluded from scoring under CN 1.1(B)(i) </t>
    </r>
  </si>
  <si>
    <t>SGBP 2 ticks/ SGBP 3 ticks/SGBP 4 ticks green building products or equivalent administered by local certification bodies</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</si>
  <si>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</si>
  <si>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r>
      <t xml:space="preserve">Replacement level of coarse aggregate with RCA </t>
    </r>
    <r>
      <rPr>
        <sz val="12"/>
        <color theme="1"/>
        <rFont val="Calibri"/>
        <family val="2"/>
      </rPr>
      <t>≥ 20%</t>
    </r>
  </si>
  <si>
    <t>Replacement level of fine aggregate with WCS used for superstructure ≥ 10%</t>
  </si>
  <si>
    <t>Replacement level of fine aggregate with GF used for superstructure ≥ 50%</t>
  </si>
  <si>
    <t>Minimum extent of usage of RCA ≥ 1.5% of GFA</t>
  </si>
  <si>
    <t>Minimum extent of usage of GF ≥ 1.5% of GFA</t>
  </si>
  <si>
    <t>To encourage conservation of existing building structure, recovery of demolished building materials for reuse and/or recycling and waste management</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</si>
  <si>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</si>
  <si>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</si>
  <si>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The strategies cover 
(a) at least 50% of regularly occupied functional spaces
(b) at least 90% of regularly occupied functional spaces</t>
  </si>
  <si>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</si>
  <si>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</si>
  <si>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</si>
  <si>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</si>
  <si>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</si>
  <si>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</si>
  <si>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</si>
  <si>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</si>
  <si>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</si>
  <si>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</si>
  <si>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</si>
  <si>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</si>
  <si>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</si>
  <si>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</si>
  <si>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Existing structures are demolished with an enhanced demolition protocol, where a recovery rate of ≥ 40% of crushed concrete waste from demolished building sent to approved recyclers with proper recycling facilities</t>
  </si>
  <si>
    <t>Total Number of Green Mark 2021 Points</t>
  </si>
  <si>
    <t>Attained Maintainability Badge?</t>
  </si>
  <si>
    <t>Max  Maintainability Points</t>
  </si>
  <si>
    <t>MAINTAINABILITY POINTS SCORED</t>
  </si>
  <si>
    <t>Important Note - Please use embedded Maintainability Section Scoresheet below to generate scoring</t>
  </si>
  <si>
    <r>
      <t xml:space="preserve">Minimum extent of usage of WCS </t>
    </r>
    <r>
      <rPr>
        <sz val="12"/>
        <color theme="1"/>
        <rFont val="Calibri"/>
        <family val="2"/>
      </rPr>
      <t>≤</t>
    </r>
    <r>
      <rPr>
        <sz val="12"/>
        <color theme="1"/>
        <rFont val="Calibri"/>
        <family val="2"/>
        <scheme val="minor"/>
      </rPr>
      <t xml:space="preserve"> 0.75% of GFA</t>
    </r>
  </si>
  <si>
    <t>Manual input of Points</t>
  </si>
  <si>
    <t>Bonus scored</t>
  </si>
  <si>
    <t>Points Scored from Embedded Scoresheet</t>
  </si>
  <si>
    <t>Reason for Certification</t>
  </si>
  <si>
    <r>
      <t xml:space="preserve">Certification through BCA Universal Design Mark
(A) UDi C Rating
(B) UDi A </t>
    </r>
    <r>
      <rPr>
        <sz val="12"/>
        <color theme="1"/>
        <rFont val="Calibri"/>
        <family val="2"/>
        <scheme val="minor"/>
      </rPr>
      <t xml:space="preserve">or </t>
    </r>
    <r>
      <rPr>
        <i/>
        <sz val="12"/>
        <color theme="1"/>
        <rFont val="Calibri"/>
        <family val="2"/>
        <scheme val="minor"/>
      </rPr>
      <t>B Rating</t>
    </r>
  </si>
  <si>
    <r>
      <rPr>
        <b/>
        <sz val="16"/>
        <color rgb="FF7030A0"/>
        <rFont val="Calibri"/>
        <family val="2"/>
        <scheme val="minor"/>
      </rPr>
      <t>1) Please ensure that this excel file is named as Green Mark 2021_Scoresheet (NRB).xlsx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</si>
  <si>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</si>
  <si>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</si>
  <si>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t>Space - Space utilisation and optimisation to adapt the building to cater for the occupancy, and to optimise the building services and spaces to adapt.</t>
  </si>
  <si>
    <t>GM International - New Non-Residential Buildings</t>
  </si>
  <si>
    <t>GM International ScoreCard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</si>
</sst>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u/>
      <sz val="16"/>
      <color rgb="FFFFCC99"/>
      <name val="Calibri"/>
      <family val="2"/>
      <scheme val="minor"/>
    </font>
    <font>
      <b/>
      <sz val="16"/>
      <color rgb="FF7030A0"/>
      <name val="Calibri"/>
      <family val="2"/>
      <scheme val="minor"/>
    </font>
    <font>
      <b/>
      <u/>
      <sz val="16"/>
      <color rgb="FF7030A0"/>
      <name val="Calibri"/>
      <family val="2"/>
      <scheme val="minor"/>
    </font>
    <font>
      <b/>
      <sz val="16"/>
      <color theme="5"/>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3" fillId="35" borderId="34" applyNumberFormat="0" applyAlignment="0" applyProtection="0"/>
  </cellStyleXfs>
  <cellXfs count="601">
    <xf numFmtId="0" fontId="0" fillId="0" borderId="0" xfId="0"/>
    <xf numFmtId="0" fontId="11" fillId="12" borderId="1" xfId="0" applyFont="1" applyFill="1" applyBorder="1" applyAlignment="1" applyProtection="1">
      <alignment horizontal="center" vertical="center"/>
      <protection locked="0"/>
    </xf>
    <xf numFmtId="0" fontId="11" fillId="12" borderId="2"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32" borderId="1" xfId="0" applyFont="1" applyFill="1" applyBorder="1" applyAlignment="1" applyProtection="1">
      <alignment horizontal="center" vertical="center"/>
      <protection locked="0"/>
    </xf>
    <xf numFmtId="0" fontId="4" fillId="0" borderId="0" xfId="0" applyFont="1" applyProtection="1"/>
    <xf numFmtId="0" fontId="0" fillId="0" borderId="0" xfId="0" applyProtection="1"/>
    <xf numFmtId="0" fontId="0" fillId="0" borderId="0" xfId="0" applyAlignment="1" applyProtection="1">
      <alignment horizontal="center"/>
    </xf>
    <xf numFmtId="0" fontId="0" fillId="0" borderId="0" xfId="0" applyProtection="1">
      <protection locked="0"/>
    </xf>
    <xf numFmtId="0" fontId="0" fillId="0" borderId="1" xfId="0" applyBorder="1" applyProtection="1">
      <protection locked="0"/>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vertical="center"/>
    </xf>
    <xf numFmtId="2" fontId="7" fillId="0" borderId="1" xfId="0" applyNumberFormat="1" applyFont="1" applyFill="1" applyBorder="1" applyAlignment="1" applyProtection="1">
      <alignment horizontal="center"/>
    </xf>
    <xf numFmtId="0" fontId="6" fillId="2" borderId="1" xfId="0" applyFont="1" applyFill="1" applyBorder="1" applyAlignment="1" applyProtection="1">
      <alignment horizontal="center" vertical="center" wrapText="1"/>
    </xf>
    <xf numFmtId="0" fontId="33" fillId="30" borderId="15" xfId="0" applyFont="1" applyFill="1" applyBorder="1" applyAlignment="1" applyProtection="1">
      <alignment horizontal="left"/>
    </xf>
    <xf numFmtId="0" fontId="33" fillId="30" borderId="0" xfId="0" applyFont="1" applyFill="1" applyAlignment="1" applyProtection="1">
      <alignment horizontal="left"/>
    </xf>
    <xf numFmtId="0" fontId="33" fillId="30" borderId="27" xfId="0" applyFont="1" applyFill="1" applyBorder="1" applyAlignment="1" applyProtection="1">
      <alignment horizontal="left"/>
    </xf>
    <xf numFmtId="0" fontId="33" fillId="30" borderId="11" xfId="0" applyFont="1" applyFill="1" applyBorder="1" applyAlignment="1" applyProtection="1">
      <alignment horizontal="center" wrapText="1"/>
    </xf>
    <xf numFmtId="0" fontId="33" fillId="30" borderId="12" xfId="0" applyFont="1" applyFill="1" applyBorder="1" applyAlignment="1" applyProtection="1">
      <alignment horizontal="center"/>
    </xf>
    <xf numFmtId="0" fontId="33" fillId="30" borderId="8" xfId="0" applyFont="1" applyFill="1" applyBorder="1" applyAlignment="1" applyProtection="1">
      <alignment horizontal="center"/>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5" fillId="0" borderId="1" xfId="0" applyFont="1" applyBorder="1" applyAlignment="1" applyProtection="1">
      <alignment vertical="center"/>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7" fillId="0" borderId="0" xfId="0" applyFont="1" applyProtection="1"/>
    <xf numFmtId="0" fontId="6" fillId="2" borderId="2" xfId="0" applyFont="1" applyFill="1" applyBorder="1" applyAlignment="1" applyProtection="1">
      <alignment horizontal="center"/>
    </xf>
    <xf numFmtId="0" fontId="8" fillId="3" borderId="1" xfId="0" applyFont="1" applyFill="1" applyBorder="1" applyAlignment="1" applyProtection="1">
      <alignment horizontal="center" vertical="center"/>
    </xf>
    <xf numFmtId="1" fontId="7" fillId="0" borderId="1" xfId="0" applyNumberFormat="1" applyFont="1" applyBorder="1" applyAlignment="1" applyProtection="1">
      <alignment horizontal="center"/>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1" xfId="0" applyBorder="1" applyProtection="1"/>
    <xf numFmtId="0" fontId="2" fillId="0" borderId="0" xfId="0" applyFont="1" applyProtection="1"/>
    <xf numFmtId="0" fontId="3" fillId="0" borderId="0" xfId="0" applyFont="1" applyProtection="1"/>
    <xf numFmtId="0" fontId="5" fillId="2" borderId="1" xfId="0" applyFont="1" applyFill="1" applyBorder="1" applyAlignment="1" applyProtection="1">
      <alignment horizontal="center" vertical="center" wrapText="1"/>
    </xf>
    <xf numFmtId="0" fontId="18" fillId="31" borderId="1" xfId="0" applyFont="1" applyFill="1" applyBorder="1" applyAlignment="1" applyProtection="1">
      <alignment vertical="center"/>
    </xf>
    <xf numFmtId="0" fontId="4" fillId="0" borderId="1" xfId="1" applyFont="1" applyBorder="1" applyAlignment="1" applyProtection="1">
      <alignment horizontal="justify" vertical="center" wrapText="1"/>
    </xf>
    <xf numFmtId="0" fontId="11" fillId="0" borderId="1" xfId="0" applyFont="1" applyBorder="1" applyAlignment="1" applyProtection="1">
      <alignment horizontal="center" vertical="center"/>
    </xf>
    <xf numFmtId="0" fontId="11" fillId="33" borderId="1" xfId="0" applyFont="1" applyFill="1" applyBorder="1" applyAlignment="1" applyProtection="1">
      <alignment vertical="center"/>
    </xf>
    <xf numFmtId="0" fontId="10" fillId="33" borderId="1" xfId="0" applyFont="1" applyFill="1" applyBorder="1" applyAlignment="1" applyProtection="1">
      <alignment vertical="center"/>
    </xf>
    <xf numFmtId="0" fontId="0" fillId="0" borderId="1" xfId="0" applyBorder="1" applyAlignment="1" applyProtection="1">
      <alignment horizontal="center" vertical="center"/>
    </xf>
    <xf numFmtId="0" fontId="4" fillId="0" borderId="1" xfId="0" applyFont="1" applyFill="1" applyBorder="1" applyProtection="1"/>
    <xf numFmtId="0" fontId="4" fillId="0" borderId="1" xfId="0" applyFont="1" applyBorder="1" applyAlignment="1" applyProtection="1">
      <alignment vertical="center"/>
    </xf>
    <xf numFmtId="0" fontId="11" fillId="0" borderId="1" xfId="0" applyFont="1" applyFill="1" applyBorder="1" applyAlignment="1" applyProtection="1">
      <alignment horizontal="center" vertical="center"/>
    </xf>
    <xf numFmtId="1" fontId="11" fillId="0" borderId="1" xfId="1"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quotePrefix="1" applyFont="1" applyBorder="1" applyAlignment="1" applyProtection="1">
      <alignment vertical="center" wrapText="1"/>
    </xf>
    <xf numFmtId="0" fontId="0" fillId="0" borderId="1" xfId="0" applyFill="1" applyBorder="1" applyAlignment="1" applyProtection="1">
      <alignment horizontal="center" vertical="center"/>
    </xf>
    <xf numFmtId="0" fontId="4" fillId="0" borderId="1" xfId="0" applyFont="1" applyBorder="1" applyAlignment="1" applyProtection="1">
      <alignment horizontal="justify" vertical="center" wrapText="1"/>
    </xf>
    <xf numFmtId="1" fontId="11" fillId="32"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xf>
    <xf numFmtId="0" fontId="10" fillId="15" borderId="1" xfId="0" applyFont="1" applyFill="1" applyBorder="1" applyAlignment="1" applyProtection="1">
      <alignment horizontal="center" vertical="center"/>
    </xf>
    <xf numFmtId="0" fontId="10" fillId="15" borderId="1" xfId="0" applyFont="1" applyFill="1" applyBorder="1" applyAlignment="1" applyProtection="1">
      <alignment horizontal="center" vertical="center" wrapText="1"/>
    </xf>
    <xf numFmtId="164" fontId="10" fillId="15" borderId="1" xfId="0" applyNumberFormat="1" applyFont="1" applyFill="1" applyBorder="1" applyAlignment="1" applyProtection="1">
      <alignment horizontal="center" vertical="center"/>
    </xf>
    <xf numFmtId="0" fontId="5" fillId="10" borderId="1" xfId="0" applyFont="1" applyFill="1" applyBorder="1" applyAlignment="1" applyProtection="1">
      <alignment horizontal="center" vertical="center"/>
    </xf>
    <xf numFmtId="0" fontId="9" fillId="10" borderId="7" xfId="0" applyFont="1" applyFill="1" applyBorder="1" applyAlignment="1" applyProtection="1">
      <alignment vertical="center" wrapText="1"/>
    </xf>
    <xf numFmtId="0" fontId="9" fillId="10" borderId="5" xfId="0" applyFont="1" applyFill="1" applyBorder="1" applyAlignment="1" applyProtection="1">
      <alignment vertical="center" wrapText="1"/>
    </xf>
    <xf numFmtId="0" fontId="9" fillId="10" borderId="5" xfId="0" applyFont="1" applyFill="1" applyBorder="1" applyAlignment="1" applyProtection="1">
      <alignment horizontal="left" vertical="center" wrapText="1"/>
    </xf>
    <xf numFmtId="0" fontId="4" fillId="10" borderId="5" xfId="0" applyFont="1" applyFill="1" applyBorder="1" applyAlignment="1" applyProtection="1">
      <alignment vertical="center"/>
    </xf>
    <xf numFmtId="164" fontId="4" fillId="10" borderId="5" xfId="0" applyNumberFormat="1" applyFont="1" applyFill="1" applyBorder="1" applyAlignment="1" applyProtection="1">
      <alignment vertical="center"/>
    </xf>
    <xf numFmtId="0" fontId="4" fillId="10" borderId="6" xfId="0" applyFont="1" applyFill="1" applyBorder="1" applyAlignment="1" applyProtection="1">
      <alignment vertical="center"/>
    </xf>
    <xf numFmtId="0" fontId="5" fillId="11" borderId="1" xfId="0" applyFont="1" applyFill="1" applyBorder="1" applyAlignment="1" applyProtection="1">
      <alignment horizontal="center" vertical="center"/>
    </xf>
    <xf numFmtId="0" fontId="11" fillId="11" borderId="1" xfId="0" applyFont="1" applyFill="1" applyBorder="1" applyAlignment="1" applyProtection="1">
      <alignment vertical="center" wrapText="1"/>
    </xf>
    <xf numFmtId="0" fontId="11" fillId="11" borderId="6" xfId="0" applyFont="1" applyFill="1" applyBorder="1" applyAlignment="1" applyProtection="1">
      <alignment vertical="center" wrapText="1"/>
    </xf>
    <xf numFmtId="0" fontId="11" fillId="11" borderId="8" xfId="0" applyFont="1" applyFill="1" applyBorder="1" applyAlignment="1" applyProtection="1">
      <alignment horizontal="left" vertical="center" wrapText="1"/>
    </xf>
    <xf numFmtId="0" fontId="5" fillId="11" borderId="1" xfId="1" applyFont="1" applyFill="1" applyBorder="1" applyAlignment="1" applyProtection="1">
      <alignment horizontal="center" vertical="center"/>
    </xf>
    <xf numFmtId="164" fontId="4" fillId="11" borderId="1" xfId="0" applyNumberFormat="1" applyFont="1" applyFill="1" applyBorder="1" applyAlignment="1" applyProtection="1">
      <alignment vertical="center"/>
    </xf>
    <xf numFmtId="0" fontId="4" fillId="11" borderId="1" xfId="0" applyFont="1" applyFill="1" applyBorder="1" applyAlignment="1" applyProtection="1">
      <alignment vertical="center"/>
    </xf>
    <xf numFmtId="164" fontId="11" fillId="0" borderId="1" xfId="0" applyNumberFormat="1" applyFont="1" applyBorder="1" applyAlignment="1" applyProtection="1">
      <alignment horizontal="center" vertical="center" wrapText="1"/>
    </xf>
    <xf numFmtId="0" fontId="4" fillId="13" borderId="1" xfId="0" applyFont="1" applyFill="1" applyBorder="1" applyAlignment="1" applyProtection="1">
      <alignment horizontal="center" vertical="center"/>
    </xf>
    <xf numFmtId="164" fontId="11" fillId="13" borderId="2" xfId="0" applyNumberFormat="1" applyFont="1" applyFill="1" applyBorder="1" applyAlignment="1" applyProtection="1">
      <alignment horizontal="center" vertical="center" wrapText="1"/>
    </xf>
    <xf numFmtId="0" fontId="4" fillId="13" borderId="1" xfId="0" applyFont="1" applyFill="1" applyBorder="1" applyAlignment="1" applyProtection="1">
      <alignment vertical="center"/>
    </xf>
    <xf numFmtId="49" fontId="5" fillId="11" borderId="1" xfId="1" applyNumberFormat="1" applyFont="1" applyFill="1" applyBorder="1" applyAlignment="1" applyProtection="1">
      <alignment horizontal="center" vertical="center"/>
    </xf>
    <xf numFmtId="0" fontId="5" fillId="11" borderId="1" xfId="1" applyFont="1" applyFill="1" applyBorder="1" applyAlignment="1" applyProtection="1">
      <alignment vertical="center" wrapText="1"/>
    </xf>
    <xf numFmtId="0" fontId="5" fillId="11" borderId="6" xfId="1" applyFont="1" applyFill="1" applyBorder="1" applyAlignment="1" applyProtection="1">
      <alignment vertical="center" wrapText="1"/>
    </xf>
    <xf numFmtId="0" fontId="5" fillId="11" borderId="6" xfId="1" applyFont="1" applyFill="1" applyBorder="1" applyAlignment="1" applyProtection="1">
      <alignment horizontal="left" vertical="center" wrapText="1"/>
    </xf>
    <xf numFmtId="0" fontId="4" fillId="14" borderId="7" xfId="1" applyFont="1" applyFill="1" applyBorder="1" applyAlignment="1" applyProtection="1">
      <alignment vertical="center" wrapText="1"/>
    </xf>
    <xf numFmtId="0" fontId="4" fillId="34" borderId="1" xfId="1" applyFont="1" applyFill="1" applyBorder="1" applyAlignment="1" applyProtection="1">
      <alignment vertical="center" wrapText="1"/>
    </xf>
    <xf numFmtId="0" fontId="4" fillId="0" borderId="1" xfId="1" applyFont="1" applyFill="1" applyBorder="1" applyAlignment="1" applyProtection="1">
      <alignment vertical="center" wrapText="1"/>
    </xf>
    <xf numFmtId="0" fontId="4" fillId="14" borderId="1" xfId="1" applyFont="1" applyFill="1" applyBorder="1" applyAlignment="1" applyProtection="1">
      <alignment vertical="center" wrapText="1"/>
    </xf>
    <xf numFmtId="0" fontId="4" fillId="0" borderId="7" xfId="1" applyFont="1" applyBorder="1" applyAlignment="1" applyProtection="1">
      <alignment vertical="center" wrapText="1"/>
    </xf>
    <xf numFmtId="0" fontId="4" fillId="3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1" applyFont="1" applyBorder="1" applyAlignment="1" applyProtection="1">
      <alignment vertical="center" wrapText="1"/>
    </xf>
    <xf numFmtId="0" fontId="4" fillId="0" borderId="1" xfId="1" applyFont="1" applyBorder="1" applyAlignment="1" applyProtection="1">
      <alignment horizontal="center" vertical="center"/>
    </xf>
    <xf numFmtId="49" fontId="4" fillId="13" borderId="3" xfId="1" applyNumberFormat="1" applyFont="1" applyFill="1" applyBorder="1" applyAlignment="1" applyProtection="1">
      <alignment horizontal="center" vertical="center"/>
    </xf>
    <xf numFmtId="0" fontId="4" fillId="13" borderId="8" xfId="0" applyFont="1" applyFill="1" applyBorder="1" applyAlignment="1" applyProtection="1">
      <alignment horizontal="center" vertical="center"/>
    </xf>
    <xf numFmtId="0" fontId="5" fillId="10" borderId="11" xfId="0" applyFont="1" applyFill="1" applyBorder="1" applyAlignment="1" applyProtection="1">
      <alignment vertical="center"/>
    </xf>
    <xf numFmtId="0" fontId="5" fillId="10" borderId="5" xfId="0" applyFont="1" applyFill="1" applyBorder="1" applyAlignment="1" applyProtection="1">
      <alignment vertical="center"/>
    </xf>
    <xf numFmtId="0" fontId="5" fillId="10" borderId="5" xfId="0" applyFont="1" applyFill="1" applyBorder="1" applyAlignment="1" applyProtection="1">
      <alignment horizontal="left" vertical="center"/>
    </xf>
    <xf numFmtId="0" fontId="5" fillId="10" borderId="12" xfId="0" applyFont="1" applyFill="1" applyBorder="1" applyAlignment="1" applyProtection="1">
      <alignment vertical="center" wrapText="1"/>
    </xf>
    <xf numFmtId="0" fontId="5" fillId="10" borderId="5" xfId="0" applyFont="1" applyFill="1" applyBorder="1" applyAlignment="1" applyProtection="1">
      <alignment vertical="center" wrapText="1"/>
    </xf>
    <xf numFmtId="0" fontId="5" fillId="10" borderId="6" xfId="0" applyFont="1" applyFill="1" applyBorder="1" applyAlignment="1" applyProtection="1">
      <alignment vertical="center" wrapText="1"/>
    </xf>
    <xf numFmtId="0" fontId="5" fillId="11" borderId="1" xfId="0" applyFont="1" applyFill="1" applyBorder="1" applyAlignment="1" applyProtection="1">
      <alignment vertical="center" wrapText="1"/>
    </xf>
    <xf numFmtId="0" fontId="5" fillId="11" borderId="8" xfId="0" applyFont="1" applyFill="1" applyBorder="1" applyAlignment="1" applyProtection="1">
      <alignment vertical="center" wrapText="1"/>
    </xf>
    <xf numFmtId="0" fontId="5" fillId="11" borderId="8" xfId="0" applyFont="1" applyFill="1" applyBorder="1" applyAlignment="1" applyProtection="1">
      <alignment horizontal="left" vertical="center" wrapText="1"/>
    </xf>
    <xf numFmtId="0" fontId="4" fillId="11" borderId="7" xfId="0" applyFont="1" applyFill="1" applyBorder="1" applyAlignment="1" applyProtection="1">
      <alignment vertical="center"/>
    </xf>
    <xf numFmtId="0" fontId="4" fillId="13" borderId="0" xfId="0" applyFont="1" applyFill="1" applyAlignment="1" applyProtection="1">
      <alignment vertical="center"/>
    </xf>
    <xf numFmtId="0" fontId="4" fillId="13" borderId="6" xfId="0" applyFont="1" applyFill="1" applyBorder="1" applyAlignment="1" applyProtection="1">
      <alignment vertical="center"/>
    </xf>
    <xf numFmtId="0" fontId="5" fillId="11" borderId="6" xfId="0" applyFont="1" applyFill="1" applyBorder="1" applyAlignment="1" applyProtection="1">
      <alignment vertical="center" wrapText="1"/>
    </xf>
    <xf numFmtId="0" fontId="5" fillId="11" borderId="6" xfId="0" applyFont="1" applyFill="1" applyBorder="1" applyAlignment="1" applyProtection="1">
      <alignment horizontal="left" vertical="center" wrapText="1"/>
    </xf>
    <xf numFmtId="0" fontId="4" fillId="0" borderId="3" xfId="0" applyFont="1" applyBorder="1" applyAlignment="1" applyProtection="1">
      <alignment vertical="center" wrapText="1"/>
    </xf>
    <xf numFmtId="0" fontId="4" fillId="14" borderId="2" xfId="1" applyFont="1" applyFill="1" applyBorder="1" applyAlignment="1" applyProtection="1">
      <alignment horizontal="center" vertical="center" wrapText="1"/>
    </xf>
    <xf numFmtId="164" fontId="11" fillId="0" borderId="13" xfId="0" applyNumberFormat="1" applyFont="1" applyBorder="1" applyAlignment="1" applyProtection="1">
      <alignment horizontal="center" vertical="center" wrapText="1"/>
    </xf>
    <xf numFmtId="164" fontId="11" fillId="13" borderId="1" xfId="0" applyNumberFormat="1" applyFont="1" applyFill="1" applyBorder="1" applyAlignment="1" applyProtection="1">
      <alignment horizontal="center" vertical="center" wrapText="1"/>
    </xf>
    <xf numFmtId="0" fontId="5" fillId="10" borderId="12" xfId="0" applyFont="1" applyFill="1" applyBorder="1" applyAlignment="1" applyProtection="1">
      <alignment vertical="center"/>
    </xf>
    <xf numFmtId="0" fontId="5" fillId="10" borderId="12" xfId="0" applyFont="1" applyFill="1" applyBorder="1" applyAlignment="1" applyProtection="1">
      <alignment horizontal="left" vertical="center"/>
    </xf>
    <xf numFmtId="0" fontId="4" fillId="11" borderId="11" xfId="0" applyFont="1" applyFill="1" applyBorder="1" applyAlignment="1" applyProtection="1">
      <alignment vertical="center"/>
    </xf>
    <xf numFmtId="0" fontId="4" fillId="11" borderId="6" xfId="0" applyFont="1" applyFill="1" applyBorder="1" applyAlignment="1" applyProtection="1">
      <alignment vertical="center"/>
    </xf>
    <xf numFmtId="0" fontId="10" fillId="15" borderId="9" xfId="0" applyFont="1" applyFill="1" applyBorder="1" applyAlignment="1" applyProtection="1">
      <alignment horizontal="center" vertical="center"/>
    </xf>
    <xf numFmtId="164" fontId="10" fillId="15" borderId="9" xfId="0" applyNumberFormat="1"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5" fillId="10" borderId="1" xfId="2" applyFont="1" applyFill="1" applyBorder="1" applyAlignment="1" applyProtection="1">
      <alignment horizontal="center" vertical="center"/>
    </xf>
    <xf numFmtId="0" fontId="5" fillId="10" borderId="5" xfId="2" applyFont="1" applyFill="1" applyBorder="1" applyAlignment="1" applyProtection="1">
      <alignment horizontal="left" vertical="center"/>
    </xf>
    <xf numFmtId="0" fontId="5" fillId="10" borderId="7" xfId="2" applyFont="1" applyFill="1" applyBorder="1" applyAlignment="1" applyProtection="1">
      <alignment horizontal="center" vertical="center" wrapText="1"/>
    </xf>
    <xf numFmtId="0" fontId="5" fillId="10" borderId="5" xfId="2" applyFont="1" applyFill="1" applyBorder="1" applyAlignment="1" applyProtection="1">
      <alignment horizontal="center" vertical="center" wrapText="1"/>
    </xf>
    <xf numFmtId="0" fontId="5" fillId="11" borderId="1" xfId="2" applyFont="1" applyFill="1" applyBorder="1" applyAlignment="1" applyProtection="1">
      <alignment horizontal="center" vertical="center"/>
    </xf>
    <xf numFmtId="0" fontId="5" fillId="11" borderId="1" xfId="2" applyFont="1" applyFill="1" applyBorder="1" applyAlignment="1" applyProtection="1">
      <alignment vertical="center" wrapText="1"/>
    </xf>
    <xf numFmtId="0" fontId="5" fillId="11" borderId="3" xfId="2" applyFont="1" applyFill="1" applyBorder="1" applyAlignment="1" applyProtection="1">
      <alignment vertical="center" wrapText="1"/>
    </xf>
    <xf numFmtId="0" fontId="4" fillId="11" borderId="3" xfId="2" applyFont="1" applyFill="1" applyBorder="1" applyAlignment="1" applyProtection="1">
      <alignment horizontal="center" vertical="center" wrapText="1"/>
    </xf>
    <xf numFmtId="0" fontId="4" fillId="11" borderId="3" xfId="0" applyFont="1" applyFill="1" applyBorder="1" applyAlignment="1" applyProtection="1">
      <alignment vertical="center"/>
    </xf>
    <xf numFmtId="0" fontId="4" fillId="0" borderId="7" xfId="2" applyFont="1" applyBorder="1" applyAlignment="1" applyProtection="1">
      <alignment vertical="center" wrapText="1"/>
    </xf>
    <xf numFmtId="0" fontId="4" fillId="34" borderId="1" xfId="2" applyFont="1" applyFill="1" applyBorder="1" applyAlignment="1" applyProtection="1">
      <alignment vertical="center" wrapText="1"/>
    </xf>
    <xf numFmtId="0" fontId="4" fillId="0" borderId="1" xfId="2" applyFont="1" applyBorder="1" applyAlignment="1" applyProtection="1">
      <alignment vertical="center" wrapText="1"/>
    </xf>
    <xf numFmtId="164" fontId="4" fillId="0" borderId="1" xfId="2" applyNumberFormat="1" applyFont="1" applyBorder="1" applyAlignment="1" applyProtection="1">
      <alignment vertical="center" wrapText="1"/>
    </xf>
    <xf numFmtId="0" fontId="0" fillId="0" borderId="1" xfId="0" applyFont="1" applyBorder="1" applyAlignment="1" applyProtection="1">
      <alignment vertical="center"/>
    </xf>
    <xf numFmtId="0" fontId="2" fillId="0" borderId="1" xfId="0" applyFont="1" applyBorder="1" applyAlignment="1" applyProtection="1">
      <alignment horizontal="center" vertical="center"/>
    </xf>
    <xf numFmtId="0" fontId="0" fillId="0" borderId="0" xfId="0" applyFont="1" applyAlignment="1" applyProtection="1">
      <alignment horizontal="center" vertical="center"/>
    </xf>
    <xf numFmtId="0" fontId="15" fillId="0" borderId="1" xfId="0" applyFont="1" applyBorder="1" applyAlignment="1" applyProtection="1">
      <alignment horizontal="center" vertical="center"/>
    </xf>
    <xf numFmtId="0" fontId="4" fillId="0" borderId="7" xfId="2" applyFont="1" applyBorder="1" applyAlignment="1" applyProtection="1">
      <alignment horizontal="center" vertical="center" wrapText="1"/>
    </xf>
    <xf numFmtId="0" fontId="15" fillId="16"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4" fillId="13" borderId="1" xfId="2" applyFont="1" applyFill="1" applyBorder="1" applyAlignment="1" applyProtection="1">
      <alignment horizontal="center" vertical="center"/>
    </xf>
    <xf numFmtId="164" fontId="5" fillId="13" borderId="1" xfId="0" applyNumberFormat="1" applyFont="1" applyFill="1" applyBorder="1" applyAlignment="1" applyProtection="1">
      <alignment horizontal="center" vertical="center"/>
    </xf>
    <xf numFmtId="0" fontId="5" fillId="11" borderId="1" xfId="2" applyFont="1" applyFill="1" applyBorder="1" applyAlignment="1" applyProtection="1">
      <alignment horizontal="center" vertical="center" wrapText="1"/>
    </xf>
    <xf numFmtId="0" fontId="4" fillId="0" borderId="3" xfId="2" quotePrefix="1" applyFont="1" applyBorder="1" applyAlignment="1" applyProtection="1">
      <alignment horizontal="justify" vertical="center" wrapText="1"/>
    </xf>
    <xf numFmtId="0" fontId="4" fillId="0" borderId="1" xfId="2" applyFont="1" applyBorder="1" applyAlignment="1" applyProtection="1">
      <alignment horizontal="justify" vertical="center" wrapText="1"/>
    </xf>
    <xf numFmtId="0" fontId="4" fillId="13" borderId="9" xfId="0" applyFont="1" applyFill="1" applyBorder="1" applyAlignment="1" applyProtection="1">
      <alignment vertical="center"/>
    </xf>
    <xf numFmtId="0" fontId="5" fillId="10" borderId="1" xfId="2" applyFont="1" applyFill="1" applyBorder="1" applyAlignment="1" applyProtection="1">
      <alignment vertical="center"/>
    </xf>
    <xf numFmtId="0" fontId="5" fillId="10" borderId="6" xfId="2" applyFont="1" applyFill="1" applyBorder="1" applyAlignment="1" applyProtection="1">
      <alignment vertical="center"/>
    </xf>
    <xf numFmtId="0" fontId="11" fillId="11"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4" fillId="0" borderId="2" xfId="2" applyFont="1" applyBorder="1" applyAlignment="1" applyProtection="1">
      <alignment vertical="center" wrapText="1"/>
    </xf>
    <xf numFmtId="0" fontId="11" fillId="0" borderId="2" xfId="0" applyFont="1" applyBorder="1" applyAlignment="1" applyProtection="1">
      <alignment horizontal="center" vertical="center"/>
    </xf>
    <xf numFmtId="164" fontId="11" fillId="0" borderId="2" xfId="0" applyNumberFormat="1" applyFont="1" applyBorder="1" applyAlignment="1" applyProtection="1">
      <alignment horizontal="center" vertical="center" wrapText="1"/>
    </xf>
    <xf numFmtId="0" fontId="5" fillId="11" borderId="3" xfId="2" applyFont="1" applyFill="1" applyBorder="1" applyAlignment="1" applyProtection="1">
      <alignment horizontal="center" vertical="center"/>
    </xf>
    <xf numFmtId="0" fontId="5" fillId="11" borderId="3" xfId="2" applyFont="1" applyFill="1" applyBorder="1" applyAlignment="1" applyProtection="1">
      <alignment horizontal="justify" vertical="center" wrapText="1"/>
    </xf>
    <xf numFmtId="0" fontId="5" fillId="11" borderId="3" xfId="2" applyFont="1" applyFill="1" applyBorder="1" applyAlignment="1" applyProtection="1">
      <alignment horizontal="center" vertical="center" wrapText="1"/>
    </xf>
    <xf numFmtId="0" fontId="4" fillId="0" borderId="1" xfId="2" quotePrefix="1" applyFont="1" applyBorder="1" applyAlignment="1" applyProtection="1">
      <alignment horizontal="justify" vertical="center" wrapText="1"/>
    </xf>
    <xf numFmtId="0" fontId="11" fillId="8" borderId="5" xfId="0" applyFont="1" applyFill="1" applyBorder="1" applyAlignment="1" applyProtection="1">
      <alignment horizontal="center" vertical="center"/>
    </xf>
    <xf numFmtId="164" fontId="4" fillId="0" borderId="1" xfId="0" applyNumberFormat="1" applyFont="1" applyBorder="1" applyAlignment="1" applyProtection="1">
      <alignment horizontal="center" vertical="center" wrapText="1"/>
    </xf>
    <xf numFmtId="0" fontId="4" fillId="10" borderId="5" xfId="2" applyFont="1" applyFill="1" applyBorder="1" applyAlignment="1" applyProtection="1">
      <alignment horizontal="center" vertical="center"/>
    </xf>
    <xf numFmtId="0" fontId="4" fillId="11" borderId="3" xfId="2" applyFont="1" applyFill="1" applyBorder="1" applyAlignment="1" applyProtection="1">
      <alignment horizontal="center" vertical="center"/>
    </xf>
    <xf numFmtId="0" fontId="4" fillId="11" borderId="3" xfId="2" applyFont="1" applyFill="1" applyBorder="1" applyAlignment="1" applyProtection="1">
      <alignment vertical="center" wrapText="1"/>
    </xf>
    <xf numFmtId="0" fontId="4" fillId="11" borderId="1" xfId="2" applyFont="1" applyFill="1" applyBorder="1" applyAlignment="1" applyProtection="1">
      <alignment horizontal="center" vertical="center"/>
    </xf>
    <xf numFmtId="0" fontId="4" fillId="11" borderId="1" xfId="2" applyFont="1" applyFill="1" applyBorder="1" applyAlignment="1" applyProtection="1">
      <alignment vertical="center" wrapText="1"/>
    </xf>
    <xf numFmtId="0" fontId="11" fillId="11" borderId="1" xfId="2" applyFont="1" applyFill="1" applyBorder="1" applyAlignment="1" applyProtection="1">
      <alignment horizontal="justify" vertical="center" wrapText="1"/>
    </xf>
    <xf numFmtId="0" fontId="11" fillId="0" borderId="1" xfId="0" applyFont="1" applyBorder="1" applyAlignment="1" applyProtection="1">
      <alignment horizontal="center" vertical="center" wrapText="1"/>
    </xf>
    <xf numFmtId="0" fontId="4" fillId="0" borderId="1" xfId="0" applyFont="1" applyBorder="1" applyAlignment="1" applyProtection="1">
      <alignment vertical="center"/>
      <protection locked="0"/>
    </xf>
    <xf numFmtId="1" fontId="11" fillId="12"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1" fillId="12"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2"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0" fillId="4" borderId="1" xfId="0" quotePrefix="1" applyFont="1" applyFill="1" applyBorder="1" applyAlignment="1" applyProtection="1">
      <alignment horizontal="center" vertical="center"/>
    </xf>
    <xf numFmtId="0" fontId="10" fillId="17" borderId="1" xfId="0" applyFont="1" applyFill="1" applyBorder="1" applyAlignment="1" applyProtection="1">
      <alignment horizontal="center" vertical="center"/>
    </xf>
    <xf numFmtId="164" fontId="10" fillId="17" borderId="5" xfId="0" applyNumberFormat="1" applyFont="1" applyFill="1" applyBorder="1" applyAlignment="1" applyProtection="1">
      <alignment horizontal="center" vertical="center"/>
    </xf>
    <xf numFmtId="0" fontId="10" fillId="17" borderId="6" xfId="0" applyFont="1" applyFill="1" applyBorder="1" applyAlignment="1" applyProtection="1">
      <alignment vertical="center"/>
    </xf>
    <xf numFmtId="0" fontId="10" fillId="21" borderId="1" xfId="0" applyFont="1" applyFill="1" applyBorder="1" applyAlignment="1" applyProtection="1">
      <alignment horizontal="center" vertical="top"/>
    </xf>
    <xf numFmtId="0" fontId="10" fillId="21" borderId="1" xfId="0" applyFont="1" applyFill="1" applyBorder="1" applyAlignment="1" applyProtection="1">
      <alignment horizontal="center" vertical="center"/>
    </xf>
    <xf numFmtId="164" fontId="10" fillId="21" borderId="1" xfId="0" applyNumberFormat="1" applyFont="1" applyFill="1" applyBorder="1" applyAlignment="1" applyProtection="1">
      <alignment horizontal="center" vertical="top"/>
    </xf>
    <xf numFmtId="164" fontId="4" fillId="0" borderId="1" xfId="0" applyNumberFormat="1" applyFont="1" applyBorder="1" applyAlignment="1" applyProtection="1">
      <alignment horizontal="center" vertical="top"/>
    </xf>
    <xf numFmtId="0" fontId="5" fillId="20" borderId="1" xfId="0" applyFont="1" applyFill="1" applyBorder="1" applyAlignment="1" applyProtection="1">
      <alignment horizontal="center" vertical="top"/>
    </xf>
    <xf numFmtId="0" fontId="5" fillId="20" borderId="1" xfId="0" applyFont="1" applyFill="1" applyBorder="1" applyAlignment="1" applyProtection="1">
      <alignment horizontal="center" vertical="center"/>
    </xf>
    <xf numFmtId="164" fontId="5" fillId="20" borderId="1" xfId="0" applyNumberFormat="1" applyFont="1" applyFill="1" applyBorder="1" applyAlignment="1" applyProtection="1">
      <alignment horizontal="center" vertical="top"/>
    </xf>
    <xf numFmtId="0" fontId="4" fillId="0" borderId="19" xfId="0" applyFont="1" applyBorder="1" applyAlignment="1" applyProtection="1">
      <alignment horizontal="left" vertical="top"/>
    </xf>
    <xf numFmtId="0" fontId="4" fillId="0" borderId="21" xfId="0" applyFont="1" applyBorder="1" applyAlignment="1" applyProtection="1">
      <alignment vertical="top"/>
    </xf>
    <xf numFmtId="164" fontId="5" fillId="0" borderId="2" xfId="0" applyNumberFormat="1" applyFont="1" applyFill="1" applyBorder="1" applyAlignment="1" applyProtection="1">
      <alignment horizontal="center" vertical="center" wrapText="1"/>
    </xf>
    <xf numFmtId="0" fontId="4" fillId="5" borderId="1" xfId="2"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top"/>
    </xf>
    <xf numFmtId="0" fontId="4" fillId="5" borderId="1" xfId="0" applyFont="1" applyFill="1" applyBorder="1" applyAlignment="1" applyProtection="1">
      <alignment horizontal="center" vertical="top"/>
    </xf>
    <xf numFmtId="0" fontId="5" fillId="0" borderId="1" xfId="0" applyFont="1" applyBorder="1" applyAlignment="1" applyProtection="1">
      <alignment horizontal="center" vertical="center" wrapText="1"/>
    </xf>
    <xf numFmtId="0" fontId="4" fillId="19" borderId="16" xfId="0" applyFont="1" applyFill="1" applyBorder="1" applyAlignment="1" applyProtection="1">
      <alignment vertical="top"/>
    </xf>
    <xf numFmtId="0" fontId="5" fillId="19" borderId="17" xfId="0" applyFont="1" applyFill="1" applyBorder="1" applyAlignment="1" applyProtection="1">
      <alignment horizontal="center" vertical="top" wrapText="1"/>
    </xf>
    <xf numFmtId="0" fontId="4" fillId="0" borderId="23" xfId="0" applyFont="1" applyBorder="1" applyAlignment="1" applyProtection="1">
      <alignmen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center" vertical="top"/>
    </xf>
    <xf numFmtId="0" fontId="4" fillId="0" borderId="0" xfId="0" applyFont="1" applyBorder="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center" vertical="top"/>
    </xf>
    <xf numFmtId="164" fontId="10" fillId="17" borderId="6" xfId="0" applyNumberFormat="1" applyFont="1" applyFill="1" applyBorder="1" applyAlignment="1" applyProtection="1">
      <alignment horizontal="center" vertical="center"/>
    </xf>
    <xf numFmtId="0" fontId="4" fillId="20" borderId="1" xfId="0" applyFont="1" applyFill="1" applyBorder="1" applyAlignment="1" applyProtection="1">
      <alignment vertical="center"/>
    </xf>
    <xf numFmtId="0" fontId="4" fillId="20" borderId="1" xfId="0" applyFont="1" applyFill="1" applyBorder="1" applyAlignment="1" applyProtection="1">
      <alignment horizontal="center" vertical="center"/>
    </xf>
    <xf numFmtId="0" fontId="5" fillId="20" borderId="1" xfId="0" applyFont="1" applyFill="1" applyBorder="1" applyAlignment="1" applyProtection="1">
      <alignment vertical="center"/>
    </xf>
    <xf numFmtId="0" fontId="0" fillId="20" borderId="1" xfId="0" applyFill="1" applyBorder="1" applyProtection="1"/>
    <xf numFmtId="164" fontId="4" fillId="20" borderId="1" xfId="0" applyNumberFormat="1" applyFont="1" applyFill="1" applyBorder="1" applyAlignment="1" applyProtection="1">
      <alignment vertical="center"/>
    </xf>
    <xf numFmtId="0" fontId="5" fillId="0" borderId="1" xfId="0" applyFont="1" applyFill="1" applyBorder="1" applyAlignment="1" applyProtection="1">
      <alignment vertical="center"/>
    </xf>
    <xf numFmtId="0" fontId="0" fillId="0" borderId="1" xfId="0" applyFill="1" applyBorder="1" applyProtection="1"/>
    <xf numFmtId="164" fontId="4"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0" fillId="0" borderId="0" xfId="0" applyFill="1" applyProtection="1"/>
    <xf numFmtId="0" fontId="5" fillId="19" borderId="17" xfId="0" applyFont="1" applyFill="1" applyBorder="1" applyAlignment="1" applyProtection="1">
      <alignment horizontal="left" vertical="top" wrapText="1"/>
    </xf>
    <xf numFmtId="0" fontId="22" fillId="0" borderId="21" xfId="0" applyFont="1" applyBorder="1" applyAlignment="1" applyProtection="1">
      <alignment horizontal="center" vertical="top"/>
    </xf>
    <xf numFmtId="0" fontId="5" fillId="0" borderId="1" xfId="0" applyFont="1" applyFill="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2" fontId="5" fillId="0" borderId="1" xfId="0" applyNumberFormat="1" applyFont="1" applyBorder="1" applyAlignment="1" applyProtection="1">
      <alignment horizontal="center" vertical="center"/>
    </xf>
    <xf numFmtId="0" fontId="5" fillId="0" borderId="1" xfId="0" applyFont="1" applyFill="1" applyBorder="1" applyAlignment="1" applyProtection="1">
      <alignment vertical="center" wrapText="1"/>
    </xf>
    <xf numFmtId="164" fontId="4" fillId="0" borderId="1" xfId="0" applyNumberFormat="1" applyFont="1" applyFill="1" applyBorder="1" applyAlignment="1" applyProtection="1">
      <alignment vertical="center" wrapText="1"/>
    </xf>
    <xf numFmtId="0" fontId="4" fillId="0" borderId="1" xfId="0" applyFont="1" applyFill="1" applyBorder="1" applyAlignment="1" applyProtection="1">
      <alignment vertical="center" wrapText="1"/>
    </xf>
    <xf numFmtId="164" fontId="4" fillId="0" borderId="1" xfId="0" applyNumberFormat="1" applyFont="1" applyBorder="1" applyAlignment="1" applyProtection="1">
      <alignment vertical="center"/>
    </xf>
    <xf numFmtId="0" fontId="10" fillId="21" borderId="2" xfId="0" applyFont="1" applyFill="1" applyBorder="1" applyAlignment="1" applyProtection="1">
      <alignment horizontal="center" vertical="top"/>
    </xf>
    <xf numFmtId="164" fontId="5" fillId="0" borderId="1" xfId="0" applyNumberFormat="1" applyFont="1" applyBorder="1" applyAlignment="1" applyProtection="1">
      <alignment horizontal="center" vertical="center" wrapText="1"/>
    </xf>
    <xf numFmtId="0" fontId="4" fillId="5" borderId="3" xfId="2" applyFont="1" applyFill="1" applyBorder="1" applyAlignment="1" applyProtection="1">
      <alignment horizontal="center" vertical="center"/>
    </xf>
    <xf numFmtId="0" fontId="10" fillId="17" borderId="5"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0" fillId="34" borderId="1" xfId="0" applyFill="1" applyBorder="1" applyAlignment="1" applyProtection="1">
      <alignment horizontal="center" vertical="center"/>
    </xf>
    <xf numFmtId="0" fontId="4" fillId="18"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pplyProtection="1">
      <alignment horizontal="center" vertical="center" wrapText="1"/>
    </xf>
    <xf numFmtId="164" fontId="18" fillId="5" borderId="1" xfId="0" applyNumberFormat="1" applyFont="1" applyFill="1" applyBorder="1" applyAlignment="1" applyProtection="1">
      <alignment horizontal="center" vertical="center" wrapText="1"/>
    </xf>
    <xf numFmtId="0" fontId="11" fillId="5" borderId="1" xfId="0" quotePrefix="1" applyFont="1" applyFill="1" applyBorder="1" applyAlignment="1" applyProtection="1">
      <alignment horizontal="center" vertical="center"/>
    </xf>
    <xf numFmtId="0" fontId="11" fillId="24" borderId="1" xfId="0" applyFont="1" applyFill="1" applyBorder="1" applyAlignment="1" applyProtection="1">
      <alignment horizontal="center" vertical="center"/>
    </xf>
    <xf numFmtId="0" fontId="11" fillId="24" borderId="5" xfId="0" applyFont="1" applyFill="1" applyBorder="1" applyAlignment="1" applyProtection="1">
      <alignment horizontal="center" vertical="center"/>
    </xf>
    <xf numFmtId="164" fontId="11" fillId="24" borderId="5" xfId="0" applyNumberFormat="1" applyFont="1" applyFill="1" applyBorder="1" applyAlignment="1" applyProtection="1">
      <alignment horizontal="center" vertical="center"/>
    </xf>
    <xf numFmtId="0" fontId="11" fillId="24" borderId="6" xfId="0" applyFont="1" applyFill="1" applyBorder="1" applyAlignment="1" applyProtection="1">
      <alignment vertical="center"/>
    </xf>
    <xf numFmtId="0" fontId="11" fillId="22" borderId="1" xfId="0" applyFont="1" applyFill="1" applyBorder="1" applyAlignment="1" applyProtection="1">
      <alignment horizontal="center" vertical="top"/>
    </xf>
    <xf numFmtId="0" fontId="11" fillId="22" borderId="1" xfId="0" applyFont="1" applyFill="1" applyBorder="1" applyAlignment="1" applyProtection="1">
      <alignment horizontal="center" vertical="center"/>
    </xf>
    <xf numFmtId="164" fontId="11" fillId="22" borderId="1" xfId="0" applyNumberFormat="1" applyFont="1" applyFill="1" applyBorder="1" applyAlignment="1" applyProtection="1">
      <alignment horizontal="center" vertical="center"/>
    </xf>
    <xf numFmtId="0" fontId="11" fillId="23" borderId="1" xfId="0" applyFont="1" applyFill="1" applyBorder="1" applyAlignment="1" applyProtection="1">
      <alignment horizontal="center" vertical="top"/>
    </xf>
    <xf numFmtId="0" fontId="12" fillId="23" borderId="1" xfId="0" applyFont="1" applyFill="1" applyBorder="1" applyAlignment="1" applyProtection="1">
      <alignment horizontal="center" vertical="center"/>
    </xf>
    <xf numFmtId="0" fontId="12" fillId="23" borderId="1" xfId="0" applyFont="1" applyFill="1" applyBorder="1" applyAlignment="1" applyProtection="1">
      <alignment horizontal="center" vertical="top"/>
    </xf>
    <xf numFmtId="164" fontId="11" fillId="23" borderId="1" xfId="0" applyNumberFormat="1" applyFont="1" applyFill="1" applyBorder="1" applyAlignment="1" applyProtection="1">
      <alignment horizontal="center" vertical="center"/>
    </xf>
    <xf numFmtId="164" fontId="5" fillId="25" borderId="1" xfId="0" applyNumberFormat="1" applyFont="1" applyFill="1" applyBorder="1" applyAlignment="1" applyProtection="1">
      <alignment horizontal="center" vertical="center"/>
    </xf>
    <xf numFmtId="0" fontId="4" fillId="25" borderId="1" xfId="0" applyFont="1" applyFill="1" applyBorder="1" applyAlignment="1" applyProtection="1">
      <alignment vertical="top"/>
    </xf>
    <xf numFmtId="0" fontId="25" fillId="0" borderId="18" xfId="0" applyFont="1" applyBorder="1" applyAlignment="1" applyProtection="1">
      <alignment horizontal="left" vertical="center" wrapText="1"/>
    </xf>
    <xf numFmtId="0" fontId="26" fillId="0" borderId="19" xfId="0" applyFont="1" applyBorder="1" applyAlignment="1" applyProtection="1">
      <alignment vertical="top" wrapText="1"/>
    </xf>
    <xf numFmtId="0" fontId="25" fillId="0" borderId="18" xfId="0" applyFont="1" applyBorder="1" applyAlignment="1" applyProtection="1">
      <alignment vertical="center" wrapText="1"/>
    </xf>
    <xf numFmtId="0" fontId="11" fillId="22" borderId="6" xfId="0" applyFont="1" applyFill="1" applyBorder="1" applyAlignment="1" applyProtection="1">
      <alignment horizontal="center" vertical="top"/>
    </xf>
    <xf numFmtId="0" fontId="11" fillId="23" borderId="6" xfId="0" applyFont="1" applyFill="1" applyBorder="1" applyAlignment="1" applyProtection="1">
      <alignment horizontal="center" vertical="top"/>
    </xf>
    <xf numFmtId="0" fontId="5" fillId="0" borderId="6" xfId="0" applyFont="1" applyBorder="1" applyAlignment="1" applyProtection="1">
      <alignment horizontal="center" vertical="center" wrapText="1"/>
    </xf>
    <xf numFmtId="0" fontId="5" fillId="34" borderId="1" xfId="0" applyFont="1" applyFill="1" applyBorder="1" applyAlignment="1" applyProtection="1">
      <alignment horizontal="center" vertical="center" wrapText="1"/>
    </xf>
    <xf numFmtId="164" fontId="11" fillId="24" borderId="1" xfId="0" applyNumberFormat="1" applyFont="1" applyFill="1" applyBorder="1" applyAlignment="1" applyProtection="1">
      <alignment horizontal="center" vertical="center"/>
    </xf>
    <xf numFmtId="0" fontId="11" fillId="24" borderId="1" xfId="0" applyFont="1" applyFill="1" applyBorder="1" applyAlignment="1" applyProtection="1">
      <alignment vertical="center"/>
    </xf>
    <xf numFmtId="0" fontId="11" fillId="0" borderId="1" xfId="0" applyFont="1" applyFill="1" applyBorder="1" applyAlignment="1" applyProtection="1">
      <alignment horizontal="center" vertical="top"/>
    </xf>
    <xf numFmtId="164" fontId="5" fillId="0" borderId="1" xfId="0" applyNumberFormat="1" applyFont="1" applyFill="1" applyBorder="1" applyAlignment="1" applyProtection="1">
      <alignment horizontal="center" vertical="center" wrapText="1"/>
    </xf>
    <xf numFmtId="0" fontId="11" fillId="23" borderId="1" xfId="0" applyFont="1" applyFill="1" applyBorder="1" applyAlignment="1" applyProtection="1">
      <alignment horizontal="center" vertical="center"/>
    </xf>
    <xf numFmtId="0" fontId="4" fillId="0" borderId="1" xfId="0" applyFont="1" applyBorder="1" applyAlignment="1" applyProtection="1">
      <alignment vertical="top"/>
      <protection locked="0"/>
    </xf>
    <xf numFmtId="0" fontId="4" fillId="0" borderId="1" xfId="0" applyFont="1" applyFill="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xf>
    <xf numFmtId="0" fontId="11" fillId="27" borderId="1" xfId="0" applyFont="1" applyFill="1" applyBorder="1" applyAlignment="1" applyProtection="1">
      <alignment horizontal="center" vertical="center"/>
    </xf>
    <xf numFmtId="0" fontId="11" fillId="27" borderId="1" xfId="0" applyFont="1" applyFill="1" applyBorder="1" applyAlignment="1" applyProtection="1">
      <alignment horizontal="center" vertical="center" wrapText="1"/>
    </xf>
    <xf numFmtId="164" fontId="11" fillId="27" borderId="1" xfId="0" applyNumberFormat="1" applyFont="1" applyFill="1" applyBorder="1" applyAlignment="1" applyProtection="1">
      <alignment horizontal="center" vertical="center"/>
    </xf>
    <xf numFmtId="0" fontId="5" fillId="26" borderId="1" xfId="0" applyFont="1" applyFill="1" applyBorder="1" applyAlignment="1" applyProtection="1">
      <alignment horizontal="center" vertical="center"/>
    </xf>
    <xf numFmtId="0" fontId="9" fillId="26" borderId="1" xfId="0" applyFont="1" applyFill="1" applyBorder="1" applyAlignment="1" applyProtection="1">
      <alignment vertical="center" wrapText="1"/>
    </xf>
    <xf numFmtId="0" fontId="9" fillId="26" borderId="1" xfId="0" applyFont="1" applyFill="1" applyBorder="1" applyAlignment="1" applyProtection="1">
      <alignment horizontal="left" vertical="center" wrapText="1"/>
    </xf>
    <xf numFmtId="0" fontId="4" fillId="26" borderId="1" xfId="0" applyFont="1" applyFill="1" applyBorder="1" applyAlignment="1" applyProtection="1">
      <alignment vertical="center"/>
    </xf>
    <xf numFmtId="164" fontId="4" fillId="26" borderId="1" xfId="0" applyNumberFormat="1" applyFont="1" applyFill="1" applyBorder="1" applyAlignment="1" applyProtection="1">
      <alignment vertical="center"/>
    </xf>
    <xf numFmtId="0" fontId="11" fillId="34" borderId="1" xfId="0" applyFont="1" applyFill="1" applyBorder="1" applyAlignment="1" applyProtection="1">
      <alignment horizontal="center" vertical="center"/>
    </xf>
    <xf numFmtId="0" fontId="4" fillId="16" borderId="1" xfId="0" applyFont="1" applyFill="1" applyBorder="1" applyAlignment="1" applyProtection="1">
      <alignment horizontal="center" vertical="center"/>
    </xf>
    <xf numFmtId="164" fontId="11" fillId="16" borderId="1" xfId="0" applyNumberFormat="1" applyFont="1" applyFill="1" applyBorder="1" applyAlignment="1" applyProtection="1">
      <alignment horizontal="center" vertical="center" wrapText="1"/>
    </xf>
    <xf numFmtId="0" fontId="4" fillId="16" borderId="1" xfId="0" applyFont="1" applyFill="1" applyBorder="1" applyAlignment="1" applyProtection="1">
      <alignment vertical="center"/>
    </xf>
    <xf numFmtId="0" fontId="4" fillId="14"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2" applyFont="1" applyBorder="1" applyAlignment="1" applyProtection="1">
      <alignment horizontal="left" vertical="center" wrapText="1"/>
    </xf>
    <xf numFmtId="0" fontId="5" fillId="26" borderId="1" xfId="0" applyFont="1" applyFill="1" applyBorder="1" applyAlignment="1" applyProtection="1">
      <alignment vertical="center"/>
    </xf>
    <xf numFmtId="164" fontId="5" fillId="26" borderId="1" xfId="0" applyNumberFormat="1" applyFont="1" applyFill="1" applyBorder="1" applyAlignment="1" applyProtection="1">
      <alignment vertical="center"/>
    </xf>
    <xf numFmtId="0" fontId="5" fillId="26" borderId="1" xfId="0" applyFont="1" applyFill="1" applyBorder="1" applyAlignment="1" applyProtection="1">
      <alignment vertical="center" wrapText="1"/>
    </xf>
    <xf numFmtId="164" fontId="5" fillId="0" borderId="1" xfId="0" applyNumberFormat="1" applyFont="1" applyBorder="1" applyAlignment="1" applyProtection="1">
      <alignment horizontal="center" vertical="center"/>
      <protection locked="0"/>
    </xf>
    <xf numFmtId="0" fontId="4"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2" xfId="2" applyFont="1" applyBorder="1" applyAlignment="1" applyProtection="1">
      <alignment horizontal="center" vertical="center"/>
    </xf>
    <xf numFmtId="49" fontId="4" fillId="14" borderId="1" xfId="1" applyNumberFormat="1" applyFont="1" applyFill="1" applyBorder="1" applyAlignment="1" applyProtection="1">
      <alignment horizontal="center" vertical="center"/>
    </xf>
    <xf numFmtId="0" fontId="4" fillId="0" borderId="4" xfId="2" applyFont="1" applyBorder="1" applyAlignment="1" applyProtection="1">
      <alignment horizontal="center" vertical="center"/>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10" fillId="21" borderId="1" xfId="0" applyFont="1" applyFill="1" applyBorder="1" applyAlignment="1" applyProtection="1">
      <alignment horizontal="left" vertical="top" wrapText="1"/>
    </xf>
    <xf numFmtId="0" fontId="5" fillId="0" borderId="1" xfId="0" applyFont="1" applyBorder="1" applyAlignment="1" applyProtection="1">
      <alignment horizontal="center" vertical="top"/>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top"/>
    </xf>
    <xf numFmtId="0" fontId="5"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64" fontId="5" fillId="0" borderId="3" xfId="0" applyNumberFormat="1" applyFont="1" applyBorder="1" applyAlignment="1" applyProtection="1">
      <alignment horizontal="center" vertical="center"/>
    </xf>
    <xf numFmtId="0" fontId="11" fillId="23" borderId="1" xfId="0" applyFont="1" applyFill="1" applyBorder="1" applyAlignment="1" applyProtection="1">
      <alignment horizontal="left" vertical="top" wrapText="1"/>
    </xf>
    <xf numFmtId="0" fontId="4" fillId="34" borderId="1" xfId="0" applyFont="1" applyFill="1" applyBorder="1" applyAlignment="1" applyProtection="1">
      <alignment horizontal="center" vertical="center"/>
    </xf>
    <xf numFmtId="0" fontId="4" fillId="0" borderId="2" xfId="0" applyFont="1" applyBorder="1" applyAlignment="1" applyProtection="1">
      <alignment horizontal="center" vertical="top"/>
      <protection locked="0"/>
    </xf>
    <xf numFmtId="0" fontId="4" fillId="0" borderId="1" xfId="2" applyFont="1" applyBorder="1" applyAlignment="1" applyProtection="1">
      <alignment horizontal="center" vertical="center"/>
    </xf>
    <xf numFmtId="0" fontId="4" fillId="0" borderId="1" xfId="0" applyFont="1" applyBorder="1" applyAlignment="1" applyProtection="1">
      <alignment horizontal="left" vertical="center" wrapText="1"/>
    </xf>
    <xf numFmtId="0" fontId="34" fillId="0" borderId="0" xfId="0" applyFont="1" applyProtection="1">
      <protection locked="0"/>
    </xf>
    <xf numFmtId="0" fontId="36" fillId="0" borderId="0" xfId="0" applyFont="1" applyProtection="1">
      <protection locked="0"/>
    </xf>
    <xf numFmtId="0" fontId="32" fillId="0" borderId="0" xfId="0" applyFont="1" applyProtection="1">
      <protection locked="0"/>
    </xf>
    <xf numFmtId="0" fontId="0" fillId="0" borderId="0" xfId="0" applyAlignment="1" applyProtection="1">
      <alignment vertical="center"/>
      <protection locked="0"/>
    </xf>
    <xf numFmtId="0" fontId="35" fillId="0" borderId="1" xfId="0" applyFont="1" applyBorder="1" applyProtection="1">
      <protection locked="0"/>
    </xf>
    <xf numFmtId="0" fontId="0" fillId="0" borderId="0" xfId="0" applyAlignment="1" applyProtection="1">
      <alignment wrapText="1"/>
      <protection locked="0"/>
    </xf>
    <xf numFmtId="0" fontId="2" fillId="0" borderId="0" xfId="0" applyFont="1" applyProtection="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0" xfId="0" applyFont="1" applyProtection="1">
      <protection locked="0"/>
    </xf>
    <xf numFmtId="0" fontId="0" fillId="0" borderId="0" xfId="0" applyFill="1" applyBorder="1" applyProtection="1">
      <protection locked="0"/>
    </xf>
    <xf numFmtId="0" fontId="0" fillId="0" borderId="0" xfId="0" applyFill="1" applyProtection="1">
      <protection locked="0"/>
    </xf>
    <xf numFmtId="0" fontId="15"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0" fontId="0" fillId="20" borderId="0" xfId="0" applyFill="1" applyProtection="1">
      <protection locked="0"/>
    </xf>
    <xf numFmtId="0" fontId="0" fillId="0" borderId="0" xfId="0" applyAlignment="1" applyProtection="1">
      <alignment horizontal="center" vertical="center"/>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0" fillId="0" borderId="0" xfId="0" applyFont="1" applyFill="1" applyProtection="1">
      <protection locked="0"/>
    </xf>
    <xf numFmtId="0" fontId="5" fillId="2" borderId="1" xfId="0" applyFont="1" applyFill="1" applyBorder="1" applyAlignment="1" applyProtection="1">
      <alignment horizontal="center" vertical="center"/>
    </xf>
    <xf numFmtId="0" fontId="0" fillId="0" borderId="0" xfId="0" applyAlignment="1" applyProtection="1">
      <alignment horizontal="center"/>
      <protection locked="0"/>
    </xf>
    <xf numFmtId="0" fontId="4" fillId="0" borderId="1" xfId="0" applyFont="1" applyBorder="1" applyAlignment="1" applyProtection="1">
      <alignment horizontal="center" vertical="center"/>
    </xf>
    <xf numFmtId="0" fontId="0" fillId="0" borderId="0" xfId="0" applyAlignment="1" applyProtection="1">
      <alignment wrapText="1"/>
    </xf>
    <xf numFmtId="2" fontId="4" fillId="7" borderId="1" xfId="0" applyNumberFormat="1" applyFont="1" applyFill="1" applyBorder="1" applyAlignment="1" applyProtection="1">
      <alignment horizontal="center" vertical="center" wrapText="1"/>
    </xf>
    <xf numFmtId="2" fontId="10" fillId="28"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left" vertical="center" wrapText="1"/>
    </xf>
    <xf numFmtId="2" fontId="5" fillId="2" borderId="1" xfId="0" applyNumberFormat="1" applyFont="1" applyFill="1" applyBorder="1" applyAlignment="1" applyProtection="1">
      <alignment horizontal="center" vertical="center" wrapText="1"/>
    </xf>
    <xf numFmtId="2" fontId="31" fillId="14" borderId="1" xfId="4"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0" fillId="0" borderId="0" xfId="0" applyFont="1" applyFill="1" applyProtection="1"/>
    <xf numFmtId="0" fontId="10" fillId="7" borderId="1" xfId="0" applyFont="1" applyFill="1" applyBorder="1" applyAlignment="1" applyProtection="1">
      <alignment horizontal="left" vertical="center"/>
    </xf>
    <xf numFmtId="0" fontId="31" fillId="7" borderId="1" xfId="0" applyFont="1" applyFill="1" applyBorder="1" applyAlignment="1" applyProtection="1">
      <alignment horizontal="right" vertical="center"/>
    </xf>
    <xf numFmtId="2" fontId="4" fillId="0" borderId="0" xfId="0" applyNumberFormat="1" applyFont="1" applyAlignment="1" applyProtection="1">
      <alignment horizontal="center"/>
    </xf>
    <xf numFmtId="0" fontId="31" fillId="7" borderId="2" xfId="0" applyFont="1" applyFill="1" applyBorder="1" applyAlignment="1" applyProtection="1">
      <alignment horizontal="right" vertical="center"/>
    </xf>
    <xf numFmtId="0" fontId="10" fillId="7" borderId="1" xfId="0" applyFont="1" applyFill="1" applyBorder="1" applyAlignment="1" applyProtection="1">
      <alignment horizontal="right" vertical="center"/>
    </xf>
    <xf numFmtId="0" fontId="4" fillId="0" borderId="0" xfId="0" applyFont="1" applyAlignment="1" applyProtection="1">
      <alignment horizontal="center"/>
      <protection locked="0"/>
    </xf>
    <xf numFmtId="2" fontId="12" fillId="35" borderId="1" xfId="4" applyNumberFormat="1" applyFont="1" applyBorder="1" applyAlignment="1" applyProtection="1">
      <alignment horizontal="center" vertical="center" wrapText="1"/>
      <protection locked="0"/>
    </xf>
    <xf numFmtId="2" fontId="12" fillId="14" borderId="1" xfId="4" applyNumberFormat="1" applyFont="1" applyFill="1" applyBorder="1" applyAlignment="1" applyProtection="1">
      <alignment horizontal="center" vertical="center" wrapText="1"/>
    </xf>
    <xf numFmtId="2" fontId="7" fillId="0" borderId="1" xfId="0" applyNumberFormat="1" applyFont="1" applyBorder="1" applyAlignment="1" applyProtection="1">
      <alignment horizontal="center"/>
    </xf>
    <xf numFmtId="0" fontId="4" fillId="0" borderId="0" xfId="0" applyFont="1" applyAlignment="1" applyProtection="1">
      <alignment horizontal="center"/>
    </xf>
    <xf numFmtId="2" fontId="4" fillId="16" borderId="0" xfId="0" applyNumberFormat="1" applyFont="1" applyFill="1" applyAlignment="1" applyProtection="1">
      <alignment horizontal="center"/>
    </xf>
    <xf numFmtId="0" fontId="0" fillId="0" borderId="1" xfId="0" applyBorder="1" applyAlignment="1" applyProtection="1">
      <alignment vertical="top"/>
      <protection locked="0"/>
    </xf>
    <xf numFmtId="0" fontId="6" fillId="9" borderId="1" xfId="0" applyFont="1" applyFill="1" applyBorder="1" applyAlignment="1" applyProtection="1">
      <alignment horizontal="center" vertical="center"/>
      <protection locked="0"/>
    </xf>
    <xf numFmtId="0" fontId="32" fillId="0" borderId="1" xfId="0" applyFont="1" applyBorder="1" applyAlignment="1" applyProtection="1">
      <alignment horizontal="left" vertical="center" wrapText="1"/>
    </xf>
    <xf numFmtId="0" fontId="33" fillId="0" borderId="1" xfId="0" applyFont="1" applyBorder="1" applyAlignment="1" applyProtection="1">
      <alignment horizontal="center"/>
      <protection locked="0"/>
    </xf>
    <xf numFmtId="0" fontId="35" fillId="0" borderId="3" xfId="0" applyFont="1" applyBorder="1" applyAlignment="1" applyProtection="1">
      <alignment horizontal="left" vertical="center"/>
    </xf>
    <xf numFmtId="0" fontId="35" fillId="0" borderId="1" xfId="0" applyFont="1" applyBorder="1" applyAlignment="1" applyProtection="1">
      <alignment horizontal="left" vertical="center"/>
    </xf>
    <xf numFmtId="0" fontId="32" fillId="0" borderId="1" xfId="0" applyFont="1" applyBorder="1" applyAlignment="1" applyProtection="1">
      <alignment horizontal="left" vertical="top" wrapText="1"/>
    </xf>
    <xf numFmtId="0" fontId="39" fillId="0" borderId="1" xfId="0" applyFont="1" applyBorder="1" applyAlignment="1" applyProtection="1">
      <alignment horizontal="left" vertical="center" wrapText="1"/>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11" fillId="33" borderId="1" xfId="0" applyFont="1" applyFill="1" applyBorder="1" applyAlignment="1" applyProtection="1">
      <alignment horizontal="left" vertical="center"/>
    </xf>
    <xf numFmtId="0" fontId="13" fillId="31"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15" xfId="0" applyBorder="1" applyAlignment="1" applyProtection="1">
      <alignment horizontal="center"/>
      <protection locked="0"/>
    </xf>
    <xf numFmtId="0" fontId="0" fillId="0" borderId="0" xfId="0" applyAlignment="1" applyProtection="1">
      <alignment horizontal="center"/>
      <protection locked="0"/>
    </xf>
    <xf numFmtId="0" fontId="0" fillId="16" borderId="1"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0" fillId="15" borderId="7" xfId="0" applyFont="1" applyFill="1" applyBorder="1" applyAlignment="1" applyProtection="1">
      <alignment horizontal="left" vertical="center"/>
    </xf>
    <xf numFmtId="0" fontId="10" fillId="15" borderId="5" xfId="0" applyFont="1" applyFill="1" applyBorder="1" applyAlignment="1" applyProtection="1">
      <alignment horizontal="left" vertical="center"/>
    </xf>
    <xf numFmtId="0" fontId="10" fillId="15" borderId="6" xfId="0" applyFont="1" applyFill="1" applyBorder="1" applyAlignment="1" applyProtection="1">
      <alignment horizontal="left" vertical="center"/>
    </xf>
    <xf numFmtId="0" fontId="10" fillId="15" borderId="1" xfId="0" applyFont="1" applyFill="1" applyBorder="1" applyAlignment="1" applyProtection="1">
      <alignment horizontal="left" vertical="center" wrapText="1"/>
    </xf>
    <xf numFmtId="0" fontId="5" fillId="13" borderId="7" xfId="2" applyFont="1" applyFill="1" applyBorder="1" applyAlignment="1" applyProtection="1">
      <alignment horizontal="right" vertical="center" wrapText="1"/>
    </xf>
    <xf numFmtId="0" fontId="5" fillId="13" borderId="5" xfId="2" applyFont="1" applyFill="1" applyBorder="1" applyAlignment="1" applyProtection="1">
      <alignment horizontal="right" vertical="center" wrapText="1"/>
    </xf>
    <xf numFmtId="0" fontId="5" fillId="10" borderId="7" xfId="2" applyFont="1" applyFill="1" applyBorder="1" applyAlignment="1" applyProtection="1">
      <alignment horizontal="left" vertical="center"/>
    </xf>
    <xf numFmtId="0" fontId="5" fillId="10" borderId="6" xfId="2" applyFont="1" applyFill="1" applyBorder="1" applyAlignment="1" applyProtection="1">
      <alignment horizontal="left" vertical="center"/>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0" fontId="5" fillId="13" borderId="1" xfId="2" applyFont="1" applyFill="1" applyBorder="1" applyAlignment="1" applyProtection="1">
      <alignment horizontal="right" vertical="center" wrapText="1"/>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9" fontId="4" fillId="14" borderId="2" xfId="1" applyNumberFormat="1" applyFont="1" applyFill="1" applyBorder="1" applyAlignment="1" applyProtection="1">
      <alignment horizontal="center" vertical="center"/>
    </xf>
    <xf numFmtId="49" fontId="4" fillId="14" borderId="10" xfId="1" applyNumberFormat="1" applyFont="1" applyFill="1" applyBorder="1" applyAlignment="1" applyProtection="1">
      <alignment horizontal="center" vertical="center"/>
    </xf>
    <xf numFmtId="49" fontId="4" fillId="14" borderId="1" xfId="1" applyNumberFormat="1" applyFont="1" applyFill="1" applyBorder="1" applyAlignment="1" applyProtection="1">
      <alignment horizontal="center" vertical="center"/>
    </xf>
    <xf numFmtId="0" fontId="5" fillId="13" borderId="6" xfId="2" applyFont="1" applyFill="1" applyBorder="1" applyAlignment="1" applyProtection="1">
      <alignment horizontal="right" vertical="center" wrapText="1"/>
    </xf>
    <xf numFmtId="0" fontId="4" fillId="0" borderId="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2" xfId="2" applyFont="1" applyBorder="1" applyAlignment="1" applyProtection="1">
      <alignment horizontal="left" vertical="top" wrapText="1"/>
    </xf>
    <xf numFmtId="0" fontId="4" fillId="0" borderId="3" xfId="2" applyFont="1" applyBorder="1" applyAlignment="1" applyProtection="1">
      <alignment horizontal="left" vertical="top" wrapText="1"/>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10" fillId="21" borderId="5" xfId="0" applyFont="1" applyFill="1" applyBorder="1" applyAlignment="1" applyProtection="1">
      <alignment horizontal="left" vertical="top"/>
    </xf>
    <xf numFmtId="0" fontId="10" fillId="21" borderId="6" xfId="0" applyFont="1" applyFill="1" applyBorder="1" applyAlignment="1" applyProtection="1">
      <alignment horizontal="left" vertical="top"/>
    </xf>
    <xf numFmtId="0" fontId="4" fillId="0" borderId="7"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20" borderId="5"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17" borderId="7" xfId="0" applyFont="1" applyFill="1" applyBorder="1" applyAlignment="1" applyProtection="1">
      <alignment horizontal="left" vertical="top"/>
    </xf>
    <xf numFmtId="0" fontId="10" fillId="17" borderId="5"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5" fillId="5" borderId="7" xfId="2" applyFont="1" applyFill="1" applyBorder="1" applyAlignment="1" applyProtection="1">
      <alignment horizontal="right" vertical="center" wrapText="1"/>
    </xf>
    <xf numFmtId="0" fontId="5" fillId="5" borderId="5" xfId="2" applyFont="1" applyFill="1" applyBorder="1" applyAlignment="1" applyProtection="1">
      <alignment horizontal="right" vertical="center" wrapText="1"/>
    </xf>
    <xf numFmtId="0" fontId="5" fillId="5" borderId="6" xfId="2" applyFont="1" applyFill="1" applyBorder="1" applyAlignment="1" applyProtection="1">
      <alignment horizontal="right" vertical="center" wrapText="1"/>
    </xf>
    <xf numFmtId="0" fontId="10" fillId="21" borderId="1"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5" xfId="0" applyFont="1" applyBorder="1" applyAlignment="1" applyProtection="1">
      <alignment horizontal="left" vertical="center" wrapText="1"/>
    </xf>
    <xf numFmtId="0" fontId="8" fillId="4" borderId="7"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21"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5" fillId="0" borderId="7" xfId="0" applyFont="1" applyBorder="1" applyAlignment="1" applyProtection="1">
      <alignment horizontal="center" vertical="top"/>
    </xf>
    <xf numFmtId="0" fontId="5" fillId="0" borderId="23" xfId="0" applyFont="1" applyFill="1" applyBorder="1" applyAlignment="1" applyProtection="1">
      <alignment horizontal="center" vertical="top"/>
    </xf>
    <xf numFmtId="0" fontId="5" fillId="0" borderId="24" xfId="0" applyFont="1" applyFill="1" applyBorder="1" applyAlignment="1" applyProtection="1">
      <alignment horizontal="center" vertical="top"/>
    </xf>
    <xf numFmtId="0" fontId="10" fillId="21" borderId="7" xfId="0" applyFont="1" applyFill="1" applyBorder="1" applyAlignment="1" applyProtection="1">
      <alignment horizontal="left" vertical="top"/>
    </xf>
    <xf numFmtId="0" fontId="5" fillId="34" borderId="7" xfId="0" applyFont="1" applyFill="1" applyBorder="1" applyAlignment="1" applyProtection="1">
      <alignment horizontal="center" vertical="center"/>
    </xf>
    <xf numFmtId="0" fontId="4" fillId="0" borderId="24" xfId="0" applyFont="1" applyBorder="1" applyAlignment="1" applyProtection="1">
      <alignment horizontal="center" vertical="top" wrapText="1"/>
    </xf>
    <xf numFmtId="0" fontId="5" fillId="0" borderId="1" xfId="0" applyFont="1" applyBorder="1" applyAlignment="1" applyProtection="1">
      <alignment horizontal="center" vertical="top"/>
    </xf>
    <xf numFmtId="0" fontId="4" fillId="0" borderId="25"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34" borderId="2" xfId="0" applyFont="1" applyFill="1" applyBorder="1" applyAlignment="1" applyProtection="1">
      <alignment horizontal="center" vertical="center"/>
    </xf>
    <xf numFmtId="0" fontId="4" fillId="34" borderId="10" xfId="0" applyFont="1" applyFill="1" applyBorder="1" applyAlignment="1" applyProtection="1">
      <alignment horizontal="center" vertical="center"/>
    </xf>
    <xf numFmtId="0" fontId="4" fillId="34" borderId="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4" fillId="18" borderId="2" xfId="0" applyFont="1" applyFill="1" applyBorder="1" applyAlignment="1" applyProtection="1">
      <alignment horizontal="center" vertical="center"/>
      <protection locked="0"/>
    </xf>
    <xf numFmtId="0" fontId="4" fillId="18"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10"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164" fontId="5" fillId="0" borderId="2" xfId="0" applyNumberFormat="1" applyFont="1" applyFill="1" applyBorder="1" applyAlignment="1" applyProtection="1">
      <alignment horizontal="center" vertical="center"/>
    </xf>
    <xf numFmtId="164" fontId="5" fillId="0" borderId="3" xfId="0" applyNumberFormat="1" applyFont="1" applyFill="1" applyBorder="1" applyAlignment="1" applyProtection="1">
      <alignment horizontal="center" vertical="center"/>
    </xf>
    <xf numFmtId="164" fontId="5" fillId="0" borderId="10" xfId="0" applyNumberFormat="1" applyFont="1" applyFill="1" applyBorder="1" applyAlignment="1" applyProtection="1">
      <alignment horizontal="center" vertical="center"/>
    </xf>
    <xf numFmtId="0" fontId="4" fillId="0" borderId="5" xfId="0" applyFont="1" applyBorder="1" applyAlignment="1" applyProtection="1">
      <alignment horizontal="left" vertical="top"/>
    </xf>
    <xf numFmtId="0" fontId="5" fillId="20" borderId="9" xfId="0" applyFont="1" applyFill="1" applyBorder="1" applyAlignment="1" applyProtection="1">
      <alignment horizontal="left" vertical="top"/>
    </xf>
    <xf numFmtId="0" fontId="5" fillId="20" borderId="2" xfId="0" applyFont="1" applyFill="1" applyBorder="1" applyAlignment="1" applyProtection="1">
      <alignment horizontal="left" vertical="top"/>
    </xf>
    <xf numFmtId="0" fontId="5" fillId="20" borderId="1" xfId="0" applyFont="1" applyFill="1" applyBorder="1" applyAlignment="1" applyProtection="1">
      <alignment horizontal="left" vertical="top"/>
    </xf>
    <xf numFmtId="0" fontId="4" fillId="0" borderId="10" xfId="0" applyFont="1" applyBorder="1" applyAlignment="1" applyProtection="1">
      <alignment horizontal="center" vertical="center" wrapText="1"/>
    </xf>
    <xf numFmtId="0" fontId="5" fillId="19" borderId="16" xfId="0" applyFont="1" applyFill="1" applyBorder="1" applyAlignment="1" applyProtection="1">
      <alignment horizontal="left" vertical="top"/>
    </xf>
    <xf numFmtId="0" fontId="5" fillId="19" borderId="17" xfId="0" applyFont="1" applyFill="1" applyBorder="1" applyAlignment="1" applyProtection="1">
      <alignment horizontal="left" vertical="top"/>
    </xf>
    <xf numFmtId="0" fontId="5" fillId="0" borderId="1" xfId="0" applyFont="1" applyBorder="1" applyAlignment="1" applyProtection="1">
      <alignment horizontal="center" vertical="top"/>
      <protection locked="0"/>
    </xf>
    <xf numFmtId="0" fontId="5" fillId="34" borderId="1"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21" fillId="0" borderId="1" xfId="0" applyFont="1" applyBorder="1" applyAlignment="1" applyProtection="1">
      <alignment horizontal="left" vertical="top" wrapText="1"/>
    </xf>
    <xf numFmtId="0" fontId="11" fillId="23" borderId="1" xfId="0" applyFont="1" applyFill="1" applyBorder="1" applyAlignment="1" applyProtection="1">
      <alignment horizontal="left" vertical="top" wrapText="1"/>
    </xf>
    <xf numFmtId="0" fontId="11" fillId="24" borderId="1" xfId="0" applyFont="1" applyFill="1" applyBorder="1" applyAlignment="1" applyProtection="1">
      <alignment horizontal="left" vertical="top"/>
    </xf>
    <xf numFmtId="0" fontId="11" fillId="22" borderId="1" xfId="0" applyFont="1" applyFill="1" applyBorder="1" applyAlignment="1" applyProtection="1">
      <alignment horizontal="left" vertical="top" wrapText="1"/>
    </xf>
    <xf numFmtId="0" fontId="11" fillId="22" borderId="1" xfId="0" applyFont="1" applyFill="1" applyBorder="1" applyAlignment="1" applyProtection="1">
      <alignment horizontal="left" vertical="top"/>
    </xf>
    <xf numFmtId="0" fontId="12" fillId="0" borderId="1" xfId="0" applyFont="1" applyFill="1" applyBorder="1" applyAlignment="1" applyProtection="1">
      <alignment horizontal="left" vertical="top" wrapText="1"/>
    </xf>
    <xf numFmtId="0" fontId="5" fillId="25" borderId="1" xfId="0" applyFont="1" applyFill="1" applyBorder="1" applyAlignment="1" applyProtection="1">
      <alignment horizontal="right" vertical="center"/>
    </xf>
    <xf numFmtId="0" fontId="21" fillId="0" borderId="1" xfId="0" applyFont="1" applyBorder="1" applyAlignment="1">
      <alignment horizontal="left" vertical="top" wrapText="1"/>
    </xf>
    <xf numFmtId="0" fontId="11" fillId="23" borderId="1" xfId="0" applyFont="1" applyFill="1" applyBorder="1" applyAlignment="1" applyProtection="1">
      <alignment horizontal="left" vertical="center" wrapText="1"/>
    </xf>
    <xf numFmtId="0" fontId="4" fillId="34" borderId="1" xfId="0" applyFont="1" applyFill="1" applyBorder="1" applyAlignment="1" applyProtection="1">
      <alignment horizontal="center" vertical="center"/>
    </xf>
    <xf numFmtId="0" fontId="5" fillId="0" borderId="1" xfId="0" applyFont="1" applyBorder="1" applyAlignment="1" applyProtection="1">
      <alignment horizontal="left" vertical="top"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1" fillId="23" borderId="5" xfId="0" applyFont="1" applyFill="1" applyBorder="1" applyAlignment="1" applyProtection="1">
      <alignment horizontal="left" vertical="top" wrapText="1"/>
    </xf>
    <xf numFmtId="0" fontId="4" fillId="0" borderId="3" xfId="0" applyFont="1" applyBorder="1" applyAlignment="1" applyProtection="1">
      <alignment horizontal="left" vertical="center" wrapText="1"/>
    </xf>
    <xf numFmtId="0" fontId="11" fillId="22" borderId="5"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11" fillId="24" borderId="7" xfId="0" applyFont="1" applyFill="1" applyBorder="1" applyAlignment="1" applyProtection="1">
      <alignment horizontal="left" vertical="top"/>
    </xf>
    <xf numFmtId="0" fontId="11" fillId="24" borderId="5" xfId="0" applyFont="1" applyFill="1" applyBorder="1" applyAlignment="1" applyProtection="1">
      <alignment horizontal="left" vertical="top"/>
    </xf>
    <xf numFmtId="0" fontId="11" fillId="22" borderId="5" xfId="0" applyFont="1" applyFill="1" applyBorder="1" applyAlignment="1" applyProtection="1">
      <alignment horizontal="left" vertical="top"/>
    </xf>
    <xf numFmtId="0" fontId="11" fillId="22" borderId="6" xfId="0" applyFont="1" applyFill="1" applyBorder="1" applyAlignment="1" applyProtection="1">
      <alignment horizontal="left" vertical="top"/>
    </xf>
    <xf numFmtId="0" fontId="11" fillId="23" borderId="1" xfId="0" applyFont="1" applyFill="1" applyBorder="1" applyAlignment="1" applyProtection="1">
      <alignment horizontal="left" vertical="top"/>
    </xf>
    <xf numFmtId="0" fontId="4" fillId="0" borderId="6" xfId="0" applyFont="1" applyBorder="1" applyAlignment="1" applyProtection="1">
      <alignment horizontal="left" vertical="top" wrapText="1"/>
    </xf>
    <xf numFmtId="0" fontId="11" fillId="22" borderId="6" xfId="0" applyFont="1" applyFill="1" applyBorder="1" applyAlignment="1" applyProtection="1">
      <alignment horizontal="left" vertical="top" wrapText="1"/>
    </xf>
    <xf numFmtId="0" fontId="4" fillId="0" borderId="4"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15"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27" xfId="0" applyFont="1" applyBorder="1" applyAlignment="1" applyProtection="1">
      <alignment horizontal="left" vertical="top"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26" xfId="0" applyFont="1" applyBorder="1" applyAlignment="1" applyProtection="1">
      <alignment horizontal="center"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8" borderId="16" xfId="0" applyFont="1" applyFill="1" applyBorder="1" applyAlignment="1" applyProtection="1">
      <alignment horizontal="center" vertical="top" wrapText="1"/>
    </xf>
    <xf numFmtId="0" fontId="5" fillId="18" borderId="17" xfId="0"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17" fillId="0" borderId="4"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1" fillId="27" borderId="1" xfId="0" applyFont="1" applyFill="1" applyBorder="1" applyAlignment="1" applyProtection="1">
      <alignment horizontal="left" vertical="center" wrapText="1"/>
    </xf>
    <xf numFmtId="0" fontId="5" fillId="16" borderId="1" xfId="2" applyFont="1" applyFill="1" applyBorder="1" applyAlignment="1" applyProtection="1">
      <alignment horizontal="right" vertical="center" wrapText="1"/>
    </xf>
    <xf numFmtId="0" fontId="4" fillId="0" borderId="1" xfId="2" applyFont="1" applyBorder="1" applyAlignment="1" applyProtection="1">
      <alignment horizontal="center" vertical="center"/>
    </xf>
    <xf numFmtId="0" fontId="4" fillId="0" borderId="1" xfId="0" applyFont="1" applyBorder="1" applyAlignment="1" applyProtection="1">
      <alignment horizontal="left" vertical="center" wrapText="1"/>
    </xf>
    <xf numFmtId="0" fontId="24" fillId="6" borderId="1" xfId="0" applyFont="1" applyFill="1" applyBorder="1" applyAlignment="1" applyProtection="1">
      <alignment horizontal="center" vertical="center"/>
    </xf>
    <xf numFmtId="2" fontId="12" fillId="0" borderId="1" xfId="0"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xf>
    <xf numFmtId="2" fontId="11" fillId="0" borderId="7" xfId="0" applyNumberFormat="1" applyFont="1" applyFill="1" applyBorder="1" applyAlignment="1" applyProtection="1">
      <alignment horizontal="center" vertical="center"/>
    </xf>
    <xf numFmtId="2" fontId="11" fillId="0" borderId="6" xfId="0" applyNumberFormat="1"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2" fontId="10" fillId="28" borderId="1" xfId="0" applyNumberFormat="1" applyFont="1" applyFill="1" applyBorder="1" applyAlignment="1" applyProtection="1">
      <alignment horizontal="center" vertical="center" wrapText="1"/>
    </xf>
    <xf numFmtId="0" fontId="10" fillId="28" borderId="1" xfId="0" applyFont="1" applyFill="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2" fontId="4" fillId="0" borderId="2"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2" fontId="5" fillId="29" borderId="1" xfId="0" applyNumberFormat="1" applyFont="1" applyFill="1" applyBorder="1" applyAlignment="1" applyProtection="1">
      <alignment horizontal="center" vertical="center"/>
    </xf>
    <xf numFmtId="0" fontId="5" fillId="29" borderId="1" xfId="0" applyFont="1" applyFill="1" applyBorder="1" applyAlignment="1" applyProtection="1">
      <alignment horizontal="center" vertical="center"/>
    </xf>
    <xf numFmtId="2" fontId="12" fillId="0" borderId="7" xfId="0" applyNumberFormat="1" applyFont="1" applyFill="1" applyBorder="1" applyAlignment="1" applyProtection="1">
      <alignment horizontal="center" vertical="center"/>
    </xf>
    <xf numFmtId="2" fontId="12" fillId="0" borderId="5"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2" fontId="12" fillId="0" borderId="1" xfId="0" applyNumberFormat="1" applyFont="1" applyFill="1" applyBorder="1" applyAlignment="1" applyProtection="1">
      <alignment horizontal="center" vertical="center" wrapText="1"/>
    </xf>
    <xf numFmtId="2" fontId="4" fillId="0" borderId="1" xfId="0" applyNumberFormat="1" applyFont="1" applyBorder="1" applyAlignment="1" applyProtection="1">
      <alignment horizontal="center"/>
    </xf>
    <xf numFmtId="0" fontId="10" fillId="7" borderId="2" xfId="0" applyFont="1" applyFill="1" applyBorder="1" applyAlignment="1" applyProtection="1">
      <alignment horizontal="right" vertical="center"/>
    </xf>
    <xf numFmtId="0" fontId="10" fillId="7" borderId="3" xfId="0" applyFont="1" applyFill="1" applyBorder="1" applyAlignment="1" applyProtection="1">
      <alignment horizontal="right" vertical="center"/>
    </xf>
    <xf numFmtId="2" fontId="12" fillId="0" borderId="6" xfId="0" applyNumberFormat="1" applyFont="1" applyFill="1" applyBorder="1" applyAlignment="1" applyProtection="1">
      <alignment horizontal="center" vertical="center"/>
    </xf>
    <xf numFmtId="0" fontId="45" fillId="0" borderId="31" xfId="0" applyFont="1" applyFill="1" applyBorder="1" applyAlignment="1" applyProtection="1">
      <alignment horizontal="left" vertical="top" wrapText="1"/>
    </xf>
    <xf numFmtId="0" fontId="44" fillId="0" borderId="32" xfId="0" applyFont="1" applyFill="1" applyBorder="1" applyAlignment="1" applyProtection="1">
      <alignment horizontal="left" vertical="top" wrapText="1"/>
    </xf>
    <xf numFmtId="0" fontId="44" fillId="0" borderId="33" xfId="0" applyFont="1" applyFill="1" applyBorder="1" applyAlignment="1" applyProtection="1">
      <alignment horizontal="left" vertical="top" wrapText="1"/>
    </xf>
    <xf numFmtId="0" fontId="42" fillId="0" borderId="24" xfId="0" applyFont="1" applyFill="1" applyBorder="1" applyAlignment="1" applyProtection="1">
      <alignment horizontal="center" vertical="top" wrapText="1"/>
    </xf>
    <xf numFmtId="0" fontId="42" fillId="0" borderId="0" xfId="0" applyFont="1" applyFill="1" applyBorder="1" applyAlignment="1" applyProtection="1">
      <alignment horizontal="center" vertical="top" wrapText="1"/>
    </xf>
    <xf numFmtId="0" fontId="42" fillId="0" borderId="35" xfId="0" applyFont="1" applyFill="1" applyBorder="1" applyAlignment="1" applyProtection="1">
      <alignment horizontal="center" vertical="top" wrapText="1"/>
    </xf>
    <xf numFmtId="166" fontId="12" fillId="0" borderId="1" xfId="0" applyNumberFormat="1"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10" fillId="28" borderId="1" xfId="0" applyFont="1" applyFill="1" applyBorder="1" applyAlignment="1" applyProtection="1">
      <alignment horizontal="left" vertical="center"/>
    </xf>
    <xf numFmtId="2" fontId="8" fillId="7"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2" fontId="12" fillId="35" borderId="2" xfId="4" applyNumberFormat="1" applyFont="1" applyBorder="1" applyAlignment="1" applyProtection="1">
      <alignment horizontal="center" vertical="center" wrapText="1"/>
      <protection locked="0"/>
    </xf>
    <xf numFmtId="2" fontId="12" fillId="35" borderId="10" xfId="4" applyNumberFormat="1" applyFont="1" applyBorder="1" applyAlignment="1" applyProtection="1">
      <alignment horizontal="center" vertical="center" wrapText="1"/>
      <protection locked="0"/>
    </xf>
    <xf numFmtId="2" fontId="12" fillId="35" borderId="3" xfId="4"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xf>
    <xf numFmtId="0" fontId="0" fillId="0" borderId="1" xfId="0" applyBorder="1" applyAlignment="1" applyProtection="1">
      <alignment horizontal="center"/>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2" fontId="12" fillId="0" borderId="6" xfId="0" applyNumberFormat="1" applyFont="1" applyBorder="1" applyAlignment="1">
      <alignment horizontal="center" vertical="center"/>
    </xf>
    <xf numFmtId="0" fontId="5" fillId="29" borderId="7" xfId="0" applyFont="1" applyFill="1" applyBorder="1" applyAlignment="1" applyProtection="1">
      <alignment horizontal="left" vertical="center"/>
    </xf>
    <xf numFmtId="0" fontId="5" fillId="29" borderId="6" xfId="0" applyFont="1" applyFill="1" applyBorder="1" applyAlignment="1" applyProtection="1">
      <alignment horizontal="left" vertical="center"/>
    </xf>
    <xf numFmtId="0" fontId="42" fillId="0" borderId="28" xfId="0" applyFont="1" applyBorder="1" applyAlignment="1" applyProtection="1">
      <alignment horizontal="center" vertical="top" wrapText="1"/>
    </xf>
    <xf numFmtId="0" fontId="42" fillId="0" borderId="29" xfId="0" applyFont="1" applyBorder="1" applyAlignment="1" applyProtection="1">
      <alignment horizontal="center" vertical="top" wrapText="1"/>
    </xf>
    <xf numFmtId="0" fontId="42" fillId="0" borderId="30" xfId="0" applyFont="1" applyBorder="1" applyAlignment="1" applyProtection="1">
      <alignment horizontal="center" vertical="top" wrapText="1"/>
    </xf>
    <xf numFmtId="0" fontId="12" fillId="0" borderId="1" xfId="0" applyFont="1" applyFill="1" applyBorder="1" applyAlignment="1" applyProtection="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FFCC99"/>
      <color rgb="FF9933FF"/>
      <color rgb="FF9966FF"/>
      <color rgb="FF0A0064"/>
      <color rgb="FFCCCCFF"/>
      <color rgb="FFFFFFCC"/>
      <color rgb="FFFFFF99"/>
      <color rgb="FFFFFF66"/>
      <color rgb="FF66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364285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88137" y="84053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381000</xdr:colOff>
      <xdr:row>2</xdr:row>
      <xdr:rowOff>535678</xdr:rowOff>
    </xdr:from>
    <xdr:to>
      <xdr:col>1</xdr:col>
      <xdr:colOff>2135687</xdr:colOff>
      <xdr:row>2</xdr:row>
      <xdr:rowOff>535678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2" idx="1"/>
        </xdr:cNvCxnSpPr>
      </xdr:nvCxnSpPr>
      <xdr:spPr>
        <a:xfrm flipH="1">
          <a:off x="933450" y="1011928"/>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152400</xdr:rowOff>
        </xdr:from>
        <xdr:to>
          <xdr:col>1</xdr:col>
          <xdr:colOff>333375</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efreshError="1">
        <row r="6">
          <cell r="A6" t="str">
            <v>SECTION 0 - GENERAL</v>
          </cell>
          <cell r="E6">
            <v>7</v>
          </cell>
          <cell r="F6">
            <v>0</v>
          </cell>
          <cell r="H6" t="str">
            <v xml:space="preserve">SECTION 5 - LANDSCAPE </v>
          </cell>
          <cell r="L6">
            <v>10.5</v>
          </cell>
          <cell r="M6">
            <v>0</v>
          </cell>
        </row>
        <row r="7">
          <cell r="B7" t="str">
            <v>General Project Requirement</v>
          </cell>
          <cell r="E7">
            <v>7</v>
          </cell>
          <cell r="F7">
            <v>0</v>
          </cell>
          <cell r="I7" t="str">
            <v>Softscape</v>
          </cell>
          <cell r="L7">
            <v>1.5</v>
          </cell>
          <cell r="M7">
            <v>0</v>
          </cell>
        </row>
        <row r="8">
          <cell r="A8" t="str">
            <v>SECTION 1 - ARCHITECTURAL EXTERIOR</v>
          </cell>
          <cell r="E8">
            <v>10.5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1.5</v>
          </cell>
          <cell r="M10">
            <v>0</v>
          </cell>
        </row>
        <row r="11">
          <cell r="A11" t="str">
            <v>Part B - Façade System</v>
          </cell>
          <cell r="E11">
            <v>4</v>
          </cell>
          <cell r="F11">
            <v>0</v>
          </cell>
          <cell r="I11" t="str">
            <v>Water Retaining Structures</v>
          </cell>
          <cell r="L11">
            <v>2</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H13" t="str">
            <v xml:space="preserve">SECTION 6 - SMART FM </v>
          </cell>
          <cell r="L13">
            <v>13</v>
          </cell>
          <cell r="M13">
            <v>0</v>
          </cell>
        </row>
        <row r="14">
          <cell r="B14" t="str">
            <v>Masonry and Lightweight Concrete Panels</v>
          </cell>
          <cell r="I14" t="str">
            <v>Good Practices</v>
          </cell>
          <cell r="L14">
            <v>2</v>
          </cell>
          <cell r="M14">
            <v>0</v>
          </cell>
        </row>
        <row r="15">
          <cell r="A15" t="str">
            <v>Part C - Others</v>
          </cell>
          <cell r="E15">
            <v>6</v>
          </cell>
          <cell r="F15">
            <v>0</v>
          </cell>
          <cell r="I15" t="str">
            <v>Cybersecurity</v>
          </cell>
          <cell r="L15">
            <v>1</v>
          </cell>
          <cell r="M15">
            <v>0</v>
          </cell>
        </row>
        <row r="16">
          <cell r="B16" t="str">
            <v>Façade Features/ considerations</v>
          </cell>
          <cell r="E16">
            <v>3</v>
          </cell>
          <cell r="F16">
            <v>0</v>
          </cell>
          <cell r="I16" t="str">
            <v>Innovation</v>
          </cell>
          <cell r="L16">
            <v>3</v>
          </cell>
          <cell r="M16">
            <v>0</v>
          </cell>
        </row>
        <row r="17">
          <cell r="B17" t="str">
            <v>Entrance lobby</v>
          </cell>
          <cell r="E17">
            <v>3</v>
          </cell>
          <cell r="F17">
            <v>0</v>
          </cell>
          <cell r="I17" t="str">
            <v>Advanced Smart FM</v>
          </cell>
          <cell r="L17">
            <v>4</v>
          </cell>
          <cell r="M17">
            <v>0</v>
          </cell>
        </row>
        <row r="18">
          <cell r="B18" t="str">
            <v>Roof</v>
          </cell>
          <cell r="E18" t="str">
            <v>Pre-req</v>
          </cell>
          <cell r="I18" t="str">
            <v>Robotics &amp; Automation</v>
          </cell>
          <cell r="L18">
            <v>3</v>
          </cell>
          <cell r="M18">
            <v>0</v>
          </cell>
        </row>
        <row r="19">
          <cell r="A19" t="str">
            <v>SECTION 2 - ARCHITECTURAL INTERIOR</v>
          </cell>
          <cell r="E19">
            <v>21</v>
          </cell>
          <cell r="F19">
            <v>0</v>
          </cell>
        </row>
        <row r="20">
          <cell r="B20" t="str">
            <v>Floors</v>
          </cell>
          <cell r="E20">
            <v>2.5</v>
          </cell>
          <cell r="F20">
            <v>0</v>
          </cell>
          <cell r="H20" t="str">
            <v>Section 1 BONUS POINTS</v>
          </cell>
          <cell r="L20">
            <v>2</v>
          </cell>
          <cell r="M20">
            <v>0</v>
          </cell>
        </row>
        <row r="21">
          <cell r="B21" t="str">
            <v>Walls and Partitions</v>
          </cell>
          <cell r="E21">
            <v>1</v>
          </cell>
          <cell r="F21">
            <v>0</v>
          </cell>
          <cell r="H21" t="str">
            <v>Section 5 BONUS POINTS</v>
          </cell>
          <cell r="L21">
            <v>2.5</v>
          </cell>
          <cell r="M21">
            <v>0</v>
          </cell>
        </row>
        <row r="22">
          <cell r="B22" t="str">
            <v>Ceiling</v>
          </cell>
          <cell r="E22">
            <v>4</v>
          </cell>
          <cell r="F22">
            <v>0</v>
          </cell>
        </row>
        <row r="23">
          <cell r="B23" t="str">
            <v>Wet Rooms and Storage</v>
          </cell>
          <cell r="E23">
            <v>8</v>
          </cell>
          <cell r="F23">
            <v>0</v>
          </cell>
        </row>
        <row r="24">
          <cell r="B24" t="str">
            <v>Basements</v>
          </cell>
          <cell r="E24">
            <v>4</v>
          </cell>
          <cell r="F24">
            <v>0</v>
          </cell>
          <cell r="K24">
            <v>0</v>
          </cell>
          <cell r="N24">
            <v>0</v>
          </cell>
        </row>
        <row r="25">
          <cell r="B25" t="str">
            <v>Loading Bay/ Back of House Service Areas</v>
          </cell>
          <cell r="E25">
            <v>1.5</v>
          </cell>
          <cell r="F25">
            <v>0</v>
          </cell>
          <cell r="K25">
            <v>91</v>
          </cell>
        </row>
        <row r="26">
          <cell r="A26" t="str">
            <v xml:space="preserve">SECTION 3 - MECHANICAL </v>
          </cell>
          <cell r="E26">
            <v>18.5</v>
          </cell>
          <cell r="F26">
            <v>0</v>
          </cell>
          <cell r="K26">
            <v>0</v>
          </cell>
        </row>
        <row r="27">
          <cell r="A27" t="str">
            <v>Part A - Cooling Systems</v>
          </cell>
          <cell r="E27">
            <v>9.5</v>
          </cell>
          <cell r="F27">
            <v>0</v>
          </cell>
          <cell r="K27">
            <v>0</v>
          </cell>
          <cell r="M27">
            <v>0</v>
          </cell>
        </row>
        <row r="28">
          <cell r="B28" t="str">
            <v>Chiller Plant</v>
          </cell>
          <cell r="E28">
            <v>9.5</v>
          </cell>
          <cell r="F28">
            <v>0</v>
          </cell>
        </row>
        <row r="29">
          <cell r="B29" t="str">
            <v>VRF</v>
          </cell>
          <cell r="E29">
            <v>1</v>
          </cell>
          <cell r="F29">
            <v>0</v>
          </cell>
        </row>
        <row r="30">
          <cell r="A30" t="str">
            <v>Part B - Other systems</v>
          </cell>
          <cell r="E30">
            <v>9</v>
          </cell>
          <cell r="F30">
            <v>0</v>
          </cell>
        </row>
        <row r="31">
          <cell r="B31" t="str">
            <v>Air Distribution System</v>
          </cell>
          <cell r="E31">
            <v>4</v>
          </cell>
          <cell r="F31">
            <v>0</v>
          </cell>
        </row>
        <row r="32">
          <cell r="B32" t="str">
            <v>Domestic Water Supply</v>
          </cell>
          <cell r="E32" t="str">
            <v>Pre-req</v>
          </cell>
          <cell r="M32" t="str">
            <v/>
          </cell>
        </row>
        <row r="33">
          <cell r="B33" t="str">
            <v>Sanitary System</v>
          </cell>
          <cell r="E33">
            <v>2</v>
          </cell>
          <cell r="F33">
            <v>0</v>
          </cell>
          <cell r="M33">
            <v>0</v>
          </cell>
        </row>
        <row r="34">
          <cell r="B34" t="str">
            <v>Fire Protection System</v>
          </cell>
          <cell r="E34">
            <v>2</v>
          </cell>
          <cell r="F34">
            <v>0</v>
          </cell>
        </row>
        <row r="35">
          <cell r="B35" t="str">
            <v>Building Management System</v>
          </cell>
          <cell r="E35">
            <v>1</v>
          </cell>
          <cell r="F35">
            <v>0</v>
          </cell>
        </row>
        <row r="36">
          <cell r="A36" t="str">
            <v xml:space="preserve">SECTION 4 - ELECTRICAL </v>
          </cell>
          <cell r="E36">
            <v>10.5</v>
          </cell>
          <cell r="F36">
            <v>0</v>
          </cell>
        </row>
        <row r="37">
          <cell r="B37" t="str">
            <v>Lighting System</v>
          </cell>
          <cell r="E37">
            <v>2</v>
          </cell>
          <cell r="F37">
            <v>0</v>
          </cell>
        </row>
        <row r="38">
          <cell r="B38" t="str">
            <v>Power Distribution System</v>
          </cell>
          <cell r="E38">
            <v>2</v>
          </cell>
          <cell r="F38">
            <v>0</v>
          </cell>
        </row>
        <row r="39">
          <cell r="B39" t="str">
            <v>Extra Low Voltage System</v>
          </cell>
          <cell r="E39">
            <v>3</v>
          </cell>
          <cell r="F39">
            <v>0</v>
          </cell>
        </row>
        <row r="40">
          <cell r="B40" t="str">
            <v>Lightning Protection System</v>
          </cell>
          <cell r="E40">
            <v>1</v>
          </cell>
          <cell r="F40">
            <v>0</v>
          </cell>
        </row>
        <row r="41">
          <cell r="B41" t="str">
            <v>Vertical Transportation System</v>
          </cell>
          <cell r="E41">
            <v>2</v>
          </cell>
          <cell r="F41">
            <v>0</v>
          </cell>
        </row>
        <row r="42">
          <cell r="B42" t="str">
            <v>Solar PV System</v>
          </cell>
          <cell r="E42">
            <v>0.5</v>
          </cell>
          <cell r="F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M18">
            <v>0</v>
          </cell>
        </row>
        <row r="19">
          <cell r="F19">
            <v>0</v>
          </cell>
        </row>
        <row r="20">
          <cell r="F20">
            <v>0</v>
          </cell>
          <cell r="M20">
            <v>0</v>
          </cell>
        </row>
        <row r="21">
          <cell r="F21">
            <v>0</v>
          </cell>
          <cell r="M21">
            <v>0</v>
          </cell>
        </row>
        <row r="22">
          <cell r="F22">
            <v>0</v>
          </cell>
        </row>
        <row r="23">
          <cell r="F23">
            <v>0</v>
          </cell>
        </row>
        <row r="24">
          <cell r="F24">
            <v>0</v>
          </cell>
          <cell r="K24">
            <v>0</v>
          </cell>
          <cell r="N24">
            <v>0</v>
          </cell>
        </row>
        <row r="25">
          <cell r="F25">
            <v>0</v>
          </cell>
        </row>
        <row r="26">
          <cell r="F26">
            <v>0</v>
          </cell>
          <cell r="K26">
            <v>0</v>
          </cell>
        </row>
        <row r="27">
          <cell r="F27">
            <v>0</v>
          </cell>
          <cell r="K27">
            <v>0</v>
          </cell>
          <cell r="M27">
            <v>0</v>
          </cell>
        </row>
        <row r="28">
          <cell r="F28">
            <v>0</v>
          </cell>
        </row>
        <row r="29">
          <cell r="F29">
            <v>0</v>
          </cell>
        </row>
        <row r="30">
          <cell r="F30">
            <v>0</v>
          </cell>
        </row>
        <row r="31">
          <cell r="F31">
            <v>0</v>
          </cell>
        </row>
        <row r="32">
          <cell r="M32" t="str">
            <v/>
          </cell>
        </row>
        <row r="33">
          <cell r="F33">
            <v>0</v>
          </cell>
          <cell r="M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election activeCell="A5" sqref="A5"/>
    </sheetView>
  </sheetViews>
  <sheetFormatPr defaultColWidth="8.85546875" defaultRowHeight="15" x14ac:dyDescent="0.25"/>
  <cols>
    <col min="1" max="1" width="33.85546875" style="320" customWidth="1"/>
    <col min="2" max="2" width="11.85546875" style="8" customWidth="1"/>
    <col min="3" max="3" width="63" style="8" customWidth="1"/>
    <col min="4" max="5" width="50.7109375" style="8" customWidth="1"/>
    <col min="6" max="6" width="8.85546875" style="8"/>
    <col min="7" max="7" width="63" style="317" hidden="1" customWidth="1"/>
    <col min="8" max="16384" width="8.85546875" style="8"/>
  </cols>
  <sheetData>
    <row r="2" spans="1:7" s="315" customFormat="1" ht="20.25" x14ac:dyDescent="0.3">
      <c r="A2" s="365"/>
      <c r="B2" s="365"/>
      <c r="C2" s="365"/>
    </row>
    <row r="3" spans="1:7" s="315" customFormat="1" ht="20.25" x14ac:dyDescent="0.3">
      <c r="A3" s="14"/>
      <c r="B3" s="15"/>
      <c r="C3" s="16"/>
    </row>
    <row r="4" spans="1:7" s="315" customFormat="1" ht="20.25" x14ac:dyDescent="0.3">
      <c r="A4" s="14" t="s">
        <v>505</v>
      </c>
      <c r="B4" s="15"/>
      <c r="C4" s="16"/>
    </row>
    <row r="5" spans="1:7" s="315" customFormat="1" ht="20.25" x14ac:dyDescent="0.3">
      <c r="A5" s="14"/>
      <c r="B5" s="15"/>
      <c r="C5" s="16"/>
    </row>
    <row r="6" spans="1:7" s="315" customFormat="1" ht="31.5" customHeight="1" x14ac:dyDescent="0.3">
      <c r="A6" s="17"/>
      <c r="B6" s="18"/>
      <c r="C6" s="19"/>
    </row>
    <row r="7" spans="1:7" ht="20.100000000000001" customHeight="1" x14ac:dyDescent="0.25">
      <c r="A7" s="366" t="s">
        <v>403</v>
      </c>
      <c r="B7" s="366"/>
      <c r="C7" s="366"/>
      <c r="G7" s="316" t="s">
        <v>404</v>
      </c>
    </row>
    <row r="8" spans="1:7" ht="20.100000000000001" customHeight="1" x14ac:dyDescent="0.25">
      <c r="A8" s="364" t="s">
        <v>405</v>
      </c>
      <c r="B8" s="364"/>
      <c r="C8" s="20"/>
    </row>
    <row r="9" spans="1:7" ht="20.100000000000001" customHeight="1" x14ac:dyDescent="0.25">
      <c r="A9" s="364" t="s">
        <v>406</v>
      </c>
      <c r="B9" s="364"/>
      <c r="C9" s="20"/>
    </row>
    <row r="10" spans="1:7" ht="20.100000000000001" customHeight="1" x14ac:dyDescent="0.25">
      <c r="A10" s="364" t="s">
        <v>407</v>
      </c>
      <c r="B10" s="364"/>
      <c r="C10" s="20"/>
      <c r="G10" s="318" t="s">
        <v>408</v>
      </c>
    </row>
    <row r="11" spans="1:7" ht="20.100000000000001" customHeight="1" x14ac:dyDescent="0.25">
      <c r="A11" s="364" t="s">
        <v>409</v>
      </c>
      <c r="B11" s="364"/>
      <c r="C11" s="21"/>
      <c r="G11" s="318"/>
    </row>
    <row r="12" spans="1:7" ht="20.100000000000001" customHeight="1" x14ac:dyDescent="0.25">
      <c r="A12" s="364" t="s">
        <v>410</v>
      </c>
      <c r="B12" s="364"/>
      <c r="C12" s="21"/>
      <c r="G12" s="318"/>
    </row>
    <row r="13" spans="1:7" ht="20.100000000000001" customHeight="1" x14ac:dyDescent="0.25">
      <c r="A13" s="364" t="s">
        <v>411</v>
      </c>
      <c r="B13" s="364"/>
      <c r="C13" s="21"/>
      <c r="G13" s="318"/>
    </row>
    <row r="14" spans="1:7" ht="20.100000000000001" customHeight="1" x14ac:dyDescent="0.25">
      <c r="A14" s="367"/>
      <c r="B14" s="367"/>
      <c r="C14" s="319"/>
      <c r="G14" s="318"/>
    </row>
    <row r="15" spans="1:7" ht="20.100000000000001" customHeight="1" x14ac:dyDescent="0.25">
      <c r="A15" s="367" t="s">
        <v>412</v>
      </c>
      <c r="B15" s="367"/>
      <c r="C15" s="22"/>
      <c r="G15" s="318"/>
    </row>
    <row r="16" spans="1:7" ht="20.100000000000001" customHeight="1" x14ac:dyDescent="0.25">
      <c r="A16" s="364" t="s">
        <v>413</v>
      </c>
      <c r="B16" s="364"/>
      <c r="C16" s="23"/>
      <c r="G16" s="318" t="s">
        <v>414</v>
      </c>
    </row>
    <row r="17" spans="1:3" ht="20.100000000000001" customHeight="1" x14ac:dyDescent="0.25">
      <c r="A17" s="364" t="s">
        <v>415</v>
      </c>
      <c r="B17" s="364"/>
      <c r="C17" s="24"/>
    </row>
    <row r="18" spans="1:3" ht="20.100000000000001" customHeight="1" x14ac:dyDescent="0.25">
      <c r="A18" s="364" t="s">
        <v>416</v>
      </c>
      <c r="B18" s="364"/>
      <c r="C18" s="23"/>
    </row>
    <row r="19" spans="1:3" ht="20.100000000000001" customHeight="1" x14ac:dyDescent="0.25">
      <c r="A19" s="364" t="s">
        <v>417</v>
      </c>
      <c r="B19" s="364"/>
      <c r="C19" s="25"/>
    </row>
    <row r="20" spans="1:3" ht="20.100000000000001" customHeight="1" x14ac:dyDescent="0.25">
      <c r="A20" s="369" t="s">
        <v>418</v>
      </c>
      <c r="B20" s="369"/>
      <c r="C20" s="26"/>
    </row>
    <row r="21" spans="1:3" ht="20.100000000000001" customHeight="1" x14ac:dyDescent="0.25">
      <c r="A21" s="369" t="s">
        <v>419</v>
      </c>
      <c r="B21" s="369"/>
      <c r="C21" s="27"/>
    </row>
    <row r="22" spans="1:3" ht="20.100000000000001" customHeight="1" x14ac:dyDescent="0.25">
      <c r="A22" s="369" t="s">
        <v>420</v>
      </c>
      <c r="B22" s="369"/>
      <c r="C22" s="28"/>
    </row>
    <row r="23" spans="1:3" ht="20.100000000000001" customHeight="1" x14ac:dyDescent="0.25">
      <c r="A23" s="364" t="s">
        <v>446</v>
      </c>
      <c r="B23" s="364"/>
      <c r="C23" s="9"/>
    </row>
    <row r="24" spans="1:3" x14ac:dyDescent="0.25">
      <c r="A24" s="364"/>
      <c r="B24" s="364"/>
      <c r="C24" s="9"/>
    </row>
    <row r="25" spans="1:3" ht="104.25" customHeight="1" x14ac:dyDescent="0.25">
      <c r="A25" s="368" t="s">
        <v>499</v>
      </c>
      <c r="B25" s="368"/>
      <c r="C25" s="362"/>
    </row>
  </sheetData>
  <sheetProtection formatCells="0" selectLockedCells="1"/>
  <mergeCells count="20">
    <mergeCell ref="A24:B24"/>
    <mergeCell ref="A25:B25"/>
    <mergeCell ref="A22:B22"/>
    <mergeCell ref="A23:B23"/>
    <mergeCell ref="A17:B17"/>
    <mergeCell ref="A18:B18"/>
    <mergeCell ref="A19:B19"/>
    <mergeCell ref="A20:B20"/>
    <mergeCell ref="A21:B21"/>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Normal="100" workbookViewId="0">
      <selection activeCell="A2" sqref="A2"/>
    </sheetView>
  </sheetViews>
  <sheetFormatPr defaultColWidth="9.140625" defaultRowHeight="15" x14ac:dyDescent="0.25"/>
  <cols>
    <col min="1" max="1" width="29.85546875" style="8" customWidth="1"/>
    <col min="2" max="2" width="26.28515625" style="8" customWidth="1"/>
    <col min="3" max="3" width="26.140625" style="8" customWidth="1"/>
    <col min="4" max="4" width="23.5703125" style="8" customWidth="1"/>
    <col min="5" max="6" width="50.7109375" style="8" customWidth="1"/>
    <col min="7" max="16384" width="9.140625" style="8"/>
  </cols>
  <sheetData>
    <row r="1" spans="1:4" ht="31.5" x14ac:dyDescent="0.5">
      <c r="A1" s="39" t="s">
        <v>506</v>
      </c>
    </row>
    <row r="2" spans="1:4" x14ac:dyDescent="0.25">
      <c r="A2" s="38" t="s">
        <v>12</v>
      </c>
    </row>
    <row r="3" spans="1:4" x14ac:dyDescent="0.25">
      <c r="A3" s="38" t="s">
        <v>0</v>
      </c>
    </row>
    <row r="4" spans="1:4" x14ac:dyDescent="0.25">
      <c r="A4" s="38" t="s">
        <v>1</v>
      </c>
    </row>
    <row r="5" spans="1:4" x14ac:dyDescent="0.25">
      <c r="A5" s="6"/>
    </row>
    <row r="6" spans="1:4" ht="31.5" x14ac:dyDescent="0.5">
      <c r="A6" s="6"/>
      <c r="B6" s="370" t="s">
        <v>11</v>
      </c>
      <c r="C6" s="370"/>
      <c r="D6" s="370"/>
    </row>
    <row r="7" spans="1:4" ht="18.75" x14ac:dyDescent="0.3">
      <c r="A7" s="29"/>
      <c r="B7" s="30" t="s">
        <v>2</v>
      </c>
      <c r="C7" s="290" t="s">
        <v>3</v>
      </c>
      <c r="D7" s="290" t="s">
        <v>4</v>
      </c>
    </row>
    <row r="8" spans="1:4" ht="18.75" x14ac:dyDescent="0.3">
      <c r="A8" s="31" t="s">
        <v>8</v>
      </c>
      <c r="B8" s="10">
        <v>15</v>
      </c>
      <c r="C8" s="32">
        <f>'4. Resilience'!F2</f>
        <v>0</v>
      </c>
      <c r="D8" s="363"/>
    </row>
    <row r="9" spans="1:4" ht="18.75" x14ac:dyDescent="0.3">
      <c r="A9" s="33" t="s">
        <v>7</v>
      </c>
      <c r="B9" s="10">
        <v>15</v>
      </c>
      <c r="C9" s="32">
        <f>'5. Whole Life Carbon'!H2</f>
        <v>0</v>
      </c>
      <c r="D9" s="363"/>
    </row>
    <row r="10" spans="1:4" ht="18.75" x14ac:dyDescent="0.3">
      <c r="A10" s="34" t="s">
        <v>6</v>
      </c>
      <c r="B10" s="10">
        <v>15</v>
      </c>
      <c r="C10" s="32">
        <f>'6. Health&amp;Wellbeing'!H2</f>
        <v>0</v>
      </c>
      <c r="D10" s="363"/>
    </row>
    <row r="11" spans="1:4" ht="18.75" x14ac:dyDescent="0.3">
      <c r="A11" s="35" t="s">
        <v>9</v>
      </c>
      <c r="B11" s="10">
        <v>15</v>
      </c>
      <c r="C11" s="32">
        <f>'7. Intelligence'!F2</f>
        <v>0</v>
      </c>
      <c r="D11" s="363"/>
    </row>
    <row r="12" spans="1:4" ht="18.75" x14ac:dyDescent="0.3">
      <c r="A12" s="291" t="s">
        <v>10</v>
      </c>
      <c r="B12" s="10">
        <v>15</v>
      </c>
      <c r="C12" s="359">
        <f>D32</f>
        <v>0</v>
      </c>
      <c r="D12" s="363"/>
    </row>
    <row r="13" spans="1:4" ht="18.75" x14ac:dyDescent="0.3">
      <c r="A13" s="36" t="s">
        <v>13</v>
      </c>
      <c r="B13" s="290">
        <v>75</v>
      </c>
      <c r="C13" s="32">
        <f>SUM(C8:C12)</f>
        <v>0</v>
      </c>
      <c r="D13" s="37"/>
    </row>
    <row r="14" spans="1:4" x14ac:dyDescent="0.25">
      <c r="A14" s="6"/>
      <c r="B14" s="6"/>
      <c r="C14" s="6"/>
      <c r="D14" s="6"/>
    </row>
    <row r="15" spans="1:4" x14ac:dyDescent="0.25">
      <c r="A15" s="6"/>
      <c r="B15" s="6"/>
      <c r="C15" s="6"/>
      <c r="D15" s="6"/>
    </row>
    <row r="16" spans="1:4" x14ac:dyDescent="0.25">
      <c r="A16" s="6"/>
      <c r="B16" s="6"/>
      <c r="C16" s="6"/>
      <c r="D16" s="6"/>
    </row>
    <row r="17" spans="1:4" ht="18.75" x14ac:dyDescent="0.3">
      <c r="A17" s="371" t="s">
        <v>14</v>
      </c>
      <c r="B17" s="371"/>
      <c r="C17" s="290" t="s">
        <v>2</v>
      </c>
      <c r="D17" s="290" t="s">
        <v>3</v>
      </c>
    </row>
    <row r="18" spans="1:4" ht="18.75" x14ac:dyDescent="0.3">
      <c r="A18" s="31" t="s">
        <v>15</v>
      </c>
      <c r="B18" s="31" t="s">
        <v>27</v>
      </c>
      <c r="C18" s="10">
        <v>5</v>
      </c>
      <c r="D18" s="32">
        <f>'4. Resilience'!F3</f>
        <v>0</v>
      </c>
    </row>
    <row r="19" spans="1:4" ht="18.75" x14ac:dyDescent="0.3">
      <c r="A19" s="31" t="s">
        <v>16</v>
      </c>
      <c r="B19" s="31" t="s">
        <v>28</v>
      </c>
      <c r="C19" s="10">
        <v>5</v>
      </c>
      <c r="D19" s="10">
        <f>'4. Resilience'!F28</f>
        <v>0</v>
      </c>
    </row>
    <row r="20" spans="1:4" ht="18.75" x14ac:dyDescent="0.3">
      <c r="A20" s="31" t="s">
        <v>17</v>
      </c>
      <c r="B20" s="31" t="s">
        <v>38</v>
      </c>
      <c r="C20" s="10">
        <v>5</v>
      </c>
      <c r="D20" s="32">
        <f>'4. Resilience'!F54</f>
        <v>0</v>
      </c>
    </row>
    <row r="21" spans="1:4" ht="18.75" x14ac:dyDescent="0.3">
      <c r="A21" s="33" t="s">
        <v>18</v>
      </c>
      <c r="B21" s="33" t="s">
        <v>29</v>
      </c>
      <c r="C21" s="10">
        <v>5</v>
      </c>
      <c r="D21" s="10">
        <f>'5. Whole Life Carbon'!H3</f>
        <v>0</v>
      </c>
    </row>
    <row r="22" spans="1:4" ht="18.75" x14ac:dyDescent="0.3">
      <c r="A22" s="33" t="s">
        <v>19</v>
      </c>
      <c r="B22" s="33" t="s">
        <v>30</v>
      </c>
      <c r="C22" s="10">
        <v>5</v>
      </c>
      <c r="D22" s="10">
        <f>'5. Whole Life Carbon'!H30</f>
        <v>0</v>
      </c>
    </row>
    <row r="23" spans="1:4" ht="18.75" x14ac:dyDescent="0.3">
      <c r="A23" s="33" t="s">
        <v>20</v>
      </c>
      <c r="B23" s="33" t="s">
        <v>31</v>
      </c>
      <c r="C23" s="10">
        <v>5</v>
      </c>
      <c r="D23" s="10">
        <f>'5. Whole Life Carbon'!H69</f>
        <v>0</v>
      </c>
    </row>
    <row r="24" spans="1:4" ht="18.75" x14ac:dyDescent="0.3">
      <c r="A24" s="34" t="s">
        <v>21</v>
      </c>
      <c r="B24" s="34" t="s">
        <v>32</v>
      </c>
      <c r="C24" s="10">
        <v>5</v>
      </c>
      <c r="D24" s="10">
        <f>'6. Health&amp;Wellbeing'!H3</f>
        <v>0</v>
      </c>
    </row>
    <row r="25" spans="1:4" ht="18.75" x14ac:dyDescent="0.3">
      <c r="A25" s="34" t="s">
        <v>22</v>
      </c>
      <c r="B25" s="34" t="s">
        <v>33</v>
      </c>
      <c r="C25" s="10">
        <v>5</v>
      </c>
      <c r="D25" s="10">
        <f>'6. Health&amp;Wellbeing'!H46</f>
        <v>0</v>
      </c>
    </row>
    <row r="26" spans="1:4" ht="18.75" x14ac:dyDescent="0.3">
      <c r="A26" s="34" t="s">
        <v>23</v>
      </c>
      <c r="B26" s="34" t="s">
        <v>34</v>
      </c>
      <c r="C26" s="10">
        <v>5</v>
      </c>
      <c r="D26" s="10">
        <f>'6. Health&amp;Wellbeing'!H71</f>
        <v>0</v>
      </c>
    </row>
    <row r="27" spans="1:4" ht="18.75" x14ac:dyDescent="0.3">
      <c r="A27" s="35" t="s">
        <v>24</v>
      </c>
      <c r="B27" s="35" t="s">
        <v>35</v>
      </c>
      <c r="C27" s="10">
        <v>5</v>
      </c>
      <c r="D27" s="10">
        <f>'7. Intelligence'!F3</f>
        <v>0</v>
      </c>
    </row>
    <row r="28" spans="1:4" ht="18.75" x14ac:dyDescent="0.3">
      <c r="A28" s="35" t="s">
        <v>25</v>
      </c>
      <c r="B28" s="35" t="s">
        <v>36</v>
      </c>
      <c r="C28" s="10">
        <v>5</v>
      </c>
      <c r="D28" s="10">
        <f>'7. Intelligence'!F20</f>
        <v>0</v>
      </c>
    </row>
    <row r="29" spans="1:4" ht="18.75" x14ac:dyDescent="0.3">
      <c r="A29" s="35" t="s">
        <v>26</v>
      </c>
      <c r="B29" s="35" t="s">
        <v>37</v>
      </c>
      <c r="C29" s="10">
        <v>5</v>
      </c>
      <c r="D29" s="10">
        <f>'7. Intelligence'!F31</f>
        <v>0</v>
      </c>
    </row>
    <row r="30" spans="1:4" x14ac:dyDescent="0.25">
      <c r="A30" s="6"/>
      <c r="B30" s="6"/>
      <c r="C30" s="6"/>
      <c r="D30" s="6"/>
    </row>
    <row r="31" spans="1:4" ht="37.5" x14ac:dyDescent="0.25">
      <c r="A31" s="372" t="s">
        <v>10</v>
      </c>
      <c r="B31" s="13" t="s">
        <v>492</v>
      </c>
      <c r="C31" s="13" t="s">
        <v>493</v>
      </c>
      <c r="D31" s="13" t="s">
        <v>39</v>
      </c>
    </row>
    <row r="32" spans="1:4" ht="18.75" customHeight="1" x14ac:dyDescent="0.3">
      <c r="A32" s="372"/>
      <c r="B32" s="11">
        <f>'8. Maintainability'!C7</f>
        <v>91</v>
      </c>
      <c r="C32" s="12">
        <f>IF(AND('8. Maintainability'!E65=0,'8. Maintainability'!G65=""),0,IF('8. Maintainability'!E65=0,'8. Maintainability'!G65,'8. Maintainability'!E65))</f>
        <v>0</v>
      </c>
      <c r="D32" s="359">
        <f>IF('8. Maintainability'!C67="",0,'8. Maintainability'!C67)</f>
        <v>0</v>
      </c>
    </row>
  </sheetData>
  <sheetProtection formatCells="0" selectLockedCells="1"/>
  <mergeCells count="3">
    <mergeCell ref="B6:D6"/>
    <mergeCell ref="A17:B17"/>
    <mergeCell ref="A31:A32"/>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16" sqref="C16"/>
    </sheetView>
  </sheetViews>
  <sheetFormatPr defaultColWidth="9.140625" defaultRowHeight="15" x14ac:dyDescent="0.25"/>
  <cols>
    <col min="1" max="1" width="8.7109375" style="6" customWidth="1"/>
    <col min="2" max="2" width="65.7109375" style="6" customWidth="1"/>
    <col min="3" max="4" width="10.7109375" style="6" customWidth="1"/>
    <col min="5" max="6" width="50.7109375" style="6" customWidth="1"/>
    <col min="7" max="7" width="15.5703125" style="6" customWidth="1"/>
    <col min="8" max="8" width="17.28515625" style="6" customWidth="1"/>
    <col min="9" max="16384" width="9.140625" style="6"/>
  </cols>
  <sheetData>
    <row r="1" spans="1:4" ht="31.5" x14ac:dyDescent="0.25">
      <c r="A1" s="375" t="s">
        <v>421</v>
      </c>
      <c r="B1" s="375"/>
      <c r="C1" s="40" t="s">
        <v>41</v>
      </c>
      <c r="D1" s="40" t="s">
        <v>42</v>
      </c>
    </row>
    <row r="2" spans="1:4" ht="21" x14ac:dyDescent="0.25">
      <c r="A2" s="374" t="s">
        <v>422</v>
      </c>
      <c r="B2" s="374"/>
      <c r="C2" s="41"/>
      <c r="D2" s="41"/>
    </row>
    <row r="3" spans="1:4" ht="15.75" x14ac:dyDescent="0.25">
      <c r="A3" s="37"/>
      <c r="B3" s="42" t="s">
        <v>423</v>
      </c>
      <c r="C3" s="4"/>
      <c r="D3" s="43" t="s">
        <v>53</v>
      </c>
    </row>
    <row r="4" spans="1:4" ht="15.75" x14ac:dyDescent="0.25">
      <c r="A4" s="373" t="s">
        <v>424</v>
      </c>
      <c r="B4" s="373"/>
      <c r="C4" s="44"/>
      <c r="D4" s="44"/>
    </row>
    <row r="5" spans="1:4" ht="15.75" x14ac:dyDescent="0.25">
      <c r="A5" s="37"/>
      <c r="B5" s="42" t="s">
        <v>426</v>
      </c>
      <c r="C5" s="4"/>
      <c r="D5" s="43" t="s">
        <v>87</v>
      </c>
    </row>
    <row r="6" spans="1:4" ht="15.75" x14ac:dyDescent="0.25">
      <c r="A6" s="373" t="s">
        <v>425</v>
      </c>
      <c r="B6" s="373"/>
      <c r="C6" s="45"/>
      <c r="D6" s="45"/>
    </row>
    <row r="7" spans="1:4" ht="15.75" x14ac:dyDescent="0.25">
      <c r="A7" s="46" t="s">
        <v>51</v>
      </c>
      <c r="B7" s="47" t="s">
        <v>433</v>
      </c>
      <c r="C7" s="4"/>
      <c r="D7" s="43" t="s">
        <v>87</v>
      </c>
    </row>
    <row r="8" spans="1:4" ht="15.75" x14ac:dyDescent="0.25">
      <c r="A8" s="46" t="s">
        <v>55</v>
      </c>
      <c r="B8" s="48" t="s">
        <v>427</v>
      </c>
      <c r="C8" s="4"/>
      <c r="D8" s="43" t="s">
        <v>67</v>
      </c>
    </row>
    <row r="9" spans="1:4" ht="15.75" x14ac:dyDescent="0.25">
      <c r="A9" s="376" t="s">
        <v>102</v>
      </c>
      <c r="B9" s="48" t="s">
        <v>441</v>
      </c>
      <c r="C9" s="4"/>
      <c r="D9" s="43" t="s">
        <v>87</v>
      </c>
    </row>
    <row r="10" spans="1:4" ht="15.75" x14ac:dyDescent="0.25">
      <c r="A10" s="376"/>
      <c r="B10" s="48" t="s">
        <v>442</v>
      </c>
      <c r="C10" s="49"/>
      <c r="D10" s="43"/>
    </row>
    <row r="11" spans="1:4" ht="15.75" x14ac:dyDescent="0.25">
      <c r="A11" s="376"/>
      <c r="B11" s="48" t="s">
        <v>439</v>
      </c>
      <c r="C11" s="4"/>
      <c r="D11" s="43" t="s">
        <v>87</v>
      </c>
    </row>
    <row r="12" spans="1:4" ht="15.75" x14ac:dyDescent="0.25">
      <c r="A12" s="376"/>
      <c r="B12" s="48" t="s">
        <v>440</v>
      </c>
      <c r="C12" s="4"/>
      <c r="D12" s="43" t="s">
        <v>87</v>
      </c>
    </row>
    <row r="13" spans="1:4" ht="15.75" x14ac:dyDescent="0.25">
      <c r="A13" s="46" t="s">
        <v>190</v>
      </c>
      <c r="B13" s="48" t="s">
        <v>428</v>
      </c>
      <c r="C13" s="4"/>
      <c r="D13" s="43" t="s">
        <v>87</v>
      </c>
    </row>
    <row r="14" spans="1:4" ht="15.75" x14ac:dyDescent="0.25">
      <c r="A14" s="46" t="s">
        <v>191</v>
      </c>
      <c r="B14" s="48" t="s">
        <v>429</v>
      </c>
      <c r="C14" s="4"/>
      <c r="D14" s="50" t="s">
        <v>67</v>
      </c>
    </row>
    <row r="15" spans="1:4" ht="15.75" x14ac:dyDescent="0.25">
      <c r="A15" s="376" t="s">
        <v>192</v>
      </c>
      <c r="B15" s="48" t="s">
        <v>430</v>
      </c>
      <c r="C15" s="37"/>
      <c r="D15" s="37"/>
    </row>
    <row r="16" spans="1:4" ht="47.25" x14ac:dyDescent="0.25">
      <c r="A16" s="376"/>
      <c r="B16" s="51" t="s">
        <v>435</v>
      </c>
      <c r="C16" s="4"/>
      <c r="D16" s="43" t="s">
        <v>53</v>
      </c>
    </row>
    <row r="17" spans="1:4" ht="15.75" x14ac:dyDescent="0.25">
      <c r="A17" s="376"/>
      <c r="B17" s="52" t="s">
        <v>438</v>
      </c>
      <c r="C17" s="4"/>
      <c r="D17" s="43" t="s">
        <v>53</v>
      </c>
    </row>
    <row r="18" spans="1:4" ht="31.5" x14ac:dyDescent="0.25">
      <c r="A18" s="376"/>
      <c r="B18" s="51" t="s">
        <v>437</v>
      </c>
      <c r="C18" s="4"/>
      <c r="D18" s="43" t="s">
        <v>53</v>
      </c>
    </row>
    <row r="19" spans="1:4" ht="47.25" x14ac:dyDescent="0.25">
      <c r="A19" s="376"/>
      <c r="B19" s="51" t="s">
        <v>436</v>
      </c>
      <c r="C19" s="4"/>
      <c r="D19" s="43" t="s">
        <v>53</v>
      </c>
    </row>
    <row r="20" spans="1:4" ht="31.5" x14ac:dyDescent="0.25">
      <c r="A20" s="46" t="s">
        <v>193</v>
      </c>
      <c r="B20" s="51" t="s">
        <v>431</v>
      </c>
      <c r="C20" s="55"/>
      <c r="D20" s="43" t="s">
        <v>87</v>
      </c>
    </row>
    <row r="21" spans="1:4" ht="31.5" x14ac:dyDescent="0.25">
      <c r="A21" s="46" t="s">
        <v>434</v>
      </c>
      <c r="B21" s="51" t="s">
        <v>432</v>
      </c>
      <c r="C21" s="55"/>
      <c r="D21" s="43" t="s">
        <v>87</v>
      </c>
    </row>
    <row r="22" spans="1:4" ht="15.75" x14ac:dyDescent="0.25">
      <c r="A22" s="373" t="s">
        <v>443</v>
      </c>
      <c r="B22" s="373"/>
      <c r="C22" s="45"/>
      <c r="D22" s="45"/>
    </row>
    <row r="23" spans="1:4" ht="15.75" x14ac:dyDescent="0.25">
      <c r="A23" s="53" t="s">
        <v>51</v>
      </c>
      <c r="B23" s="54" t="s">
        <v>444</v>
      </c>
      <c r="C23" s="4"/>
      <c r="D23" s="43" t="s">
        <v>87</v>
      </c>
    </row>
    <row r="24" spans="1:4" ht="15.75" x14ac:dyDescent="0.25">
      <c r="A24" s="53" t="s">
        <v>55</v>
      </c>
      <c r="B24" s="54" t="s">
        <v>445</v>
      </c>
      <c r="C24" s="4"/>
      <c r="D24" s="43" t="s">
        <v>87</v>
      </c>
    </row>
  </sheetData>
  <sheetProtection formatCells="0" selectLockedCells="1"/>
  <mergeCells count="7">
    <mergeCell ref="A6:B6"/>
    <mergeCell ref="A4:B4"/>
    <mergeCell ref="A2:B2"/>
    <mergeCell ref="A1:B1"/>
    <mergeCell ref="A22:B22"/>
    <mergeCell ref="A9:A12"/>
    <mergeCell ref="A15:A19"/>
  </mergeCells>
  <dataValidations count="3">
    <dataValidation type="decimal" allowBlank="1" showInputMessage="1" showErrorMessage="1" sqref="C20:C21" xr:uid="{00000000-0002-0000-0200-000000000000}">
      <formula1>0</formula1>
      <formula2>100</formula2>
    </dataValidation>
    <dataValidation type="list" allowBlank="1" showInputMessage="1" showErrorMessage="1" sqref="C3 C23:C24 C16:C19" xr:uid="{00000000-0002-0000-0200-000001000000}">
      <formula1>"Y,N"</formula1>
    </dataValidation>
    <dataValidation type="decimal" allowBlank="1" showInputMessage="1" showErrorMessage="1" sqref="C5 C7:C14" xr:uid="{00000000-0002-0000-0200-000002000000}">
      <formula1>0</formula1>
      <formula2>1000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G6" sqref="G6"/>
    </sheetView>
  </sheetViews>
  <sheetFormatPr defaultColWidth="9.140625" defaultRowHeight="15.75" x14ac:dyDescent="0.25"/>
  <cols>
    <col min="1" max="1" width="8.28515625" style="327" customWidth="1"/>
    <col min="2" max="2" width="65.7109375" style="8" customWidth="1"/>
    <col min="3" max="4" width="10.7109375" style="8" customWidth="1"/>
    <col min="5" max="5" width="19.28515625" style="8" customWidth="1"/>
    <col min="6" max="6" width="10.7109375" style="8" customWidth="1"/>
    <col min="7" max="7" width="30.7109375" style="8" customWidth="1"/>
    <col min="8" max="8" width="8.7109375" style="8" customWidth="1"/>
    <col min="9" max="9" width="10.7109375" style="8" customWidth="1"/>
    <col min="10" max="11" width="15.7109375" style="8" customWidth="1"/>
    <col min="12" max="12" width="50.7109375" style="8" customWidth="1"/>
    <col min="13" max="16384" width="9.140625" style="8"/>
  </cols>
  <sheetData>
    <row r="1" spans="1:11" ht="31.5" x14ac:dyDescent="0.25">
      <c r="A1" s="56"/>
      <c r="B1" s="292" t="s">
        <v>40</v>
      </c>
      <c r="C1" s="40" t="s">
        <v>41</v>
      </c>
      <c r="D1" s="40" t="s">
        <v>42</v>
      </c>
      <c r="E1" s="57" t="s">
        <v>43</v>
      </c>
      <c r="F1" s="40" t="s">
        <v>44</v>
      </c>
      <c r="G1" s="292" t="s">
        <v>45</v>
      </c>
    </row>
    <row r="2" spans="1:11" ht="21" x14ac:dyDescent="0.25">
      <c r="A2" s="390" t="s">
        <v>8</v>
      </c>
      <c r="B2" s="391"/>
      <c r="C2" s="391"/>
      <c r="D2" s="392"/>
      <c r="E2" s="58">
        <v>15</v>
      </c>
      <c r="F2" s="59">
        <f>MIN(SUM(F3,F28,F54,F66), 15)</f>
        <v>0</v>
      </c>
      <c r="G2" s="60" t="s">
        <v>132</v>
      </c>
      <c r="H2" s="377"/>
      <c r="I2" s="378"/>
      <c r="J2" s="378"/>
      <c r="K2" s="378"/>
    </row>
    <row r="3" spans="1:11" x14ac:dyDescent="0.25">
      <c r="A3" s="61" t="s">
        <v>46</v>
      </c>
      <c r="B3" s="385" t="s">
        <v>47</v>
      </c>
      <c r="C3" s="385"/>
      <c r="D3" s="385"/>
      <c r="E3" s="62">
        <v>5</v>
      </c>
      <c r="F3" s="63">
        <f>MIN(SUM(F27,F23,F20,F16,F8),5)</f>
        <v>0</v>
      </c>
      <c r="G3" s="61"/>
      <c r="H3" s="377"/>
      <c r="I3" s="378"/>
      <c r="J3" s="378"/>
      <c r="K3" s="378"/>
    </row>
    <row r="4" spans="1:11" x14ac:dyDescent="0.25">
      <c r="A4" s="64" t="s">
        <v>365</v>
      </c>
      <c r="B4" s="65" t="s">
        <v>48</v>
      </c>
      <c r="C4" s="66"/>
      <c r="D4" s="67"/>
      <c r="E4" s="68"/>
      <c r="F4" s="69"/>
      <c r="G4" s="70"/>
      <c r="H4" s="377"/>
      <c r="I4" s="378"/>
      <c r="J4" s="378"/>
      <c r="K4" s="378"/>
    </row>
    <row r="5" spans="1:11" x14ac:dyDescent="0.25">
      <c r="A5" s="71" t="s">
        <v>49</v>
      </c>
      <c r="B5" s="72" t="s">
        <v>50</v>
      </c>
      <c r="C5" s="73"/>
      <c r="D5" s="74"/>
      <c r="E5" s="75"/>
      <c r="F5" s="76"/>
      <c r="G5" s="77"/>
      <c r="H5" s="377"/>
      <c r="I5" s="378"/>
      <c r="J5" s="378"/>
      <c r="K5" s="378"/>
    </row>
    <row r="6" spans="1:11" ht="47.25" x14ac:dyDescent="0.25">
      <c r="A6" s="301" t="s">
        <v>51</v>
      </c>
      <c r="B6" s="42" t="s">
        <v>52</v>
      </c>
      <c r="C6" s="1"/>
      <c r="D6" s="43" t="s">
        <v>53</v>
      </c>
      <c r="E6" s="297" t="s">
        <v>54</v>
      </c>
      <c r="F6" s="78">
        <f>IF(C6="Y",1,0)</f>
        <v>0</v>
      </c>
      <c r="G6" s="168"/>
      <c r="H6" s="377"/>
      <c r="I6" s="378"/>
      <c r="J6" s="378"/>
      <c r="K6" s="378"/>
    </row>
    <row r="7" spans="1:11" ht="47.25" x14ac:dyDescent="0.25">
      <c r="A7" s="301" t="s">
        <v>55</v>
      </c>
      <c r="B7" s="42" t="s">
        <v>56</v>
      </c>
      <c r="C7" s="1"/>
      <c r="D7" s="43" t="s">
        <v>53</v>
      </c>
      <c r="E7" s="308" t="s">
        <v>54</v>
      </c>
      <c r="F7" s="78">
        <f>IF((C7="Y")*AND(C6="Y"),1,0)</f>
        <v>0</v>
      </c>
      <c r="G7" s="168"/>
      <c r="H7" s="377"/>
      <c r="I7" s="378"/>
      <c r="J7" s="378"/>
      <c r="K7" s="378"/>
    </row>
    <row r="8" spans="1:11" x14ac:dyDescent="0.25">
      <c r="A8" s="79"/>
      <c r="B8" s="386" t="s">
        <v>57</v>
      </c>
      <c r="C8" s="387"/>
      <c r="D8" s="387"/>
      <c r="E8" s="387"/>
      <c r="F8" s="80">
        <f>MIN((F6+F7),2)</f>
        <v>0</v>
      </c>
      <c r="G8" s="81"/>
      <c r="H8" s="377"/>
      <c r="I8" s="378"/>
      <c r="J8" s="378"/>
      <c r="K8" s="378"/>
    </row>
    <row r="9" spans="1:11" x14ac:dyDescent="0.25">
      <c r="A9" s="82" t="s">
        <v>58</v>
      </c>
      <c r="B9" s="83" t="s">
        <v>59</v>
      </c>
      <c r="C9" s="84"/>
      <c r="D9" s="85"/>
      <c r="E9" s="75"/>
      <c r="F9" s="71"/>
      <c r="G9" s="77"/>
      <c r="H9" s="377"/>
      <c r="I9" s="378"/>
      <c r="J9" s="378"/>
      <c r="K9" s="378"/>
    </row>
    <row r="10" spans="1:11" ht="31.5" x14ac:dyDescent="0.25">
      <c r="A10" s="399" t="s">
        <v>51</v>
      </c>
      <c r="B10" s="86" t="s">
        <v>60</v>
      </c>
      <c r="C10" s="87"/>
      <c r="D10" s="88"/>
      <c r="E10" s="89"/>
      <c r="F10" s="48"/>
      <c r="G10" s="326"/>
      <c r="H10" s="377"/>
      <c r="I10" s="378"/>
      <c r="J10" s="378"/>
      <c r="K10" s="378"/>
    </row>
    <row r="11" spans="1:11" x14ac:dyDescent="0.25">
      <c r="A11" s="400"/>
      <c r="B11" s="90" t="s">
        <v>61</v>
      </c>
      <c r="C11" s="91" t="s">
        <v>62</v>
      </c>
      <c r="D11" s="92" t="s">
        <v>62</v>
      </c>
      <c r="E11" s="297" t="s">
        <v>62</v>
      </c>
      <c r="F11" s="297" t="s">
        <v>62</v>
      </c>
      <c r="G11" s="326"/>
      <c r="H11" s="377"/>
      <c r="I11" s="378"/>
      <c r="J11" s="378"/>
      <c r="K11" s="378"/>
    </row>
    <row r="12" spans="1:11" x14ac:dyDescent="0.25">
      <c r="A12" s="400"/>
      <c r="B12" s="90" t="s">
        <v>63</v>
      </c>
      <c r="C12" s="91" t="s">
        <v>62</v>
      </c>
      <c r="D12" s="92" t="s">
        <v>62</v>
      </c>
      <c r="E12" s="297" t="s">
        <v>62</v>
      </c>
      <c r="F12" s="297" t="s">
        <v>62</v>
      </c>
      <c r="G12" s="326"/>
      <c r="H12" s="377"/>
      <c r="I12" s="378"/>
      <c r="J12" s="378"/>
      <c r="K12" s="378"/>
    </row>
    <row r="13" spans="1:11" x14ac:dyDescent="0.25">
      <c r="A13" s="400"/>
      <c r="B13" s="90" t="s">
        <v>64</v>
      </c>
      <c r="C13" s="91" t="s">
        <v>62</v>
      </c>
      <c r="D13" s="92" t="s">
        <v>62</v>
      </c>
      <c r="E13" s="297" t="s">
        <v>62</v>
      </c>
      <c r="F13" s="297" t="s">
        <v>62</v>
      </c>
      <c r="G13" s="326"/>
      <c r="H13" s="377"/>
      <c r="I13" s="378"/>
      <c r="J13" s="378"/>
      <c r="K13" s="378"/>
    </row>
    <row r="14" spans="1:11" x14ac:dyDescent="0.25">
      <c r="A14" s="401" t="s">
        <v>55</v>
      </c>
      <c r="B14" s="89" t="s">
        <v>65</v>
      </c>
      <c r="C14" s="91" t="s">
        <v>62</v>
      </c>
      <c r="D14" s="92" t="s">
        <v>62</v>
      </c>
      <c r="E14" s="297" t="s">
        <v>62</v>
      </c>
      <c r="F14" s="297" t="s">
        <v>62</v>
      </c>
      <c r="G14" s="326"/>
      <c r="H14" s="377"/>
      <c r="I14" s="378"/>
      <c r="J14" s="378"/>
      <c r="K14" s="378"/>
    </row>
    <row r="15" spans="1:11" x14ac:dyDescent="0.25">
      <c r="A15" s="401"/>
      <c r="B15" s="93" t="s">
        <v>66</v>
      </c>
      <c r="C15" s="169"/>
      <c r="D15" s="50" t="s">
        <v>67</v>
      </c>
      <c r="E15" s="94" t="s">
        <v>54</v>
      </c>
      <c r="F15" s="306">
        <f>IF((C15&gt;=89.5),1,0)</f>
        <v>0</v>
      </c>
      <c r="G15" s="168"/>
      <c r="H15" s="377"/>
      <c r="I15" s="378"/>
      <c r="J15" s="378"/>
      <c r="K15" s="378"/>
    </row>
    <row r="16" spans="1:11" x14ac:dyDescent="0.25">
      <c r="A16" s="95"/>
      <c r="B16" s="386" t="s">
        <v>68</v>
      </c>
      <c r="C16" s="387"/>
      <c r="D16" s="387"/>
      <c r="E16" s="402"/>
      <c r="F16" s="80">
        <f>F15</f>
        <v>0</v>
      </c>
      <c r="G16" s="96"/>
      <c r="H16" s="377"/>
      <c r="I16" s="378"/>
      <c r="J16" s="378"/>
      <c r="K16" s="378"/>
    </row>
    <row r="17" spans="1:11" x14ac:dyDescent="0.25">
      <c r="A17" s="64" t="s">
        <v>366</v>
      </c>
      <c r="B17" s="97" t="s">
        <v>69</v>
      </c>
      <c r="C17" s="98"/>
      <c r="D17" s="99"/>
      <c r="E17" s="100"/>
      <c r="F17" s="101"/>
      <c r="G17" s="102"/>
      <c r="H17" s="377"/>
      <c r="I17" s="378"/>
      <c r="J17" s="378"/>
      <c r="K17" s="378"/>
    </row>
    <row r="18" spans="1:11" x14ac:dyDescent="0.25">
      <c r="A18" s="71" t="s">
        <v>371</v>
      </c>
      <c r="B18" s="103" t="s">
        <v>70</v>
      </c>
      <c r="C18" s="104"/>
      <c r="D18" s="105"/>
      <c r="E18" s="75"/>
      <c r="F18" s="106"/>
      <c r="G18" s="77"/>
      <c r="H18" s="377"/>
      <c r="I18" s="378"/>
      <c r="J18" s="378"/>
      <c r="K18" s="378"/>
    </row>
    <row r="19" spans="1:11" ht="126" x14ac:dyDescent="0.25">
      <c r="A19" s="48"/>
      <c r="B19" s="54" t="s">
        <v>71</v>
      </c>
      <c r="C19" s="1"/>
      <c r="D19" s="43" t="s">
        <v>53</v>
      </c>
      <c r="E19" s="297" t="s">
        <v>72</v>
      </c>
      <c r="F19" s="78">
        <f>IF(C19="Y",2,0)</f>
        <v>0</v>
      </c>
      <c r="G19" s="168"/>
      <c r="H19" s="377"/>
      <c r="I19" s="378"/>
      <c r="J19" s="378"/>
      <c r="K19" s="378"/>
    </row>
    <row r="20" spans="1:11" x14ac:dyDescent="0.25">
      <c r="A20" s="107"/>
      <c r="B20" s="386" t="s">
        <v>73</v>
      </c>
      <c r="C20" s="387"/>
      <c r="D20" s="387"/>
      <c r="E20" s="387"/>
      <c r="F20" s="80">
        <f>F19</f>
        <v>0</v>
      </c>
      <c r="G20" s="108"/>
      <c r="H20" s="377"/>
      <c r="I20" s="378"/>
      <c r="J20" s="378"/>
      <c r="K20" s="378"/>
    </row>
    <row r="21" spans="1:11" x14ac:dyDescent="0.25">
      <c r="A21" s="71" t="s">
        <v>372</v>
      </c>
      <c r="B21" s="103" t="s">
        <v>74</v>
      </c>
      <c r="C21" s="109"/>
      <c r="D21" s="110"/>
      <c r="E21" s="75"/>
      <c r="F21" s="106"/>
      <c r="G21" s="77"/>
      <c r="H21" s="377"/>
      <c r="I21" s="378"/>
      <c r="J21" s="378"/>
      <c r="K21" s="378"/>
    </row>
    <row r="22" spans="1:11" ht="63" x14ac:dyDescent="0.25">
      <c r="A22" s="301"/>
      <c r="B22" s="111" t="s">
        <v>75</v>
      </c>
      <c r="C22" s="169"/>
      <c r="D22" s="50" t="s">
        <v>67</v>
      </c>
      <c r="E22" s="112" t="s">
        <v>387</v>
      </c>
      <c r="F22" s="113">
        <f>IF(AND(C22&gt;=50, C22&lt;80),0.5,0) + IF(C22&gt;=80,1,0)</f>
        <v>0</v>
      </c>
      <c r="G22" s="170"/>
      <c r="H22" s="377"/>
      <c r="I22" s="378"/>
      <c r="J22" s="378"/>
      <c r="K22" s="378"/>
    </row>
    <row r="23" spans="1:11" x14ac:dyDescent="0.25">
      <c r="A23" s="79"/>
      <c r="B23" s="386" t="s">
        <v>76</v>
      </c>
      <c r="C23" s="387"/>
      <c r="D23" s="387"/>
      <c r="E23" s="387"/>
      <c r="F23" s="114">
        <f>MIN(F22, 1)</f>
        <v>0</v>
      </c>
      <c r="G23" s="79"/>
      <c r="H23" s="377"/>
      <c r="I23" s="378"/>
      <c r="J23" s="378"/>
      <c r="K23" s="378"/>
    </row>
    <row r="24" spans="1:11" x14ac:dyDescent="0.25">
      <c r="A24" s="64" t="s">
        <v>367</v>
      </c>
      <c r="B24" s="97" t="s">
        <v>77</v>
      </c>
      <c r="C24" s="115"/>
      <c r="D24" s="116"/>
      <c r="E24" s="100"/>
      <c r="F24" s="100"/>
      <c r="G24" s="102"/>
      <c r="H24" s="377"/>
      <c r="I24" s="378"/>
      <c r="J24" s="378"/>
      <c r="K24" s="378"/>
    </row>
    <row r="25" spans="1:11" x14ac:dyDescent="0.25">
      <c r="A25" s="71" t="s">
        <v>367</v>
      </c>
      <c r="B25" s="103" t="s">
        <v>78</v>
      </c>
      <c r="C25" s="104"/>
      <c r="D25" s="105"/>
      <c r="E25" s="75"/>
      <c r="F25" s="117"/>
      <c r="G25" s="118"/>
      <c r="H25" s="377"/>
      <c r="I25" s="378"/>
      <c r="J25" s="378"/>
      <c r="K25" s="378"/>
    </row>
    <row r="26" spans="1:11" ht="47.25" x14ac:dyDescent="0.25">
      <c r="A26" s="48"/>
      <c r="B26" s="54" t="s">
        <v>79</v>
      </c>
      <c r="C26" s="1"/>
      <c r="D26" s="43" t="s">
        <v>53</v>
      </c>
      <c r="E26" s="297" t="s">
        <v>72</v>
      </c>
      <c r="F26" s="78">
        <f>IF(C26="Y",2,0)</f>
        <v>0</v>
      </c>
      <c r="G26" s="168"/>
      <c r="H26" s="377"/>
      <c r="I26" s="378"/>
      <c r="J26" s="378"/>
      <c r="K26" s="378"/>
    </row>
    <row r="27" spans="1:11" x14ac:dyDescent="0.25">
      <c r="A27" s="81"/>
      <c r="B27" s="386" t="s">
        <v>80</v>
      </c>
      <c r="C27" s="387"/>
      <c r="D27" s="387"/>
      <c r="E27" s="387"/>
      <c r="F27" s="114">
        <f>F26</f>
        <v>0</v>
      </c>
      <c r="G27" s="108"/>
      <c r="H27" s="377"/>
      <c r="I27" s="378"/>
      <c r="J27" s="378"/>
      <c r="K27" s="378"/>
    </row>
    <row r="28" spans="1:11" x14ac:dyDescent="0.25">
      <c r="A28" s="61" t="s">
        <v>81</v>
      </c>
      <c r="B28" s="382" t="s">
        <v>82</v>
      </c>
      <c r="C28" s="383"/>
      <c r="D28" s="384"/>
      <c r="E28" s="119">
        <v>5</v>
      </c>
      <c r="F28" s="120">
        <f>MIN(SUM(F53,F47,F39,F35),5)</f>
        <v>0</v>
      </c>
      <c r="G28" s="121"/>
      <c r="H28" s="377"/>
      <c r="I28" s="378"/>
      <c r="J28" s="378"/>
      <c r="K28" s="378"/>
    </row>
    <row r="29" spans="1:11" x14ac:dyDescent="0.25">
      <c r="A29" s="122" t="s">
        <v>368</v>
      </c>
      <c r="B29" s="388" t="s">
        <v>83</v>
      </c>
      <c r="C29" s="389"/>
      <c r="D29" s="123"/>
      <c r="E29" s="124"/>
      <c r="F29" s="125"/>
      <c r="G29" s="70"/>
      <c r="H29" s="377"/>
      <c r="I29" s="378"/>
      <c r="J29" s="378"/>
      <c r="K29" s="378"/>
    </row>
    <row r="30" spans="1:11" x14ac:dyDescent="0.25">
      <c r="A30" s="126" t="s">
        <v>370</v>
      </c>
      <c r="B30" s="127" t="s">
        <v>84</v>
      </c>
      <c r="C30" s="127"/>
      <c r="D30" s="128"/>
      <c r="E30" s="75"/>
      <c r="F30" s="129"/>
      <c r="G30" s="130"/>
      <c r="H30" s="377"/>
      <c r="I30" s="378"/>
      <c r="J30" s="378"/>
      <c r="K30" s="378"/>
    </row>
    <row r="31" spans="1:11" ht="31.5" x14ac:dyDescent="0.25">
      <c r="A31" s="393" t="s">
        <v>51</v>
      </c>
      <c r="B31" s="131" t="s">
        <v>85</v>
      </c>
      <c r="C31" s="132"/>
      <c r="D31" s="133"/>
      <c r="E31" s="133"/>
      <c r="F31" s="134"/>
      <c r="G31" s="168"/>
      <c r="I31" s="135"/>
      <c r="J31" s="136" t="s">
        <v>133</v>
      </c>
      <c r="K31" s="137"/>
    </row>
    <row r="32" spans="1:11" ht="26.45" customHeight="1" x14ac:dyDescent="0.25">
      <c r="A32" s="394"/>
      <c r="B32" s="133" t="s">
        <v>86</v>
      </c>
      <c r="C32" s="171"/>
      <c r="D32" s="50" t="s">
        <v>87</v>
      </c>
      <c r="E32" s="397" t="s">
        <v>88</v>
      </c>
      <c r="F32" s="408">
        <f>MIN(SUM(C32*0.25,C33*0.5),0.5)</f>
        <v>0</v>
      </c>
      <c r="G32" s="168"/>
      <c r="I32" s="138">
        <f>IF(C32&gt;0,C32*0.25,0)</f>
        <v>0</v>
      </c>
      <c r="J32" s="379">
        <f>IF(SUM(I32+I33)&gt;=0.5,"0.5",I32+I33)</f>
        <v>0</v>
      </c>
      <c r="K32" s="380" t="s">
        <v>134</v>
      </c>
    </row>
    <row r="33" spans="1:11" ht="21.95" customHeight="1" x14ac:dyDescent="0.25">
      <c r="A33" s="396"/>
      <c r="B33" s="133" t="s">
        <v>89</v>
      </c>
      <c r="C33" s="171"/>
      <c r="D33" s="50" t="s">
        <v>87</v>
      </c>
      <c r="E33" s="398"/>
      <c r="F33" s="409"/>
      <c r="G33" s="168"/>
      <c r="I33" s="138">
        <f>IF(C33&gt;0,C33*0.5,0)</f>
        <v>0</v>
      </c>
      <c r="J33" s="379"/>
      <c r="K33" s="381"/>
    </row>
    <row r="34" spans="1:11" ht="31.5" x14ac:dyDescent="0.25">
      <c r="A34" s="313" t="s">
        <v>55</v>
      </c>
      <c r="B34" s="133" t="s">
        <v>90</v>
      </c>
      <c r="C34" s="171"/>
      <c r="D34" s="50" t="s">
        <v>87</v>
      </c>
      <c r="E34" s="139" t="s">
        <v>91</v>
      </c>
      <c r="F34" s="78">
        <f>IF(I34&gt;=0.5,0.5,I34)</f>
        <v>0</v>
      </c>
      <c r="G34" s="173"/>
      <c r="I34" s="138">
        <f>IF(C34&gt;0,C34*0.25,0)</f>
        <v>0</v>
      </c>
      <c r="J34" s="140">
        <f>IF(I34&gt;=0.5,"0.5",I34)</f>
        <v>0</v>
      </c>
      <c r="K34" s="141" t="s">
        <v>134</v>
      </c>
    </row>
    <row r="35" spans="1:11" x14ac:dyDescent="0.25">
      <c r="A35" s="142"/>
      <c r="B35" s="386" t="s">
        <v>92</v>
      </c>
      <c r="C35" s="387"/>
      <c r="D35" s="387"/>
      <c r="E35" s="387"/>
      <c r="F35" s="143">
        <f>MIN(F32+F34,1)</f>
        <v>0</v>
      </c>
      <c r="G35" s="79"/>
      <c r="H35" s="377"/>
      <c r="I35" s="378"/>
      <c r="J35" s="378"/>
      <c r="K35" s="378"/>
    </row>
    <row r="36" spans="1:11" x14ac:dyDescent="0.25">
      <c r="A36" s="126" t="s">
        <v>369</v>
      </c>
      <c r="B36" s="127" t="s">
        <v>93</v>
      </c>
      <c r="C36" s="127"/>
      <c r="D36" s="127"/>
      <c r="E36" s="75"/>
      <c r="F36" s="144"/>
      <c r="G36" s="77"/>
      <c r="H36" s="377"/>
      <c r="I36" s="378"/>
      <c r="J36" s="378"/>
      <c r="K36" s="378"/>
    </row>
    <row r="37" spans="1:11" ht="31.5" x14ac:dyDescent="0.25">
      <c r="A37" s="296" t="s">
        <v>51</v>
      </c>
      <c r="B37" s="145" t="s">
        <v>135</v>
      </c>
      <c r="C37" s="1"/>
      <c r="D37" s="43" t="s">
        <v>53</v>
      </c>
      <c r="E37" s="297" t="s">
        <v>54</v>
      </c>
      <c r="F37" s="78">
        <f>IF(C37="Y",1,0)</f>
        <v>0</v>
      </c>
      <c r="G37" s="170"/>
      <c r="H37" s="377"/>
      <c r="I37" s="378"/>
      <c r="J37" s="378"/>
      <c r="K37" s="378"/>
    </row>
    <row r="38" spans="1:11" ht="47.25" x14ac:dyDescent="0.25">
      <c r="A38" s="313" t="s">
        <v>55</v>
      </c>
      <c r="B38" s="146" t="s">
        <v>136</v>
      </c>
      <c r="C38" s="1"/>
      <c r="D38" s="43" t="s">
        <v>53</v>
      </c>
      <c r="E38" s="297" t="s">
        <v>54</v>
      </c>
      <c r="F38" s="78">
        <f>IF(C38="Y",1,0)</f>
        <v>0</v>
      </c>
      <c r="G38" s="172"/>
      <c r="H38" s="377"/>
      <c r="I38" s="378"/>
      <c r="J38" s="378"/>
      <c r="K38" s="378"/>
    </row>
    <row r="39" spans="1:11" x14ac:dyDescent="0.25">
      <c r="A39" s="142"/>
      <c r="B39" s="386" t="s">
        <v>94</v>
      </c>
      <c r="C39" s="387"/>
      <c r="D39" s="387"/>
      <c r="E39" s="387"/>
      <c r="F39" s="80">
        <f>MIN(F37+F38,2)</f>
        <v>0</v>
      </c>
      <c r="G39" s="147"/>
      <c r="H39" s="377"/>
      <c r="I39" s="378"/>
      <c r="J39" s="378"/>
      <c r="K39" s="378"/>
    </row>
    <row r="40" spans="1:11" x14ac:dyDescent="0.25">
      <c r="A40" s="122" t="s">
        <v>373</v>
      </c>
      <c r="B40" s="148" t="s">
        <v>95</v>
      </c>
      <c r="C40" s="149"/>
      <c r="D40" s="123"/>
      <c r="E40" s="124"/>
      <c r="F40" s="125"/>
      <c r="G40" s="70"/>
      <c r="H40" s="377"/>
      <c r="I40" s="378"/>
      <c r="J40" s="378"/>
      <c r="K40" s="378"/>
    </row>
    <row r="41" spans="1:11" ht="31.5" x14ac:dyDescent="0.25">
      <c r="A41" s="126"/>
      <c r="B41" s="127" t="s">
        <v>96</v>
      </c>
      <c r="C41" s="127"/>
      <c r="D41" s="127"/>
      <c r="E41" s="150"/>
      <c r="F41" s="129"/>
      <c r="G41" s="130"/>
      <c r="H41" s="377"/>
      <c r="I41" s="378"/>
      <c r="J41" s="378"/>
      <c r="K41" s="378"/>
    </row>
    <row r="42" spans="1:11" x14ac:dyDescent="0.25">
      <c r="A42" s="393" t="s">
        <v>51</v>
      </c>
      <c r="B42" s="131" t="s">
        <v>97</v>
      </c>
      <c r="C42" s="132"/>
      <c r="D42" s="133"/>
      <c r="E42" s="151"/>
      <c r="F42" s="151"/>
      <c r="G42" s="168"/>
      <c r="H42" s="377"/>
      <c r="I42" s="378"/>
      <c r="J42" s="378"/>
      <c r="K42" s="378"/>
    </row>
    <row r="43" spans="1:11" x14ac:dyDescent="0.25">
      <c r="A43" s="394"/>
      <c r="B43" s="133" t="s">
        <v>98</v>
      </c>
      <c r="C43" s="1"/>
      <c r="D43" s="43" t="s">
        <v>53</v>
      </c>
      <c r="E43" s="297" t="s">
        <v>99</v>
      </c>
      <c r="F43" s="78">
        <f t="shared" ref="F43:F46" si="0">IF(C43="Y",0.5,0)</f>
        <v>0</v>
      </c>
      <c r="G43" s="172"/>
      <c r="H43" s="377"/>
      <c r="I43" s="378"/>
      <c r="J43" s="378"/>
      <c r="K43" s="378"/>
    </row>
    <row r="44" spans="1:11" x14ac:dyDescent="0.25">
      <c r="A44" s="394"/>
      <c r="B44" s="133" t="s">
        <v>100</v>
      </c>
      <c r="C44" s="1"/>
      <c r="D44" s="43" t="s">
        <v>53</v>
      </c>
      <c r="E44" s="297" t="s">
        <v>99</v>
      </c>
      <c r="F44" s="78">
        <f t="shared" si="0"/>
        <v>0</v>
      </c>
      <c r="G44" s="172"/>
      <c r="H44" s="377"/>
      <c r="I44" s="378"/>
      <c r="J44" s="378"/>
      <c r="K44" s="378"/>
    </row>
    <row r="45" spans="1:11" ht="31.5" x14ac:dyDescent="0.25">
      <c r="A45" s="294" t="s">
        <v>55</v>
      </c>
      <c r="B45" s="152" t="s">
        <v>101</v>
      </c>
      <c r="C45" s="1"/>
      <c r="D45" s="43" t="s">
        <v>53</v>
      </c>
      <c r="E45" s="297" t="s">
        <v>99</v>
      </c>
      <c r="F45" s="78">
        <f t="shared" si="0"/>
        <v>0</v>
      </c>
      <c r="G45" s="174"/>
      <c r="H45" s="377"/>
      <c r="I45" s="378"/>
      <c r="J45" s="378"/>
      <c r="K45" s="378"/>
    </row>
    <row r="46" spans="1:11" ht="63" x14ac:dyDescent="0.25">
      <c r="A46" s="294" t="s">
        <v>102</v>
      </c>
      <c r="B46" s="152" t="s">
        <v>103</v>
      </c>
      <c r="C46" s="2"/>
      <c r="D46" s="153" t="s">
        <v>53</v>
      </c>
      <c r="E46" s="307" t="s">
        <v>99</v>
      </c>
      <c r="F46" s="154">
        <f t="shared" si="0"/>
        <v>0</v>
      </c>
      <c r="G46" s="172"/>
      <c r="H46" s="377"/>
      <c r="I46" s="378"/>
      <c r="J46" s="378"/>
      <c r="K46" s="378"/>
    </row>
    <row r="47" spans="1:11" x14ac:dyDescent="0.25">
      <c r="A47" s="142"/>
      <c r="B47" s="395" t="s">
        <v>104</v>
      </c>
      <c r="C47" s="395"/>
      <c r="D47" s="395"/>
      <c r="E47" s="395"/>
      <c r="F47" s="143">
        <f>MIN(F43+F44+F45+F46,1)</f>
        <v>0</v>
      </c>
      <c r="G47" s="81"/>
      <c r="H47" s="377"/>
      <c r="I47" s="378"/>
      <c r="J47" s="378"/>
      <c r="K47" s="378"/>
    </row>
    <row r="48" spans="1:11" x14ac:dyDescent="0.25">
      <c r="A48" s="122" t="s">
        <v>374</v>
      </c>
      <c r="B48" s="148" t="s">
        <v>105</v>
      </c>
      <c r="C48" s="149"/>
      <c r="D48" s="123"/>
      <c r="E48" s="124"/>
      <c r="F48" s="125"/>
      <c r="G48" s="70"/>
      <c r="H48" s="377"/>
      <c r="I48" s="378"/>
      <c r="J48" s="378"/>
      <c r="K48" s="378"/>
    </row>
    <row r="49" spans="1:11" ht="31.5" x14ac:dyDescent="0.25">
      <c r="A49" s="155"/>
      <c r="B49" s="156" t="s">
        <v>106</v>
      </c>
      <c r="C49" s="128"/>
      <c r="D49" s="128"/>
      <c r="E49" s="157"/>
      <c r="F49" s="129"/>
      <c r="G49" s="130"/>
      <c r="H49" s="377"/>
      <c r="I49" s="378"/>
      <c r="J49" s="378"/>
      <c r="K49" s="378"/>
    </row>
    <row r="50" spans="1:11" ht="31.5" x14ac:dyDescent="0.25">
      <c r="A50" s="313" t="s">
        <v>51</v>
      </c>
      <c r="B50" s="158" t="s">
        <v>107</v>
      </c>
      <c r="C50" s="1"/>
      <c r="D50" s="43" t="s">
        <v>53</v>
      </c>
      <c r="E50" s="297" t="s">
        <v>72</v>
      </c>
      <c r="F50" s="78">
        <f>IF(C50="Y",2,0)</f>
        <v>0</v>
      </c>
      <c r="G50" s="168"/>
      <c r="H50" s="377"/>
      <c r="I50" s="378"/>
      <c r="J50" s="378"/>
      <c r="K50" s="378"/>
    </row>
    <row r="51" spans="1:11" ht="47.25" x14ac:dyDescent="0.25">
      <c r="A51" s="313" t="s">
        <v>55</v>
      </c>
      <c r="B51" s="158" t="s">
        <v>108</v>
      </c>
      <c r="C51" s="1"/>
      <c r="D51" s="43" t="s">
        <v>53</v>
      </c>
      <c r="E51" s="297" t="s">
        <v>54</v>
      </c>
      <c r="F51" s="78">
        <f>IF((C51="Y")*AND(C50="Y"),1,0)</f>
        <v>0</v>
      </c>
      <c r="G51" s="168"/>
      <c r="H51" s="377"/>
      <c r="I51" s="378"/>
      <c r="J51" s="378"/>
      <c r="K51" s="378"/>
    </row>
    <row r="52" spans="1:11" ht="31.5" x14ac:dyDescent="0.25">
      <c r="A52" s="313" t="s">
        <v>102</v>
      </c>
      <c r="B52" s="146" t="s">
        <v>109</v>
      </c>
      <c r="C52" s="159" t="s">
        <v>110</v>
      </c>
      <c r="D52" s="297" t="s">
        <v>62</v>
      </c>
      <c r="E52" s="297" t="s">
        <v>62</v>
      </c>
      <c r="F52" s="160" t="s">
        <v>62</v>
      </c>
      <c r="G52" s="168"/>
      <c r="H52" s="377"/>
      <c r="I52" s="378"/>
      <c r="J52" s="378"/>
      <c r="K52" s="378"/>
    </row>
    <row r="53" spans="1:11" x14ac:dyDescent="0.25">
      <c r="A53" s="142"/>
      <c r="B53" s="386" t="s">
        <v>111</v>
      </c>
      <c r="C53" s="387"/>
      <c r="D53" s="387"/>
      <c r="E53" s="387"/>
      <c r="F53" s="143">
        <f>MIN((F50+F51),3)</f>
        <v>0</v>
      </c>
      <c r="G53" s="81"/>
      <c r="H53" s="377"/>
      <c r="I53" s="378"/>
      <c r="J53" s="378"/>
      <c r="K53" s="378"/>
    </row>
    <row r="54" spans="1:11" x14ac:dyDescent="0.25">
      <c r="A54" s="61" t="s">
        <v>112</v>
      </c>
      <c r="B54" s="385" t="s">
        <v>113</v>
      </c>
      <c r="C54" s="385"/>
      <c r="D54" s="385"/>
      <c r="E54" s="61">
        <v>5</v>
      </c>
      <c r="F54" s="63">
        <f>MIN(SUM(F65,F60),5)</f>
        <v>0</v>
      </c>
      <c r="G54" s="61"/>
      <c r="H54" s="377"/>
      <c r="I54" s="378"/>
      <c r="J54" s="378"/>
      <c r="K54" s="378"/>
    </row>
    <row r="55" spans="1:11" x14ac:dyDescent="0.25">
      <c r="A55" s="122" t="s">
        <v>375</v>
      </c>
      <c r="B55" s="148" t="s">
        <v>114</v>
      </c>
      <c r="C55" s="149"/>
      <c r="D55" s="123"/>
      <c r="E55" s="124"/>
      <c r="F55" s="161"/>
      <c r="G55" s="70"/>
      <c r="H55" s="377"/>
      <c r="I55" s="378"/>
      <c r="J55" s="378"/>
      <c r="K55" s="378"/>
    </row>
    <row r="56" spans="1:11" ht="31.5" x14ac:dyDescent="0.25">
      <c r="A56" s="162"/>
      <c r="B56" s="156" t="s">
        <v>115</v>
      </c>
      <c r="C56" s="163"/>
      <c r="D56" s="163"/>
      <c r="E56" s="157"/>
      <c r="F56" s="162"/>
      <c r="G56" s="77"/>
      <c r="H56" s="377"/>
      <c r="I56" s="378"/>
      <c r="J56" s="378"/>
      <c r="K56" s="378"/>
    </row>
    <row r="57" spans="1:11" x14ac:dyDescent="0.25">
      <c r="A57" s="313" t="s">
        <v>51</v>
      </c>
      <c r="B57" s="146" t="s">
        <v>116</v>
      </c>
      <c r="C57" s="1"/>
      <c r="D57" s="50" t="s">
        <v>87</v>
      </c>
      <c r="E57" s="297" t="s">
        <v>54</v>
      </c>
      <c r="F57" s="78">
        <f>IF(C57&gt;5,1,0)</f>
        <v>0</v>
      </c>
      <c r="G57" s="168"/>
      <c r="H57" s="377"/>
      <c r="I57" s="378"/>
      <c r="J57" s="378"/>
      <c r="K57" s="378"/>
    </row>
    <row r="58" spans="1:11" ht="31.5" x14ac:dyDescent="0.25">
      <c r="A58" s="313" t="s">
        <v>55</v>
      </c>
      <c r="B58" s="146" t="s">
        <v>117</v>
      </c>
      <c r="C58" s="1"/>
      <c r="D58" s="43" t="s">
        <v>53</v>
      </c>
      <c r="E58" s="297" t="s">
        <v>54</v>
      </c>
      <c r="F58" s="78">
        <f t="shared" ref="F58:F59" si="1">IF(C58="Y",1,0)</f>
        <v>0</v>
      </c>
      <c r="G58" s="168"/>
      <c r="H58" s="377"/>
      <c r="I58" s="378"/>
      <c r="J58" s="378"/>
      <c r="K58" s="378"/>
    </row>
    <row r="59" spans="1:11" ht="47.25" x14ac:dyDescent="0.25">
      <c r="A59" s="313" t="s">
        <v>102</v>
      </c>
      <c r="B59" s="146" t="s">
        <v>118</v>
      </c>
      <c r="C59" s="1"/>
      <c r="D59" s="43" t="s">
        <v>53</v>
      </c>
      <c r="E59" s="297" t="s">
        <v>54</v>
      </c>
      <c r="F59" s="78">
        <f t="shared" si="1"/>
        <v>0</v>
      </c>
      <c r="G59" s="168"/>
      <c r="H59" s="377"/>
      <c r="I59" s="378"/>
      <c r="J59" s="378"/>
      <c r="K59" s="378"/>
    </row>
    <row r="60" spans="1:11" x14ac:dyDescent="0.25">
      <c r="A60" s="142"/>
      <c r="B60" s="386" t="s">
        <v>119</v>
      </c>
      <c r="C60" s="387"/>
      <c r="D60" s="387"/>
      <c r="E60" s="387"/>
      <c r="F60" s="143">
        <f>MIN(F57+F58+F59,3)</f>
        <v>0</v>
      </c>
      <c r="G60" s="108"/>
      <c r="H60" s="377"/>
      <c r="I60" s="378"/>
      <c r="J60" s="378"/>
      <c r="K60" s="378"/>
    </row>
    <row r="61" spans="1:11" x14ac:dyDescent="0.25">
      <c r="A61" s="122" t="s">
        <v>376</v>
      </c>
      <c r="B61" s="388" t="s">
        <v>120</v>
      </c>
      <c r="C61" s="389"/>
      <c r="D61" s="123"/>
      <c r="E61" s="124"/>
      <c r="F61" s="161"/>
      <c r="G61" s="70"/>
      <c r="H61" s="377"/>
      <c r="I61" s="378"/>
      <c r="J61" s="378"/>
      <c r="K61" s="378"/>
    </row>
    <row r="62" spans="1:11" ht="47.25" x14ac:dyDescent="0.25">
      <c r="A62" s="164"/>
      <c r="B62" s="127" t="s">
        <v>121</v>
      </c>
      <c r="C62" s="165"/>
      <c r="D62" s="165"/>
      <c r="E62" s="144"/>
      <c r="F62" s="162"/>
      <c r="G62" s="77"/>
      <c r="H62" s="377"/>
      <c r="I62" s="378"/>
      <c r="J62" s="378"/>
      <c r="K62" s="378"/>
    </row>
    <row r="63" spans="1:11" ht="63" x14ac:dyDescent="0.25">
      <c r="A63" s="313" t="s">
        <v>51</v>
      </c>
      <c r="B63" s="133" t="s">
        <v>122</v>
      </c>
      <c r="C63" s="1"/>
      <c r="D63" s="43" t="s">
        <v>53</v>
      </c>
      <c r="E63" s="297" t="s">
        <v>72</v>
      </c>
      <c r="F63" s="78">
        <f t="shared" ref="F63:F64" si="2">IF(C63="Y",2,0)</f>
        <v>0</v>
      </c>
      <c r="G63" s="168"/>
      <c r="H63" s="377"/>
      <c r="I63" s="378"/>
      <c r="J63" s="378"/>
      <c r="K63" s="378"/>
    </row>
    <row r="64" spans="1:11" ht="63" x14ac:dyDescent="0.25">
      <c r="A64" s="313" t="s">
        <v>55</v>
      </c>
      <c r="B64" s="133" t="s">
        <v>123</v>
      </c>
      <c r="C64" s="1"/>
      <c r="D64" s="43" t="s">
        <v>53</v>
      </c>
      <c r="E64" s="297" t="s">
        <v>72</v>
      </c>
      <c r="F64" s="78">
        <f t="shared" si="2"/>
        <v>0</v>
      </c>
      <c r="G64" s="168"/>
      <c r="H64" s="377"/>
      <c r="I64" s="378"/>
      <c r="J64" s="378"/>
      <c r="K64" s="378"/>
    </row>
    <row r="65" spans="1:11" x14ac:dyDescent="0.25">
      <c r="A65" s="142"/>
      <c r="B65" s="386" t="s">
        <v>124</v>
      </c>
      <c r="C65" s="387"/>
      <c r="D65" s="387"/>
      <c r="E65" s="387"/>
      <c r="F65" s="143">
        <f>MIN(F63+F64,4)</f>
        <v>0</v>
      </c>
      <c r="G65" s="81"/>
      <c r="H65" s="377"/>
      <c r="I65" s="378"/>
      <c r="J65" s="378"/>
      <c r="K65" s="378"/>
    </row>
    <row r="66" spans="1:11" x14ac:dyDescent="0.25">
      <c r="A66" s="61"/>
      <c r="B66" s="385" t="s">
        <v>125</v>
      </c>
      <c r="C66" s="385"/>
      <c r="D66" s="385"/>
      <c r="E66" s="62">
        <v>2</v>
      </c>
      <c r="F66" s="63">
        <f>MIN(F68+F69,2)</f>
        <v>0</v>
      </c>
      <c r="G66" s="61"/>
      <c r="H66" s="377"/>
      <c r="I66" s="378"/>
      <c r="J66" s="378"/>
      <c r="K66" s="378"/>
    </row>
    <row r="67" spans="1:11" ht="110.25" x14ac:dyDescent="0.25">
      <c r="A67" s="126"/>
      <c r="B67" s="166" t="s">
        <v>126</v>
      </c>
      <c r="C67" s="144"/>
      <c r="D67" s="144"/>
      <c r="E67" s="144" t="s">
        <v>127</v>
      </c>
      <c r="F67" s="118"/>
      <c r="G67" s="109" t="s">
        <v>128</v>
      </c>
      <c r="H67" s="377"/>
      <c r="I67" s="378"/>
      <c r="J67" s="378"/>
      <c r="K67" s="378"/>
    </row>
    <row r="68" spans="1:11" ht="136.5" customHeight="1" x14ac:dyDescent="0.25">
      <c r="A68" s="403"/>
      <c r="B68" s="405" t="s">
        <v>137</v>
      </c>
      <c r="C68" s="175"/>
      <c r="D68" s="167" t="s">
        <v>87</v>
      </c>
      <c r="E68" s="407" t="s">
        <v>129</v>
      </c>
      <c r="F68" s="78">
        <f>C68</f>
        <v>0</v>
      </c>
      <c r="G68" s="176" t="s">
        <v>130</v>
      </c>
      <c r="H68" s="377"/>
      <c r="I68" s="378"/>
      <c r="J68" s="378"/>
      <c r="K68" s="378"/>
    </row>
    <row r="69" spans="1:11" ht="135.94999999999999" customHeight="1" x14ac:dyDescent="0.25">
      <c r="A69" s="404"/>
      <c r="B69" s="406"/>
      <c r="C69" s="175"/>
      <c r="D69" s="167" t="s">
        <v>87</v>
      </c>
      <c r="E69" s="407"/>
      <c r="F69" s="78">
        <f>C69</f>
        <v>0</v>
      </c>
      <c r="G69" s="176" t="s">
        <v>131</v>
      </c>
      <c r="H69" s="377"/>
      <c r="I69" s="378"/>
      <c r="J69" s="378"/>
      <c r="K69" s="378"/>
    </row>
  </sheetData>
  <sheetProtection formatCells="0" selectLockedCells="1"/>
  <mergeCells count="93">
    <mergeCell ref="A68:A69"/>
    <mergeCell ref="B68:B69"/>
    <mergeCell ref="E68:E69"/>
    <mergeCell ref="F32:F33"/>
    <mergeCell ref="H36:K36"/>
    <mergeCell ref="H37:K37"/>
    <mergeCell ref="H38:K38"/>
    <mergeCell ref="H39:K39"/>
    <mergeCell ref="H40:K40"/>
    <mergeCell ref="H41:K41"/>
    <mergeCell ref="H42:K42"/>
    <mergeCell ref="H43:K43"/>
    <mergeCell ref="H44:K44"/>
    <mergeCell ref="H45:K45"/>
    <mergeCell ref="H46:K46"/>
    <mergeCell ref="H47:K47"/>
    <mergeCell ref="A2:D2"/>
    <mergeCell ref="B39:E39"/>
    <mergeCell ref="A42:A44"/>
    <mergeCell ref="B47:E47"/>
    <mergeCell ref="B53:E53"/>
    <mergeCell ref="B27:E27"/>
    <mergeCell ref="B29:C29"/>
    <mergeCell ref="A31:A33"/>
    <mergeCell ref="E32:E33"/>
    <mergeCell ref="B35:E35"/>
    <mergeCell ref="A10:A13"/>
    <mergeCell ref="A14:A15"/>
    <mergeCell ref="B16:E16"/>
    <mergeCell ref="B20:E20"/>
    <mergeCell ref="B3:D3"/>
    <mergeCell ref="B23:E23"/>
    <mergeCell ref="B28:D28"/>
    <mergeCell ref="B54:D54"/>
    <mergeCell ref="B66:D66"/>
    <mergeCell ref="B8:E8"/>
    <mergeCell ref="B60:E60"/>
    <mergeCell ref="B61:C61"/>
    <mergeCell ref="B65:E65"/>
    <mergeCell ref="H2:K2"/>
    <mergeCell ref="H3:K3"/>
    <mergeCell ref="H4:K4"/>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5:K35"/>
    <mergeCell ref="J32:J33"/>
    <mergeCell ref="K32:K33"/>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37:C38 C63:C64 C58:C59 C6:C7 C26"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3"/>
  <sheetViews>
    <sheetView showGridLines="0" zoomScaleNormal="100" workbookViewId="0">
      <selection activeCell="E20" sqref="E20"/>
    </sheetView>
  </sheetViews>
  <sheetFormatPr defaultColWidth="9.140625" defaultRowHeight="15" x14ac:dyDescent="0.25"/>
  <cols>
    <col min="1" max="1" width="8.28515625" style="8" customWidth="1"/>
    <col min="2" max="2" width="22.28515625" style="8" customWidth="1"/>
    <col min="3" max="3" width="34" style="8" customWidth="1"/>
    <col min="4" max="4" width="21.140625" style="8" customWidth="1"/>
    <col min="5" max="5" width="10.7109375" style="335" customWidth="1"/>
    <col min="6" max="6" width="16.140625" style="321" customWidth="1"/>
    <col min="7" max="7" width="18.140625" style="8" customWidth="1"/>
    <col min="8" max="8" width="10.7109375" style="8" customWidth="1"/>
    <col min="9" max="9" width="30.7109375" style="8" customWidth="1"/>
    <col min="10" max="11" width="50.7109375" style="8" customWidth="1"/>
    <col min="12" max="12" width="15.5703125" style="8" customWidth="1"/>
    <col min="13" max="13" width="17.28515625" style="8" customWidth="1"/>
    <col min="14" max="16384" width="9.140625" style="8"/>
  </cols>
  <sheetData>
    <row r="1" spans="1:9" ht="47.25" x14ac:dyDescent="0.25">
      <c r="A1" s="56"/>
      <c r="B1" s="416" t="s">
        <v>219</v>
      </c>
      <c r="C1" s="417"/>
      <c r="D1" s="418"/>
      <c r="E1" s="40" t="s">
        <v>41</v>
      </c>
      <c r="F1" s="40" t="s">
        <v>42</v>
      </c>
      <c r="G1" s="57" t="s">
        <v>43</v>
      </c>
      <c r="H1" s="40" t="s">
        <v>44</v>
      </c>
      <c r="I1" s="292" t="s">
        <v>45</v>
      </c>
    </row>
    <row r="2" spans="1:9" ht="21" x14ac:dyDescent="0.25">
      <c r="A2" s="429" t="s">
        <v>7</v>
      </c>
      <c r="B2" s="430"/>
      <c r="C2" s="430"/>
      <c r="D2" s="430"/>
      <c r="E2" s="430"/>
      <c r="F2" s="431"/>
      <c r="G2" s="177">
        <v>15</v>
      </c>
      <c r="H2" s="178">
        <f>MIN(SUM(H3,H30,H69,H80),15)</f>
        <v>0</v>
      </c>
      <c r="I2" s="179" t="s">
        <v>132</v>
      </c>
    </row>
    <row r="3" spans="1:9" ht="15.75" x14ac:dyDescent="0.25">
      <c r="A3" s="180" t="s">
        <v>138</v>
      </c>
      <c r="B3" s="419" t="s">
        <v>5</v>
      </c>
      <c r="C3" s="420"/>
      <c r="D3" s="420"/>
      <c r="E3" s="420"/>
      <c r="F3" s="420"/>
      <c r="G3" s="181">
        <v>5</v>
      </c>
      <c r="H3" s="181">
        <f>MIN(SUM(H17,H26,H29),5)</f>
        <v>0</v>
      </c>
      <c r="I3" s="182"/>
    </row>
    <row r="4" spans="1:9" ht="15.75" x14ac:dyDescent="0.25">
      <c r="A4" s="183" t="s">
        <v>377</v>
      </c>
      <c r="B4" s="410" t="s">
        <v>139</v>
      </c>
      <c r="C4" s="410"/>
      <c r="D4" s="411"/>
      <c r="E4" s="184"/>
      <c r="F4" s="183"/>
      <c r="G4" s="183"/>
      <c r="H4" s="185"/>
      <c r="I4" s="183"/>
    </row>
    <row r="5" spans="1:9" ht="15.75" x14ac:dyDescent="0.25">
      <c r="A5" s="304"/>
      <c r="B5" s="480" t="s">
        <v>140</v>
      </c>
      <c r="C5" s="480"/>
      <c r="D5" s="480"/>
      <c r="E5" s="311"/>
      <c r="F5" s="300"/>
      <c r="G5" s="304"/>
      <c r="H5" s="186"/>
      <c r="I5" s="232"/>
    </row>
    <row r="6" spans="1:9" ht="16.5" thickBot="1" x14ac:dyDescent="0.3">
      <c r="A6" s="187" t="s">
        <v>189</v>
      </c>
      <c r="B6" s="481" t="s">
        <v>141</v>
      </c>
      <c r="C6" s="482"/>
      <c r="D6" s="483"/>
      <c r="E6" s="188"/>
      <c r="F6" s="187"/>
      <c r="G6" s="187"/>
      <c r="H6" s="189"/>
      <c r="I6" s="187"/>
    </row>
    <row r="7" spans="1:9" ht="15.75" x14ac:dyDescent="0.25">
      <c r="A7" s="434"/>
      <c r="B7" s="485" t="s">
        <v>175</v>
      </c>
      <c r="C7" s="486"/>
      <c r="D7" s="435"/>
      <c r="E7" s="438"/>
      <c r="F7" s="434"/>
      <c r="G7" s="434"/>
      <c r="H7" s="409"/>
      <c r="I7" s="487"/>
    </row>
    <row r="8" spans="1:9" ht="15.75" x14ac:dyDescent="0.25">
      <c r="A8" s="434"/>
      <c r="B8" s="455" t="s">
        <v>176</v>
      </c>
      <c r="C8" s="190" t="s">
        <v>177</v>
      </c>
      <c r="D8" s="436"/>
      <c r="E8" s="438"/>
      <c r="F8" s="434"/>
      <c r="G8" s="434"/>
      <c r="H8" s="409"/>
      <c r="I8" s="487"/>
    </row>
    <row r="9" spans="1:9" ht="15.75" x14ac:dyDescent="0.25">
      <c r="A9" s="434"/>
      <c r="B9" s="455"/>
      <c r="C9" s="190" t="s">
        <v>178</v>
      </c>
      <c r="D9" s="436"/>
      <c r="E9" s="438"/>
      <c r="F9" s="434"/>
      <c r="G9" s="434"/>
      <c r="H9" s="409"/>
      <c r="I9" s="487"/>
    </row>
    <row r="10" spans="1:9" ht="15.75" x14ac:dyDescent="0.25">
      <c r="A10" s="434"/>
      <c r="B10" s="455" t="s">
        <v>184</v>
      </c>
      <c r="C10" s="190" t="s">
        <v>179</v>
      </c>
      <c r="D10" s="436"/>
      <c r="E10" s="438"/>
      <c r="F10" s="434"/>
      <c r="G10" s="434"/>
      <c r="H10" s="409"/>
      <c r="I10" s="487"/>
    </row>
    <row r="11" spans="1:9" ht="15.75" x14ac:dyDescent="0.25">
      <c r="A11" s="434"/>
      <c r="B11" s="455"/>
      <c r="C11" s="190" t="s">
        <v>180</v>
      </c>
      <c r="D11" s="436"/>
      <c r="E11" s="438"/>
      <c r="F11" s="434"/>
      <c r="G11" s="434"/>
      <c r="H11" s="409"/>
      <c r="I11" s="487"/>
    </row>
    <row r="12" spans="1:9" ht="15.75" x14ac:dyDescent="0.25">
      <c r="A12" s="434"/>
      <c r="B12" s="455"/>
      <c r="C12" s="190" t="s">
        <v>181</v>
      </c>
      <c r="D12" s="436"/>
      <c r="E12" s="438"/>
      <c r="F12" s="434"/>
      <c r="G12" s="434"/>
      <c r="H12" s="409"/>
      <c r="I12" s="487"/>
    </row>
    <row r="13" spans="1:9" ht="15.75" x14ac:dyDescent="0.25">
      <c r="A13" s="434"/>
      <c r="B13" s="455"/>
      <c r="C13" s="190" t="s">
        <v>182</v>
      </c>
      <c r="D13" s="436"/>
      <c r="E13" s="438"/>
      <c r="F13" s="434"/>
      <c r="G13" s="434"/>
      <c r="H13" s="409"/>
      <c r="I13" s="487"/>
    </row>
    <row r="14" spans="1:9" ht="16.5" thickBot="1" x14ac:dyDescent="0.3">
      <c r="A14" s="434"/>
      <c r="B14" s="456"/>
      <c r="C14" s="191" t="s">
        <v>183</v>
      </c>
      <c r="D14" s="436"/>
      <c r="E14" s="438"/>
      <c r="F14" s="434"/>
      <c r="G14" s="434"/>
      <c r="H14" s="409"/>
      <c r="I14" s="487"/>
    </row>
    <row r="15" spans="1:9" ht="98.45" customHeight="1" x14ac:dyDescent="0.25">
      <c r="A15" s="304"/>
      <c r="B15" s="413" t="s">
        <v>391</v>
      </c>
      <c r="C15" s="480"/>
      <c r="D15" s="480"/>
      <c r="E15" s="231"/>
      <c r="F15" s="305" t="s">
        <v>53</v>
      </c>
      <c r="G15" s="302" t="s">
        <v>201</v>
      </c>
      <c r="H15" s="192">
        <f>IF(E15="Y", 3, 0)</f>
        <v>0</v>
      </c>
      <c r="I15" s="312"/>
    </row>
    <row r="16" spans="1:9" ht="60.75" customHeight="1" x14ac:dyDescent="0.25">
      <c r="A16" s="304"/>
      <c r="B16" s="433" t="s">
        <v>463</v>
      </c>
      <c r="C16" s="433"/>
      <c r="D16" s="433"/>
      <c r="E16" s="311"/>
      <c r="F16" s="300"/>
      <c r="G16" s="304"/>
      <c r="H16" s="160"/>
      <c r="I16" s="232"/>
    </row>
    <row r="17" spans="1:15" ht="15.75" x14ac:dyDescent="0.25">
      <c r="A17" s="193"/>
      <c r="B17" s="422" t="s">
        <v>210</v>
      </c>
      <c r="C17" s="423"/>
      <c r="D17" s="423"/>
      <c r="E17" s="423"/>
      <c r="F17" s="423"/>
      <c r="G17" s="424"/>
      <c r="H17" s="194">
        <f>H15</f>
        <v>0</v>
      </c>
      <c r="I17" s="195"/>
    </row>
    <row r="18" spans="1:15" ht="15.75" customHeight="1" x14ac:dyDescent="0.25">
      <c r="A18" s="187" t="s">
        <v>194</v>
      </c>
      <c r="B18" s="481" t="s">
        <v>142</v>
      </c>
      <c r="C18" s="482"/>
      <c r="D18" s="483"/>
      <c r="E18" s="188"/>
      <c r="F18" s="187"/>
      <c r="G18" s="187"/>
      <c r="H18" s="189"/>
      <c r="I18" s="187"/>
    </row>
    <row r="19" spans="1:15" ht="84.75" customHeight="1" x14ac:dyDescent="0.25">
      <c r="A19" s="304" t="s">
        <v>143</v>
      </c>
      <c r="B19" s="413" t="s">
        <v>503</v>
      </c>
      <c r="C19" s="413"/>
      <c r="D19" s="413"/>
      <c r="E19" s="231"/>
      <c r="F19" s="196" t="s">
        <v>227</v>
      </c>
      <c r="G19" s="301" t="s">
        <v>99</v>
      </c>
      <c r="H19" s="298">
        <f>IF(ISNUMBER(E19), 0.5, 0)</f>
        <v>0</v>
      </c>
      <c r="I19" s="232"/>
    </row>
    <row r="20" spans="1:15" ht="64.5" customHeight="1" thickBot="1" x14ac:dyDescent="0.3">
      <c r="A20" s="304" t="s">
        <v>144</v>
      </c>
      <c r="B20" s="413" t="s">
        <v>382</v>
      </c>
      <c r="C20" s="413"/>
      <c r="D20" s="413"/>
      <c r="E20" s="231"/>
      <c r="F20" s="196" t="s">
        <v>67</v>
      </c>
      <c r="G20" s="297" t="s">
        <v>383</v>
      </c>
      <c r="H20" s="298">
        <f>IF(E20&gt;=30,2,0)+IF(AND(E20&gt;=10,E20&lt;30),1,0)</f>
        <v>0</v>
      </c>
      <c r="I20" s="232"/>
    </row>
    <row r="21" spans="1:15" ht="31.5" x14ac:dyDescent="0.25">
      <c r="A21" s="434"/>
      <c r="B21" s="197"/>
      <c r="C21" s="198" t="s">
        <v>188</v>
      </c>
      <c r="D21" s="199"/>
      <c r="E21" s="438"/>
      <c r="F21" s="434"/>
      <c r="G21" s="434"/>
      <c r="H21" s="409"/>
      <c r="I21" s="487"/>
    </row>
    <row r="22" spans="1:15" ht="15.75" x14ac:dyDescent="0.25">
      <c r="A22" s="434"/>
      <c r="B22" s="200" t="s">
        <v>185</v>
      </c>
      <c r="C22" s="201">
        <v>1000</v>
      </c>
      <c r="D22" s="202"/>
      <c r="E22" s="438"/>
      <c r="F22" s="434"/>
      <c r="G22" s="434"/>
      <c r="H22" s="409"/>
      <c r="I22" s="487"/>
    </row>
    <row r="23" spans="1:15" ht="15.75" x14ac:dyDescent="0.25">
      <c r="A23" s="434"/>
      <c r="B23" s="200" t="s">
        <v>186</v>
      </c>
      <c r="C23" s="201">
        <v>1500</v>
      </c>
      <c r="D23" s="202"/>
      <c r="E23" s="438"/>
      <c r="F23" s="434"/>
      <c r="G23" s="434"/>
      <c r="H23" s="409"/>
      <c r="I23" s="487"/>
    </row>
    <row r="24" spans="1:15" ht="16.5" thickBot="1" x14ac:dyDescent="0.3">
      <c r="A24" s="434"/>
      <c r="B24" s="203" t="s">
        <v>187</v>
      </c>
      <c r="C24" s="204">
        <v>2500</v>
      </c>
      <c r="D24" s="202"/>
      <c r="E24" s="438"/>
      <c r="F24" s="434"/>
      <c r="G24" s="434"/>
      <c r="H24" s="409"/>
      <c r="I24" s="487"/>
    </row>
    <row r="25" spans="1:15" ht="15.75" x14ac:dyDescent="0.25">
      <c r="A25" s="440"/>
      <c r="B25" s="432" t="s">
        <v>145</v>
      </c>
      <c r="C25" s="432"/>
      <c r="D25" s="432"/>
      <c r="E25" s="488"/>
      <c r="F25" s="440"/>
      <c r="G25" s="440"/>
      <c r="H25" s="408"/>
      <c r="I25" s="487"/>
    </row>
    <row r="26" spans="1:15" ht="15.75" x14ac:dyDescent="0.25">
      <c r="A26" s="193"/>
      <c r="B26" s="422" t="s">
        <v>209</v>
      </c>
      <c r="C26" s="423"/>
      <c r="D26" s="423"/>
      <c r="E26" s="423"/>
      <c r="F26" s="423"/>
      <c r="G26" s="424"/>
      <c r="H26" s="194">
        <f>SUM(H19:H20)</f>
        <v>0</v>
      </c>
      <c r="I26" s="195"/>
    </row>
    <row r="27" spans="1:15" ht="15.75" x14ac:dyDescent="0.25">
      <c r="A27" s="183" t="s">
        <v>378</v>
      </c>
      <c r="B27" s="410" t="s">
        <v>146</v>
      </c>
      <c r="C27" s="410"/>
      <c r="D27" s="411"/>
      <c r="E27" s="184"/>
      <c r="F27" s="183"/>
      <c r="G27" s="183"/>
      <c r="H27" s="185"/>
      <c r="I27" s="183"/>
    </row>
    <row r="28" spans="1:15" ht="47.25" customHeight="1" x14ac:dyDescent="0.25">
      <c r="A28" s="300"/>
      <c r="B28" s="413" t="s">
        <v>147</v>
      </c>
      <c r="C28" s="413"/>
      <c r="D28" s="413"/>
      <c r="E28" s="231"/>
      <c r="F28" s="305" t="s">
        <v>53</v>
      </c>
      <c r="G28" s="301" t="s">
        <v>54</v>
      </c>
      <c r="H28" s="298">
        <f>IF(E28="Y",1,0)</f>
        <v>0</v>
      </c>
      <c r="I28" s="233"/>
    </row>
    <row r="29" spans="1:15" ht="15.75" x14ac:dyDescent="0.25">
      <c r="A29" s="193"/>
      <c r="B29" s="422" t="s">
        <v>211</v>
      </c>
      <c r="C29" s="423"/>
      <c r="D29" s="423"/>
      <c r="E29" s="423"/>
      <c r="F29" s="423"/>
      <c r="G29" s="424"/>
      <c r="H29" s="194">
        <f>H28</f>
        <v>0</v>
      </c>
      <c r="I29" s="195"/>
    </row>
    <row r="30" spans="1:15" ht="15.75" x14ac:dyDescent="0.25">
      <c r="A30" s="180" t="s">
        <v>379</v>
      </c>
      <c r="B30" s="419" t="s">
        <v>148</v>
      </c>
      <c r="C30" s="420"/>
      <c r="D30" s="420"/>
      <c r="E30" s="420"/>
      <c r="F30" s="420"/>
      <c r="G30" s="181">
        <v>5</v>
      </c>
      <c r="H30" s="205">
        <f>MIN(SUM(H57,H62,H68),5)</f>
        <v>0</v>
      </c>
      <c r="I30" s="182"/>
    </row>
    <row r="31" spans="1:15" ht="15.75" customHeight="1" x14ac:dyDescent="0.25">
      <c r="A31" s="183" t="s">
        <v>380</v>
      </c>
      <c r="B31" s="410" t="s">
        <v>149</v>
      </c>
      <c r="C31" s="410"/>
      <c r="D31" s="411"/>
      <c r="E31" s="184"/>
      <c r="F31" s="183"/>
      <c r="G31" s="183"/>
      <c r="H31" s="183"/>
      <c r="I31" s="183"/>
    </row>
    <row r="32" spans="1:15" ht="31.5" customHeight="1" x14ac:dyDescent="0.25">
      <c r="A32" s="206"/>
      <c r="B32" s="415" t="s">
        <v>150</v>
      </c>
      <c r="C32" s="415"/>
      <c r="D32" s="415"/>
      <c r="E32" s="207"/>
      <c r="F32" s="208"/>
      <c r="G32" s="209"/>
      <c r="H32" s="210"/>
      <c r="I32" s="206"/>
      <c r="K32" s="328"/>
      <c r="L32" s="328"/>
      <c r="M32" s="328"/>
      <c r="N32" s="328"/>
      <c r="O32" s="328"/>
    </row>
    <row r="33" spans="1:15" s="329" customFormat="1" ht="16.5" thickBot="1" x14ac:dyDescent="0.3">
      <c r="A33" s="443" t="s">
        <v>51</v>
      </c>
      <c r="B33" s="471" t="s">
        <v>151</v>
      </c>
      <c r="C33" s="472"/>
      <c r="D33" s="473"/>
      <c r="E33" s="311"/>
      <c r="F33" s="211"/>
      <c r="G33" s="212"/>
      <c r="H33" s="213"/>
      <c r="I33" s="214"/>
      <c r="K33" s="328"/>
      <c r="L33" s="328"/>
      <c r="M33" s="328"/>
      <c r="N33" s="328"/>
      <c r="O33" s="328"/>
    </row>
    <row r="34" spans="1:15" ht="15.75" x14ac:dyDescent="0.25">
      <c r="A34" s="444"/>
      <c r="B34" s="197"/>
      <c r="C34" s="198" t="s">
        <v>195</v>
      </c>
      <c r="D34" s="439"/>
      <c r="E34" s="458"/>
      <c r="F34" s="460" t="s">
        <v>87</v>
      </c>
      <c r="G34" s="443" t="s">
        <v>54</v>
      </c>
      <c r="H34" s="461">
        <f>IF(ISBLANK(E34),0,IF(E34&lt;=0.35,1,0))</f>
        <v>0</v>
      </c>
      <c r="I34" s="489"/>
      <c r="K34" s="328"/>
      <c r="L34" s="328"/>
      <c r="M34" s="328"/>
      <c r="N34" s="328"/>
      <c r="O34" s="328"/>
    </row>
    <row r="35" spans="1:15" ht="15.75" x14ac:dyDescent="0.25">
      <c r="A35" s="444"/>
      <c r="B35" s="200" t="s">
        <v>185</v>
      </c>
      <c r="C35" s="201" t="s">
        <v>196</v>
      </c>
      <c r="D35" s="439"/>
      <c r="E35" s="459"/>
      <c r="F35" s="460"/>
      <c r="G35" s="443"/>
      <c r="H35" s="462"/>
      <c r="I35" s="490"/>
      <c r="K35" s="328"/>
      <c r="L35" s="328"/>
      <c r="M35" s="328"/>
      <c r="N35" s="328"/>
      <c r="O35" s="328"/>
    </row>
    <row r="36" spans="1:15" ht="15.75" x14ac:dyDescent="0.25">
      <c r="A36" s="444"/>
      <c r="B36" s="200" t="s">
        <v>186</v>
      </c>
      <c r="C36" s="201" t="s">
        <v>197</v>
      </c>
      <c r="D36" s="439"/>
      <c r="E36" s="459"/>
      <c r="F36" s="460"/>
      <c r="G36" s="443"/>
      <c r="H36" s="462"/>
      <c r="I36" s="490"/>
      <c r="K36" s="328"/>
      <c r="L36" s="328"/>
      <c r="M36" s="328"/>
      <c r="N36" s="328"/>
      <c r="O36" s="328"/>
    </row>
    <row r="37" spans="1:15" ht="16.5" thickBot="1" x14ac:dyDescent="0.3">
      <c r="A37" s="444"/>
      <c r="B37" s="203" t="s">
        <v>187</v>
      </c>
      <c r="C37" s="204" t="s">
        <v>197</v>
      </c>
      <c r="D37" s="439"/>
      <c r="E37" s="459"/>
      <c r="F37" s="460"/>
      <c r="G37" s="443"/>
      <c r="H37" s="462"/>
      <c r="I37" s="490"/>
      <c r="K37" s="328"/>
      <c r="L37" s="328"/>
      <c r="M37" s="328"/>
      <c r="N37" s="328"/>
      <c r="O37" s="328"/>
    </row>
    <row r="38" spans="1:15" s="329" customFormat="1" ht="67.5" customHeight="1" thickBot="1" x14ac:dyDescent="0.3">
      <c r="A38" s="445" t="s">
        <v>144</v>
      </c>
      <c r="B38" s="414" t="s">
        <v>152</v>
      </c>
      <c r="C38" s="414"/>
      <c r="D38" s="473"/>
      <c r="E38" s="449"/>
      <c r="F38" s="452"/>
      <c r="G38" s="452"/>
      <c r="H38" s="452"/>
      <c r="I38" s="492"/>
      <c r="K38" s="330"/>
      <c r="L38" s="331"/>
      <c r="M38" s="331"/>
      <c r="N38" s="328"/>
      <c r="O38" s="328"/>
    </row>
    <row r="39" spans="1:15" ht="31.5" customHeight="1" x14ac:dyDescent="0.25">
      <c r="A39" s="446"/>
      <c r="B39" s="197"/>
      <c r="C39" s="216" t="s">
        <v>198</v>
      </c>
      <c r="D39" s="441"/>
      <c r="E39" s="450"/>
      <c r="F39" s="453"/>
      <c r="G39" s="453"/>
      <c r="H39" s="453"/>
      <c r="I39" s="493"/>
      <c r="K39" s="330"/>
      <c r="L39" s="331"/>
      <c r="M39" s="331"/>
      <c r="N39" s="328"/>
      <c r="O39" s="328"/>
    </row>
    <row r="40" spans="1:15" ht="15.75" customHeight="1" x14ac:dyDescent="0.25">
      <c r="A40" s="446"/>
      <c r="B40" s="200" t="s">
        <v>185</v>
      </c>
      <c r="C40" s="201" t="s">
        <v>200</v>
      </c>
      <c r="D40" s="441"/>
      <c r="E40" s="450"/>
      <c r="F40" s="453"/>
      <c r="G40" s="453"/>
      <c r="H40" s="453"/>
      <c r="I40" s="493"/>
      <c r="K40" s="330"/>
      <c r="L40" s="331"/>
      <c r="M40" s="331"/>
      <c r="N40" s="328"/>
      <c r="O40" s="328"/>
    </row>
    <row r="41" spans="1:15" ht="15.75" customHeight="1" thickBot="1" x14ac:dyDescent="0.3">
      <c r="A41" s="446"/>
      <c r="B41" s="203" t="s">
        <v>186</v>
      </c>
      <c r="C41" s="217" t="s">
        <v>199</v>
      </c>
      <c r="D41" s="442"/>
      <c r="E41" s="451"/>
      <c r="F41" s="454"/>
      <c r="G41" s="454"/>
      <c r="H41" s="454"/>
      <c r="I41" s="494"/>
      <c r="K41" s="330"/>
      <c r="L41" s="331"/>
      <c r="M41" s="331"/>
      <c r="N41" s="328"/>
      <c r="O41" s="328"/>
    </row>
    <row r="42" spans="1:15" ht="15.75" customHeight="1" x14ac:dyDescent="0.25">
      <c r="A42" s="447"/>
      <c r="B42" s="469" t="s">
        <v>153</v>
      </c>
      <c r="C42" s="469"/>
      <c r="D42" s="413"/>
      <c r="E42" s="231"/>
      <c r="F42" s="305" t="s">
        <v>67</v>
      </c>
      <c r="G42" s="445" t="s">
        <v>54</v>
      </c>
      <c r="H42" s="461">
        <f>IF(SUM(E42:E46)&gt;=50, 1, 0)</f>
        <v>0</v>
      </c>
      <c r="I42" s="489"/>
      <c r="K42" s="330"/>
      <c r="L42" s="331"/>
      <c r="M42" s="331"/>
      <c r="N42" s="328"/>
      <c r="O42" s="328"/>
    </row>
    <row r="43" spans="1:15" ht="15.75" x14ac:dyDescent="0.25">
      <c r="A43" s="447"/>
      <c r="B43" s="413" t="s">
        <v>154</v>
      </c>
      <c r="C43" s="413"/>
      <c r="D43" s="413"/>
      <c r="E43" s="231"/>
      <c r="F43" s="305" t="s">
        <v>67</v>
      </c>
      <c r="G43" s="447"/>
      <c r="H43" s="462"/>
      <c r="I43" s="490"/>
      <c r="K43" s="330"/>
      <c r="L43" s="332"/>
      <c r="M43" s="333"/>
      <c r="N43" s="328"/>
      <c r="O43" s="328"/>
    </row>
    <row r="44" spans="1:15" ht="15.75" customHeight="1" x14ac:dyDescent="0.25">
      <c r="A44" s="447"/>
      <c r="B44" s="413" t="s">
        <v>155</v>
      </c>
      <c r="C44" s="413"/>
      <c r="D44" s="413"/>
      <c r="E44" s="231"/>
      <c r="F44" s="305" t="s">
        <v>67</v>
      </c>
      <c r="G44" s="447"/>
      <c r="H44" s="462"/>
      <c r="I44" s="490"/>
      <c r="K44" s="328"/>
      <c r="L44" s="328"/>
      <c r="M44" s="328"/>
      <c r="N44" s="328"/>
      <c r="O44" s="328"/>
    </row>
    <row r="45" spans="1:15" ht="15.75" customHeight="1" x14ac:dyDescent="0.25">
      <c r="A45" s="447"/>
      <c r="B45" s="413" t="s">
        <v>156</v>
      </c>
      <c r="C45" s="413"/>
      <c r="D45" s="413"/>
      <c r="E45" s="231"/>
      <c r="F45" s="305" t="s">
        <v>67</v>
      </c>
      <c r="G45" s="447"/>
      <c r="H45" s="462"/>
      <c r="I45" s="490"/>
      <c r="K45" s="328"/>
      <c r="L45" s="328"/>
      <c r="M45" s="328"/>
      <c r="N45" s="328"/>
      <c r="O45" s="328"/>
    </row>
    <row r="46" spans="1:15" ht="47.25" customHeight="1" x14ac:dyDescent="0.25">
      <c r="A46" s="448"/>
      <c r="B46" s="413" t="s">
        <v>157</v>
      </c>
      <c r="C46" s="413"/>
      <c r="D46" s="413"/>
      <c r="E46" s="231"/>
      <c r="F46" s="305" t="s">
        <v>67</v>
      </c>
      <c r="G46" s="448"/>
      <c r="H46" s="474"/>
      <c r="I46" s="491"/>
      <c r="K46" s="328"/>
      <c r="L46" s="328"/>
      <c r="M46" s="328"/>
      <c r="N46" s="328"/>
      <c r="O46" s="328"/>
    </row>
    <row r="47" spans="1:15" ht="47.25" customHeight="1" x14ac:dyDescent="0.25">
      <c r="A47" s="445" t="s">
        <v>102</v>
      </c>
      <c r="B47" s="414" t="s">
        <v>158</v>
      </c>
      <c r="C47" s="414"/>
      <c r="D47" s="414"/>
      <c r="E47" s="311"/>
      <c r="F47" s="218"/>
      <c r="G47" s="215"/>
      <c r="H47" s="219"/>
      <c r="I47" s="287"/>
    </row>
    <row r="48" spans="1:15" ht="33" customHeight="1" x14ac:dyDescent="0.25">
      <c r="A48" s="448"/>
      <c r="B48" s="428" t="s">
        <v>464</v>
      </c>
      <c r="C48" s="428"/>
      <c r="D48" s="428"/>
      <c r="E48" s="231"/>
      <c r="F48" s="305" t="s">
        <v>87</v>
      </c>
      <c r="G48" s="297" t="s">
        <v>214</v>
      </c>
      <c r="H48" s="220">
        <f>IF(E48&gt;=2,E48*0.25,0)</f>
        <v>0</v>
      </c>
      <c r="I48" s="168"/>
    </row>
    <row r="49" spans="1:9" ht="64.5" customHeight="1" x14ac:dyDescent="0.25">
      <c r="A49" s="445" t="s">
        <v>190</v>
      </c>
      <c r="B49" s="426" t="s">
        <v>465</v>
      </c>
      <c r="C49" s="414"/>
      <c r="D49" s="427"/>
      <c r="E49" s="311"/>
      <c r="F49" s="218"/>
      <c r="G49" s="221" t="s">
        <v>202</v>
      </c>
      <c r="H49" s="222"/>
      <c r="I49" s="263"/>
    </row>
    <row r="50" spans="1:9" ht="15.75" x14ac:dyDescent="0.25">
      <c r="A50" s="447"/>
      <c r="B50" s="428" t="s">
        <v>204</v>
      </c>
      <c r="C50" s="428"/>
      <c r="D50" s="428"/>
      <c r="E50" s="231"/>
      <c r="F50" s="305" t="s">
        <v>87</v>
      </c>
      <c r="G50" s="301" t="s">
        <v>62</v>
      </c>
      <c r="H50" s="224"/>
      <c r="I50" s="168"/>
    </row>
    <row r="51" spans="1:9" ht="15.75" x14ac:dyDescent="0.25">
      <c r="A51" s="447"/>
      <c r="B51" s="413" t="s">
        <v>466</v>
      </c>
      <c r="C51" s="413"/>
      <c r="D51" s="413"/>
      <c r="E51" s="231"/>
      <c r="F51" s="305" t="s">
        <v>67</v>
      </c>
      <c r="G51" s="463" t="s">
        <v>203</v>
      </c>
      <c r="H51" s="477">
        <f>IF(AND(E51&gt;=20,E52="Y"),0.5,0)</f>
        <v>0</v>
      </c>
      <c r="I51" s="168"/>
    </row>
    <row r="52" spans="1:9" ht="18" customHeight="1" x14ac:dyDescent="0.25">
      <c r="A52" s="447"/>
      <c r="B52" s="413" t="s">
        <v>469</v>
      </c>
      <c r="C52" s="413"/>
      <c r="D52" s="413"/>
      <c r="E52" s="231"/>
      <c r="F52" s="305" t="s">
        <v>53</v>
      </c>
      <c r="G52" s="464"/>
      <c r="H52" s="478"/>
      <c r="I52" s="168"/>
    </row>
    <row r="53" spans="1:9" ht="15.75" x14ac:dyDescent="0.25">
      <c r="A53" s="447"/>
      <c r="B53" s="413" t="s">
        <v>467</v>
      </c>
      <c r="C53" s="413"/>
      <c r="D53" s="413"/>
      <c r="E53" s="231"/>
      <c r="F53" s="196" t="s">
        <v>67</v>
      </c>
      <c r="G53" s="463" t="s">
        <v>203</v>
      </c>
      <c r="H53" s="477">
        <f>IF(OR(AND(E53&gt;=10,E54="Y"),AND(E55&gt;=50,E56="Y")),0.5,0)</f>
        <v>0</v>
      </c>
      <c r="I53" s="168"/>
    </row>
    <row r="54" spans="1:9" ht="15.75" customHeight="1" x14ac:dyDescent="0.25">
      <c r="A54" s="447"/>
      <c r="B54" s="413" t="s">
        <v>495</v>
      </c>
      <c r="C54" s="413"/>
      <c r="D54" s="413"/>
      <c r="E54" s="231"/>
      <c r="F54" s="305" t="s">
        <v>53</v>
      </c>
      <c r="G54" s="484"/>
      <c r="H54" s="479"/>
      <c r="I54" s="168"/>
    </row>
    <row r="55" spans="1:9" ht="15.75" customHeight="1" x14ac:dyDescent="0.25">
      <c r="A55" s="447"/>
      <c r="B55" s="413" t="s">
        <v>468</v>
      </c>
      <c r="C55" s="413"/>
      <c r="D55" s="413"/>
      <c r="E55" s="231"/>
      <c r="F55" s="196" t="s">
        <v>67</v>
      </c>
      <c r="G55" s="484"/>
      <c r="H55" s="479"/>
      <c r="I55" s="168"/>
    </row>
    <row r="56" spans="1:9" ht="15.75" customHeight="1" x14ac:dyDescent="0.25">
      <c r="A56" s="448"/>
      <c r="B56" s="413" t="s">
        <v>470</v>
      </c>
      <c r="C56" s="413"/>
      <c r="D56" s="413"/>
      <c r="E56" s="231"/>
      <c r="F56" s="305" t="s">
        <v>53</v>
      </c>
      <c r="G56" s="464"/>
      <c r="H56" s="478"/>
      <c r="I56" s="168"/>
    </row>
    <row r="57" spans="1:9" ht="15.75" x14ac:dyDescent="0.25">
      <c r="A57" s="193"/>
      <c r="B57" s="422" t="s">
        <v>212</v>
      </c>
      <c r="C57" s="423"/>
      <c r="D57" s="423"/>
      <c r="E57" s="423"/>
      <c r="F57" s="423"/>
      <c r="G57" s="424"/>
      <c r="H57" s="194">
        <f>SUM(H51:H56,H48,H42,H34)</f>
        <v>0</v>
      </c>
      <c r="I57" s="195"/>
    </row>
    <row r="58" spans="1:9" ht="15.75" customHeight="1" x14ac:dyDescent="0.25">
      <c r="A58" s="225" t="s">
        <v>381</v>
      </c>
      <c r="B58" s="437" t="s">
        <v>159</v>
      </c>
      <c r="C58" s="410"/>
      <c r="D58" s="411"/>
      <c r="E58" s="184"/>
      <c r="F58" s="183"/>
      <c r="G58" s="183"/>
      <c r="H58" s="185"/>
      <c r="I58" s="183"/>
    </row>
    <row r="59" spans="1:9" ht="33.950000000000003" customHeight="1" x14ac:dyDescent="0.25">
      <c r="A59" s="457" t="s">
        <v>51</v>
      </c>
      <c r="B59" s="465" t="s">
        <v>389</v>
      </c>
      <c r="C59" s="466"/>
      <c r="D59" s="467"/>
      <c r="E59" s="231"/>
      <c r="F59" s="196" t="s">
        <v>205</v>
      </c>
      <c r="G59" s="463" t="s">
        <v>54</v>
      </c>
      <c r="H59" s="475">
        <f>IF(AND(E59="Cost",E60&gt;=60),1,0) + IF(AND(E59="Area",E60&gt;=80),1,0)</f>
        <v>0</v>
      </c>
      <c r="I59" s="168"/>
    </row>
    <row r="60" spans="1:9" ht="30.95" customHeight="1" x14ac:dyDescent="0.25">
      <c r="A60" s="457"/>
      <c r="B60" s="468"/>
      <c r="C60" s="469"/>
      <c r="D60" s="470"/>
      <c r="E60" s="231"/>
      <c r="F60" s="196" t="s">
        <v>67</v>
      </c>
      <c r="G60" s="464"/>
      <c r="H60" s="476"/>
      <c r="I60" s="168"/>
    </row>
    <row r="61" spans="1:9" ht="48" customHeight="1" x14ac:dyDescent="0.25">
      <c r="A61" s="304" t="s">
        <v>55</v>
      </c>
      <c r="B61" s="412" t="s">
        <v>174</v>
      </c>
      <c r="C61" s="413"/>
      <c r="D61" s="413"/>
      <c r="E61" s="231"/>
      <c r="F61" s="196" t="s">
        <v>67</v>
      </c>
      <c r="G61" s="297" t="s">
        <v>54</v>
      </c>
      <c r="H61" s="226">
        <f>IF(E61&gt;=60,1,0)</f>
        <v>0</v>
      </c>
      <c r="I61" s="168"/>
    </row>
    <row r="62" spans="1:9" ht="15.75" customHeight="1" x14ac:dyDescent="0.25">
      <c r="A62" s="227"/>
      <c r="B62" s="422" t="s">
        <v>213</v>
      </c>
      <c r="C62" s="423"/>
      <c r="D62" s="423"/>
      <c r="E62" s="423"/>
      <c r="F62" s="423"/>
      <c r="G62" s="424"/>
      <c r="H62" s="194">
        <f>SUM(H59:H61)</f>
        <v>0</v>
      </c>
      <c r="I62" s="195"/>
    </row>
    <row r="63" spans="1:9" ht="15.75" x14ac:dyDescent="0.25">
      <c r="A63" s="183" t="s">
        <v>160</v>
      </c>
      <c r="B63" s="410" t="s">
        <v>161</v>
      </c>
      <c r="C63" s="410"/>
      <c r="D63" s="411"/>
      <c r="E63" s="184"/>
      <c r="F63" s="183"/>
      <c r="G63" s="183"/>
      <c r="H63" s="185"/>
      <c r="I63" s="183"/>
    </row>
    <row r="64" spans="1:9" ht="33" customHeight="1" x14ac:dyDescent="0.25">
      <c r="A64" s="304"/>
      <c r="B64" s="412" t="s">
        <v>471</v>
      </c>
      <c r="C64" s="413"/>
      <c r="D64" s="413"/>
      <c r="E64" s="311"/>
      <c r="F64" s="196"/>
      <c r="G64" s="297"/>
      <c r="H64" s="298"/>
      <c r="I64" s="168"/>
    </row>
    <row r="65" spans="1:9" ht="15.75" x14ac:dyDescent="0.25">
      <c r="A65" s="304" t="s">
        <v>51</v>
      </c>
      <c r="B65" s="412" t="s">
        <v>162</v>
      </c>
      <c r="C65" s="413"/>
      <c r="D65" s="413"/>
      <c r="E65" s="231"/>
      <c r="F65" s="196" t="s">
        <v>53</v>
      </c>
      <c r="G65" s="297" t="s">
        <v>54</v>
      </c>
      <c r="H65" s="298">
        <f>IF(E65="Y",1,0)</f>
        <v>0</v>
      </c>
      <c r="I65" s="168"/>
    </row>
    <row r="66" spans="1:9" ht="47.25" customHeight="1" x14ac:dyDescent="0.25">
      <c r="A66" s="304" t="s">
        <v>144</v>
      </c>
      <c r="B66" s="412" t="s">
        <v>489</v>
      </c>
      <c r="C66" s="413"/>
      <c r="D66" s="413"/>
      <c r="E66" s="231"/>
      <c r="F66" s="196" t="s">
        <v>67</v>
      </c>
      <c r="G66" s="297" t="s">
        <v>54</v>
      </c>
      <c r="H66" s="78">
        <f>IF(E66&gt;=40,1,0)</f>
        <v>0</v>
      </c>
      <c r="I66" s="168"/>
    </row>
    <row r="67" spans="1:9" ht="51.6" customHeight="1" x14ac:dyDescent="0.25">
      <c r="A67" s="304" t="s">
        <v>163</v>
      </c>
      <c r="B67" s="412" t="s">
        <v>164</v>
      </c>
      <c r="C67" s="413"/>
      <c r="D67" s="413"/>
      <c r="E67" s="231"/>
      <c r="F67" s="196" t="s">
        <v>53</v>
      </c>
      <c r="G67" s="297" t="s">
        <v>54</v>
      </c>
      <c r="H67" s="298">
        <f>IF(E67="Y",1,0)</f>
        <v>0</v>
      </c>
      <c r="I67" s="168"/>
    </row>
    <row r="68" spans="1:9" ht="15.75" x14ac:dyDescent="0.25">
      <c r="A68" s="227"/>
      <c r="B68" s="422" t="s">
        <v>215</v>
      </c>
      <c r="C68" s="423"/>
      <c r="D68" s="423"/>
      <c r="E68" s="423"/>
      <c r="F68" s="423"/>
      <c r="G68" s="424"/>
      <c r="H68" s="194">
        <f>SUM(H65:H67)</f>
        <v>0</v>
      </c>
      <c r="I68" s="195"/>
    </row>
    <row r="69" spans="1:9" ht="15.6" customHeight="1" x14ac:dyDescent="0.25">
      <c r="A69" s="180" t="s">
        <v>165</v>
      </c>
      <c r="B69" s="419" t="s">
        <v>166</v>
      </c>
      <c r="C69" s="420"/>
      <c r="D69" s="420"/>
      <c r="E69" s="420"/>
      <c r="F69" s="420"/>
      <c r="G69" s="228">
        <v>5</v>
      </c>
      <c r="H69" s="205">
        <f>MIN(SUM(H72,H76,H79),5)</f>
        <v>0</v>
      </c>
      <c r="I69" s="182"/>
    </row>
    <row r="70" spans="1:9" ht="18.95" customHeight="1" x14ac:dyDescent="0.25">
      <c r="A70" s="183" t="s">
        <v>167</v>
      </c>
      <c r="B70" s="410" t="s">
        <v>168</v>
      </c>
      <c r="C70" s="410"/>
      <c r="D70" s="411"/>
      <c r="E70" s="184"/>
      <c r="F70" s="183"/>
      <c r="G70" s="183"/>
      <c r="H70" s="183"/>
      <c r="I70" s="183"/>
    </row>
    <row r="71" spans="1:9" ht="98.45" customHeight="1" x14ac:dyDescent="0.25">
      <c r="A71" s="229"/>
      <c r="B71" s="412" t="s">
        <v>384</v>
      </c>
      <c r="C71" s="413"/>
      <c r="D71" s="413"/>
      <c r="E71" s="231"/>
      <c r="F71" s="196" t="s">
        <v>67</v>
      </c>
      <c r="G71" s="297" t="s">
        <v>206</v>
      </c>
      <c r="H71" s="78">
        <f>IF(E71=100,3,IF(E71&gt;=70,2,IF(E71&gt;=50,1,0)))</f>
        <v>0</v>
      </c>
      <c r="I71" s="168"/>
    </row>
    <row r="72" spans="1:9" ht="15.75" x14ac:dyDescent="0.25">
      <c r="A72" s="193"/>
      <c r="B72" s="422" t="s">
        <v>216</v>
      </c>
      <c r="C72" s="423"/>
      <c r="D72" s="423"/>
      <c r="E72" s="423"/>
      <c r="F72" s="423"/>
      <c r="G72" s="424"/>
      <c r="H72" s="194">
        <f>H71</f>
        <v>0</v>
      </c>
      <c r="I72" s="195"/>
    </row>
    <row r="73" spans="1:9" ht="16.5" customHeight="1" x14ac:dyDescent="0.25">
      <c r="A73" s="183" t="s">
        <v>169</v>
      </c>
      <c r="B73" s="410" t="s">
        <v>170</v>
      </c>
      <c r="C73" s="410"/>
      <c r="D73" s="411"/>
      <c r="E73" s="184"/>
      <c r="F73" s="183"/>
      <c r="G73" s="183"/>
      <c r="H73" s="183"/>
      <c r="I73" s="183"/>
    </row>
    <row r="74" spans="1:9" ht="48.75" customHeight="1" x14ac:dyDescent="0.25">
      <c r="A74" s="304" t="s">
        <v>51</v>
      </c>
      <c r="B74" s="412" t="s">
        <v>472</v>
      </c>
      <c r="C74" s="413"/>
      <c r="D74" s="413"/>
      <c r="E74" s="231"/>
      <c r="F74" s="196" t="s">
        <v>67</v>
      </c>
      <c r="G74" s="297" t="s">
        <v>54</v>
      </c>
      <c r="H74" s="78">
        <f>IF(E74&gt;=80,1,0)</f>
        <v>0</v>
      </c>
      <c r="I74" s="176"/>
    </row>
    <row r="75" spans="1:9" ht="50.45" customHeight="1" x14ac:dyDescent="0.25">
      <c r="A75" s="304" t="s">
        <v>144</v>
      </c>
      <c r="B75" s="412" t="s">
        <v>473</v>
      </c>
      <c r="C75" s="413"/>
      <c r="D75" s="413"/>
      <c r="E75" s="231"/>
      <c r="F75" s="196" t="s">
        <v>67</v>
      </c>
      <c r="G75" s="297" t="s">
        <v>54</v>
      </c>
      <c r="H75" s="78">
        <f>IF(E75&gt;=80,1,0)</f>
        <v>0</v>
      </c>
      <c r="I75" s="176"/>
    </row>
    <row r="76" spans="1:9" ht="15.75" x14ac:dyDescent="0.25">
      <c r="A76" s="193"/>
      <c r="B76" s="422" t="s">
        <v>217</v>
      </c>
      <c r="C76" s="423"/>
      <c r="D76" s="423"/>
      <c r="E76" s="423"/>
      <c r="F76" s="423"/>
      <c r="G76" s="424"/>
      <c r="H76" s="194">
        <f>SUM(H74:H75)</f>
        <v>0</v>
      </c>
      <c r="I76" s="195"/>
    </row>
    <row r="77" spans="1:9" ht="15.75" x14ac:dyDescent="0.25">
      <c r="A77" s="183" t="s">
        <v>171</v>
      </c>
      <c r="B77" s="410" t="s">
        <v>172</v>
      </c>
      <c r="C77" s="410"/>
      <c r="D77" s="411"/>
      <c r="E77" s="184"/>
      <c r="F77" s="183"/>
      <c r="G77" s="183"/>
      <c r="H77" s="183"/>
      <c r="I77" s="183"/>
    </row>
    <row r="78" spans="1:9" ht="99.95" customHeight="1" x14ac:dyDescent="0.25">
      <c r="A78" s="304"/>
      <c r="B78" s="421" t="s">
        <v>207</v>
      </c>
      <c r="C78" s="421"/>
      <c r="D78" s="421"/>
      <c r="E78" s="230" t="s">
        <v>62</v>
      </c>
      <c r="F78" s="136" t="s">
        <v>62</v>
      </c>
      <c r="G78" s="293" t="s">
        <v>62</v>
      </c>
      <c r="H78" s="136" t="s">
        <v>62</v>
      </c>
      <c r="I78" s="9"/>
    </row>
    <row r="79" spans="1:9" ht="15.75" x14ac:dyDescent="0.25">
      <c r="A79" s="193"/>
      <c r="B79" s="422" t="s">
        <v>218</v>
      </c>
      <c r="C79" s="423"/>
      <c r="D79" s="423"/>
      <c r="E79" s="423"/>
      <c r="F79" s="423"/>
      <c r="G79" s="424"/>
      <c r="H79" s="194">
        <f>0</f>
        <v>0</v>
      </c>
      <c r="I79" s="195"/>
    </row>
    <row r="80" spans="1:9" s="334" customFormat="1" ht="18.600000000000001" customHeight="1" x14ac:dyDescent="0.25">
      <c r="A80" s="180"/>
      <c r="B80" s="419" t="s">
        <v>173</v>
      </c>
      <c r="C80" s="420"/>
      <c r="D80" s="420"/>
      <c r="E80" s="420"/>
      <c r="F80" s="420"/>
      <c r="G80" s="228">
        <v>2</v>
      </c>
      <c r="H80" s="205">
        <f>SUM(H82:H83)</f>
        <v>0</v>
      </c>
      <c r="I80" s="182"/>
    </row>
    <row r="81" spans="1:9" ht="65.099999999999994" customHeight="1" x14ac:dyDescent="0.25">
      <c r="A81" s="183"/>
      <c r="B81" s="425" t="s">
        <v>208</v>
      </c>
      <c r="C81" s="425"/>
      <c r="D81" s="425"/>
      <c r="E81" s="184"/>
      <c r="F81" s="183"/>
      <c r="G81" s="184" t="s">
        <v>127</v>
      </c>
      <c r="H81" s="183"/>
      <c r="I81" s="299" t="s">
        <v>128</v>
      </c>
    </row>
    <row r="82" spans="1:9" ht="183" customHeight="1" x14ac:dyDescent="0.25">
      <c r="A82" s="304"/>
      <c r="B82" s="421" t="s">
        <v>502</v>
      </c>
      <c r="C82" s="421"/>
      <c r="D82" s="421"/>
      <c r="E82" s="231"/>
      <c r="F82" s="167" t="s">
        <v>87</v>
      </c>
      <c r="G82" s="407" t="s">
        <v>129</v>
      </c>
      <c r="H82" s="78">
        <f>E82</f>
        <v>0</v>
      </c>
      <c r="I82" s="176" t="s">
        <v>130</v>
      </c>
    </row>
    <row r="83" spans="1:9" ht="183" customHeight="1" x14ac:dyDescent="0.25">
      <c r="A83" s="37"/>
      <c r="B83" s="421"/>
      <c r="C83" s="421"/>
      <c r="D83" s="421"/>
      <c r="E83" s="231"/>
      <c r="F83" s="167" t="s">
        <v>87</v>
      </c>
      <c r="G83" s="407"/>
      <c r="H83" s="78">
        <f>E83</f>
        <v>0</v>
      </c>
      <c r="I83" s="176" t="s">
        <v>131</v>
      </c>
    </row>
  </sheetData>
  <sheetProtection formatCells="0" selectLockedCells="1"/>
  <mergeCells count="105">
    <mergeCell ref="H7:H14"/>
    <mergeCell ref="I7:I14"/>
    <mergeCell ref="E21:E25"/>
    <mergeCell ref="F21:F25"/>
    <mergeCell ref="G21:G25"/>
    <mergeCell ref="I42:I46"/>
    <mergeCell ref="H38:H41"/>
    <mergeCell ref="I38:I41"/>
    <mergeCell ref="I34:I37"/>
    <mergeCell ref="H21:H25"/>
    <mergeCell ref="I21:I25"/>
    <mergeCell ref="B79:G79"/>
    <mergeCell ref="G38:G41"/>
    <mergeCell ref="B19:D19"/>
    <mergeCell ref="B4:D4"/>
    <mergeCell ref="B5:D5"/>
    <mergeCell ref="B6:D6"/>
    <mergeCell ref="B15:D15"/>
    <mergeCell ref="G42:G46"/>
    <mergeCell ref="B74:D74"/>
    <mergeCell ref="B66:D66"/>
    <mergeCell ref="B67:D67"/>
    <mergeCell ref="B61:D61"/>
    <mergeCell ref="B73:D73"/>
    <mergeCell ref="B18:D18"/>
    <mergeCell ref="B38:D38"/>
    <mergeCell ref="B42:D42"/>
    <mergeCell ref="B43:D43"/>
    <mergeCell ref="G53:G56"/>
    <mergeCell ref="G51:G52"/>
    <mergeCell ref="B72:G72"/>
    <mergeCell ref="B76:G76"/>
    <mergeCell ref="G7:G14"/>
    <mergeCell ref="B7:C7"/>
    <mergeCell ref="B20:D20"/>
    <mergeCell ref="A59:A60"/>
    <mergeCell ref="E34:E37"/>
    <mergeCell ref="F34:F37"/>
    <mergeCell ref="G34:G37"/>
    <mergeCell ref="H34:H37"/>
    <mergeCell ref="G59:G60"/>
    <mergeCell ref="B59:D60"/>
    <mergeCell ref="B48:D48"/>
    <mergeCell ref="B33:D33"/>
    <mergeCell ref="H42:H46"/>
    <mergeCell ref="H59:H60"/>
    <mergeCell ref="H51:H52"/>
    <mergeCell ref="H53:H56"/>
    <mergeCell ref="B25:D25"/>
    <mergeCell ref="B16:D16"/>
    <mergeCell ref="A7:A14"/>
    <mergeCell ref="D7:D14"/>
    <mergeCell ref="B58:D58"/>
    <mergeCell ref="E7:E14"/>
    <mergeCell ref="F7:F14"/>
    <mergeCell ref="D34:D37"/>
    <mergeCell ref="A21:A25"/>
    <mergeCell ref="D39:D41"/>
    <mergeCell ref="A33:A37"/>
    <mergeCell ref="A38:A46"/>
    <mergeCell ref="E38:E41"/>
    <mergeCell ref="F38:F41"/>
    <mergeCell ref="A47:A48"/>
    <mergeCell ref="A49:A56"/>
    <mergeCell ref="B10:B14"/>
    <mergeCell ref="B8:B9"/>
    <mergeCell ref="B1:D1"/>
    <mergeCell ref="B3:F3"/>
    <mergeCell ref="B30:F30"/>
    <mergeCell ref="B69:F69"/>
    <mergeCell ref="G82:G83"/>
    <mergeCell ref="B82:D83"/>
    <mergeCell ref="B17:G17"/>
    <mergeCell ref="B26:G26"/>
    <mergeCell ref="B29:G29"/>
    <mergeCell ref="B57:G57"/>
    <mergeCell ref="B62:G62"/>
    <mergeCell ref="B68:G68"/>
    <mergeCell ref="B81:D81"/>
    <mergeCell ref="B70:D70"/>
    <mergeCell ref="B71:D71"/>
    <mergeCell ref="B49:D49"/>
    <mergeCell ref="B50:D50"/>
    <mergeCell ref="B54:D54"/>
    <mergeCell ref="B55:D55"/>
    <mergeCell ref="B80:F80"/>
    <mergeCell ref="B75:D75"/>
    <mergeCell ref="B77:D77"/>
    <mergeCell ref="B78:D78"/>
    <mergeCell ref="A2:F2"/>
    <mergeCell ref="B63:D63"/>
    <mergeCell ref="B65:D65"/>
    <mergeCell ref="B56:D56"/>
    <mergeCell ref="B47:D47"/>
    <mergeCell ref="B44:D44"/>
    <mergeCell ref="B45:D45"/>
    <mergeCell ref="B46:D46"/>
    <mergeCell ref="B27:D27"/>
    <mergeCell ref="B28:D28"/>
    <mergeCell ref="B31:D31"/>
    <mergeCell ref="B32:D32"/>
    <mergeCell ref="B51:D51"/>
    <mergeCell ref="B52:D52"/>
    <mergeCell ref="B53:D53"/>
    <mergeCell ref="B64:D64"/>
  </mergeCells>
  <dataValidations count="8">
    <dataValidation type="decimal" allowBlank="1" showErrorMessage="1" error="Please enter 0.5 or 1 or 1.5 or 2." prompt="Please Enter 0 or 1 or 1.5 or 2." sqref="H82 H74:H75" xr:uid="{00000000-0002-0000-0400-000000000000}">
      <formula1>0</formula1>
      <formula2>2</formula2>
    </dataValidation>
    <dataValidation allowBlank="1" showInputMessage="1" showErrorMessage="1" prompt="Please list down short description of your innovation." sqref="I74:I75 I82:I83" xr:uid="{00000000-0002-0000-0400-000001000000}"/>
    <dataValidation allowBlank="1" showErrorMessage="1" sqref="H83" xr:uid="{00000000-0002-0000-0400-000002000000}"/>
    <dataValidation type="list" allowBlank="1" showInputMessage="1" showErrorMessage="1" sqref="E15 E65 E67 E28 E56 E54 E52" xr:uid="{00000000-0002-0000-0400-000003000000}">
      <formula1>"Y,N"</formula1>
    </dataValidation>
    <dataValidation type="decimal" allowBlank="1" showInputMessage="1" showErrorMessage="1" sqref="E20 E34:E37 E42:E46 E60:E61 E66 E71 E74:E75 E55 E51 E53" xr:uid="{00000000-0002-0000-0400-000004000000}">
      <formula1>0</formula1>
      <formula2>100</formula2>
    </dataValidation>
    <dataValidation type="whole" allowBlank="1" showInputMessage="1" showErrorMessage="1" sqref="E48" xr:uid="{00000000-0002-0000-0400-000005000000}">
      <formula1>0</formula1>
      <formula2>100</formula2>
    </dataValidation>
    <dataValidation type="list" allowBlank="1" showInputMessage="1" showErrorMessage="1" sqref="E59" xr:uid="{00000000-0002-0000-0400-000006000000}">
      <formula1>"Cost,Area"</formula1>
    </dataValidation>
    <dataValidation type="list" showErrorMessage="1" error="Please enter 0.5 or 1 or 1.5 or 2." prompt="Please Enter 0.5 or 1 or 1.5 or 2." sqref="E82:E83" xr:uid="{00000000-0002-0000-0400-000007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97"/>
  <sheetViews>
    <sheetView zoomScaleNormal="100" workbookViewId="0">
      <selection activeCell="J74" sqref="J74"/>
    </sheetView>
  </sheetViews>
  <sheetFormatPr defaultColWidth="9.140625" defaultRowHeight="15" x14ac:dyDescent="0.25"/>
  <cols>
    <col min="1" max="1" width="8.28515625" style="8" customWidth="1"/>
    <col min="2" max="2" width="22.28515625" style="8" customWidth="1"/>
    <col min="3" max="3" width="46.42578125" style="8" customWidth="1"/>
    <col min="4" max="4" width="10.5703125" style="8" customWidth="1"/>
    <col min="5" max="5" width="10.7109375" style="335" customWidth="1"/>
    <col min="6" max="6" width="16.140625" style="321" customWidth="1"/>
    <col min="7" max="7" width="18.140625" style="8" customWidth="1"/>
    <col min="8" max="8" width="10.7109375" style="337" customWidth="1"/>
    <col min="9" max="9" width="30.7109375" style="8" customWidth="1"/>
    <col min="10" max="11" width="50.7109375" style="8" customWidth="1"/>
    <col min="12" max="12" width="15.5703125" style="8" customWidth="1"/>
    <col min="13" max="13" width="17.28515625" style="8" customWidth="1"/>
    <col min="14" max="16384" width="9.140625" style="8"/>
  </cols>
  <sheetData>
    <row r="1" spans="1:9" ht="47.25" x14ac:dyDescent="0.25">
      <c r="A1" s="322"/>
      <c r="B1" s="511" t="s">
        <v>220</v>
      </c>
      <c r="C1" s="512"/>
      <c r="D1" s="513"/>
      <c r="E1" s="324" t="s">
        <v>41</v>
      </c>
      <c r="F1" s="324" t="s">
        <v>42</v>
      </c>
      <c r="G1" s="325" t="s">
        <v>43</v>
      </c>
      <c r="H1" s="324" t="s">
        <v>44</v>
      </c>
      <c r="I1" s="323" t="s">
        <v>45</v>
      </c>
    </row>
    <row r="2" spans="1:9" ht="21" x14ac:dyDescent="0.25">
      <c r="A2" s="514" t="s">
        <v>224</v>
      </c>
      <c r="B2" s="515"/>
      <c r="C2" s="515"/>
      <c r="D2" s="515"/>
      <c r="E2" s="515"/>
      <c r="F2" s="516"/>
      <c r="G2" s="234">
        <v>15</v>
      </c>
      <c r="H2" s="235">
        <f>MIN(SUM(H3,H46,H71,H94),15)</f>
        <v>0</v>
      </c>
      <c r="I2" s="236" t="s">
        <v>132</v>
      </c>
    </row>
    <row r="3" spans="1:9" ht="14.45" customHeight="1" x14ac:dyDescent="0.25">
      <c r="A3" s="237" t="s">
        <v>221</v>
      </c>
      <c r="B3" s="517" t="s">
        <v>362</v>
      </c>
      <c r="C3" s="518"/>
      <c r="D3" s="518"/>
      <c r="E3" s="518"/>
      <c r="F3" s="518"/>
      <c r="G3" s="238">
        <v>5</v>
      </c>
      <c r="H3" s="239">
        <f>MIN(SUM(H8,H12,H22,H35,H40,H45), 5)</f>
        <v>0</v>
      </c>
      <c r="I3" s="240"/>
    </row>
    <row r="4" spans="1:9" ht="15.75" x14ac:dyDescent="0.25">
      <c r="A4" s="241" t="s">
        <v>222</v>
      </c>
      <c r="B4" s="519" t="s">
        <v>223</v>
      </c>
      <c r="C4" s="519"/>
      <c r="D4" s="520"/>
      <c r="E4" s="242"/>
      <c r="F4" s="241"/>
      <c r="G4" s="241"/>
      <c r="H4" s="243"/>
      <c r="I4" s="241"/>
    </row>
    <row r="5" spans="1:9" ht="15.75" x14ac:dyDescent="0.25">
      <c r="A5" s="244" t="s">
        <v>225</v>
      </c>
      <c r="B5" s="521" t="s">
        <v>226</v>
      </c>
      <c r="C5" s="521"/>
      <c r="D5" s="521"/>
      <c r="E5" s="245"/>
      <c r="F5" s="244"/>
      <c r="G5" s="246"/>
      <c r="H5" s="247"/>
      <c r="I5" s="246"/>
    </row>
    <row r="6" spans="1:9" ht="80.25" customHeight="1" x14ac:dyDescent="0.25">
      <c r="A6" s="301" t="s">
        <v>143</v>
      </c>
      <c r="B6" s="421" t="s">
        <v>447</v>
      </c>
      <c r="C6" s="421"/>
      <c r="D6" s="421"/>
      <c r="E6" s="231"/>
      <c r="F6" s="305" t="s">
        <v>53</v>
      </c>
      <c r="G6" s="301" t="s">
        <v>203</v>
      </c>
      <c r="H6" s="298">
        <f>IF(E6="Y",0.5,0)</f>
        <v>0</v>
      </c>
      <c r="I6" s="262"/>
    </row>
    <row r="7" spans="1:9" ht="50.1" customHeight="1" x14ac:dyDescent="0.25">
      <c r="A7" s="301" t="s">
        <v>144</v>
      </c>
      <c r="B7" s="421" t="s">
        <v>231</v>
      </c>
      <c r="C7" s="421"/>
      <c r="D7" s="421"/>
      <c r="E7" s="231"/>
      <c r="F7" s="305" t="s">
        <v>53</v>
      </c>
      <c r="G7" s="301" t="s">
        <v>203</v>
      </c>
      <c r="H7" s="298">
        <f>IF(E7="Y",0.5,0)</f>
        <v>0</v>
      </c>
      <c r="I7" s="262"/>
    </row>
    <row r="8" spans="1:9" ht="15.75" x14ac:dyDescent="0.25">
      <c r="A8" s="501" t="s">
        <v>296</v>
      </c>
      <c r="B8" s="501"/>
      <c r="C8" s="501"/>
      <c r="D8" s="501"/>
      <c r="E8" s="501"/>
      <c r="F8" s="501"/>
      <c r="G8" s="501"/>
      <c r="H8" s="248">
        <f>SUM(H6:H7)</f>
        <v>0</v>
      </c>
      <c r="I8" s="249"/>
    </row>
    <row r="9" spans="1:9" ht="15.75" x14ac:dyDescent="0.25">
      <c r="A9" s="244" t="s">
        <v>229</v>
      </c>
      <c r="B9" s="508" t="s">
        <v>228</v>
      </c>
      <c r="C9" s="508"/>
      <c r="D9" s="508"/>
      <c r="E9" s="245"/>
      <c r="F9" s="244"/>
      <c r="G9" s="246"/>
      <c r="H9" s="247"/>
      <c r="I9" s="246"/>
    </row>
    <row r="10" spans="1:9" ht="128.44999999999999" customHeight="1" x14ac:dyDescent="0.25">
      <c r="A10" s="301" t="s">
        <v>51</v>
      </c>
      <c r="B10" s="412" t="s">
        <v>290</v>
      </c>
      <c r="C10" s="413"/>
      <c r="D10" s="522"/>
      <c r="E10" s="231"/>
      <c r="F10" s="305" t="s">
        <v>67</v>
      </c>
      <c r="G10" s="297" t="s">
        <v>289</v>
      </c>
      <c r="H10" s="298">
        <f>IF(E10=100,1,IF(E10&gt;=50,0.5,0))</f>
        <v>0</v>
      </c>
      <c r="I10" s="262"/>
    </row>
    <row r="11" spans="1:9" ht="81" customHeight="1" x14ac:dyDescent="0.25">
      <c r="A11" s="301" t="s">
        <v>55</v>
      </c>
      <c r="B11" s="413" t="s">
        <v>291</v>
      </c>
      <c r="C11" s="413"/>
      <c r="D11" s="413"/>
      <c r="E11" s="231"/>
      <c r="F11" s="305" t="s">
        <v>67</v>
      </c>
      <c r="G11" s="297" t="s">
        <v>289</v>
      </c>
      <c r="H11" s="298">
        <f>IF(E11&gt;=90,1,IF(E11&gt;=50,0.5,0))</f>
        <v>0</v>
      </c>
      <c r="I11" s="262"/>
    </row>
    <row r="12" spans="1:9" ht="15.75" x14ac:dyDescent="0.25">
      <c r="A12" s="501" t="s">
        <v>297</v>
      </c>
      <c r="B12" s="501"/>
      <c r="C12" s="501"/>
      <c r="D12" s="501"/>
      <c r="E12" s="501"/>
      <c r="F12" s="501"/>
      <c r="G12" s="501"/>
      <c r="H12" s="248">
        <f>SUM(H10:H11)</f>
        <v>0</v>
      </c>
      <c r="I12" s="249"/>
    </row>
    <row r="13" spans="1:9" ht="15.75" customHeight="1" x14ac:dyDescent="0.25">
      <c r="A13" s="241" t="s">
        <v>232</v>
      </c>
      <c r="B13" s="510" t="s">
        <v>230</v>
      </c>
      <c r="C13" s="510"/>
      <c r="D13" s="523"/>
      <c r="E13" s="242"/>
      <c r="F13" s="241"/>
      <c r="G13" s="241"/>
      <c r="H13" s="243"/>
      <c r="I13" s="241"/>
    </row>
    <row r="14" spans="1:9" ht="80.099999999999994" customHeight="1" thickBot="1" x14ac:dyDescent="0.3">
      <c r="A14" s="524"/>
      <c r="B14" s="465" t="s">
        <v>448</v>
      </c>
      <c r="C14" s="466"/>
      <c r="D14" s="522"/>
      <c r="E14" s="311"/>
      <c r="F14" s="300"/>
      <c r="G14" s="48"/>
      <c r="H14" s="298"/>
      <c r="I14" s="336"/>
    </row>
    <row r="15" spans="1:9" ht="15.75" x14ac:dyDescent="0.25">
      <c r="A15" s="525"/>
      <c r="B15" s="536" t="s">
        <v>233</v>
      </c>
      <c r="C15" s="537"/>
      <c r="D15" s="532"/>
      <c r="E15" s="504"/>
      <c r="F15" s="460"/>
      <c r="G15" s="457"/>
      <c r="H15" s="460"/>
      <c r="I15" s="533"/>
    </row>
    <row r="16" spans="1:9" ht="15" customHeight="1" x14ac:dyDescent="0.25">
      <c r="A16" s="525"/>
      <c r="B16" s="538" t="s">
        <v>234</v>
      </c>
      <c r="C16" s="539"/>
      <c r="D16" s="441"/>
      <c r="E16" s="504"/>
      <c r="F16" s="460"/>
      <c r="G16" s="457"/>
      <c r="H16" s="460"/>
      <c r="I16" s="534"/>
    </row>
    <row r="17" spans="1:9" ht="55.5" x14ac:dyDescent="0.25">
      <c r="A17" s="525"/>
      <c r="B17" s="250" t="s">
        <v>235</v>
      </c>
      <c r="C17" s="251" t="s">
        <v>237</v>
      </c>
      <c r="D17" s="441"/>
      <c r="E17" s="504"/>
      <c r="F17" s="460"/>
      <c r="G17" s="457"/>
      <c r="H17" s="460"/>
      <c r="I17" s="534"/>
    </row>
    <row r="18" spans="1:9" ht="42.95" customHeight="1" x14ac:dyDescent="0.25">
      <c r="A18" s="525"/>
      <c r="B18" s="252" t="s">
        <v>236</v>
      </c>
      <c r="C18" s="251" t="s">
        <v>238</v>
      </c>
      <c r="D18" s="441"/>
      <c r="E18" s="504"/>
      <c r="F18" s="460"/>
      <c r="G18" s="457"/>
      <c r="H18" s="460"/>
      <c r="I18" s="534"/>
    </row>
    <row r="19" spans="1:9" ht="66.95" customHeight="1" thickBot="1" x14ac:dyDescent="0.3">
      <c r="A19" s="525"/>
      <c r="B19" s="540" t="s">
        <v>239</v>
      </c>
      <c r="C19" s="541"/>
      <c r="D19" s="442"/>
      <c r="E19" s="504"/>
      <c r="F19" s="460"/>
      <c r="G19" s="457"/>
      <c r="H19" s="460"/>
      <c r="I19" s="535"/>
    </row>
    <row r="20" spans="1:9" ht="30" customHeight="1" x14ac:dyDescent="0.25">
      <c r="A20" s="525"/>
      <c r="B20" s="527" t="s">
        <v>385</v>
      </c>
      <c r="C20" s="528"/>
      <c r="D20" s="529"/>
      <c r="E20" s="231"/>
      <c r="F20" s="305" t="s">
        <v>293</v>
      </c>
      <c r="G20" s="407" t="s">
        <v>292</v>
      </c>
      <c r="H20" s="461">
        <f>IF(AND(E20="A",E21&gt;=60),1,0)+IF(AND(E20="B",E21&gt;=80),0.5,0)</f>
        <v>0</v>
      </c>
      <c r="I20" s="530"/>
    </row>
    <row r="21" spans="1:9" ht="28.5" customHeight="1" x14ac:dyDescent="0.25">
      <c r="A21" s="526"/>
      <c r="B21" s="468"/>
      <c r="C21" s="469"/>
      <c r="D21" s="470"/>
      <c r="E21" s="231"/>
      <c r="F21" s="305" t="s">
        <v>67</v>
      </c>
      <c r="G21" s="407"/>
      <c r="H21" s="474"/>
      <c r="I21" s="531"/>
    </row>
    <row r="22" spans="1:9" ht="15.75" x14ac:dyDescent="0.25">
      <c r="A22" s="501" t="s">
        <v>298</v>
      </c>
      <c r="B22" s="501"/>
      <c r="C22" s="501"/>
      <c r="D22" s="501"/>
      <c r="E22" s="501"/>
      <c r="F22" s="501"/>
      <c r="G22" s="501"/>
      <c r="H22" s="248">
        <f>H20</f>
        <v>0</v>
      </c>
      <c r="I22" s="249"/>
    </row>
    <row r="23" spans="1:9" ht="15.75" x14ac:dyDescent="0.25">
      <c r="A23" s="241" t="s">
        <v>240</v>
      </c>
      <c r="B23" s="510" t="s">
        <v>241</v>
      </c>
      <c r="C23" s="510"/>
      <c r="D23" s="510"/>
      <c r="E23" s="242"/>
      <c r="F23" s="253"/>
      <c r="G23" s="241"/>
      <c r="H23" s="243"/>
      <c r="I23" s="241"/>
    </row>
    <row r="24" spans="1:9" ht="15.75" customHeight="1" x14ac:dyDescent="0.25">
      <c r="A24" s="244" t="s">
        <v>242</v>
      </c>
      <c r="B24" s="508" t="s">
        <v>243</v>
      </c>
      <c r="C24" s="508"/>
      <c r="D24" s="508"/>
      <c r="E24" s="245"/>
      <c r="F24" s="254"/>
      <c r="G24" s="246"/>
      <c r="H24" s="247"/>
      <c r="I24" s="246"/>
    </row>
    <row r="25" spans="1:9" ht="136.5" customHeight="1" x14ac:dyDescent="0.25">
      <c r="A25" s="445" t="s">
        <v>143</v>
      </c>
      <c r="B25" s="428" t="s">
        <v>450</v>
      </c>
      <c r="C25" s="428"/>
      <c r="D25" s="428"/>
      <c r="E25" s="311"/>
      <c r="F25" s="255"/>
      <c r="G25" s="301"/>
      <c r="H25" s="298"/>
      <c r="I25" s="232"/>
    </row>
    <row r="26" spans="1:9" ht="15.75" x14ac:dyDescent="0.25">
      <c r="A26" s="447"/>
      <c r="B26" s="506" t="s">
        <v>449</v>
      </c>
      <c r="C26" s="428"/>
      <c r="D26" s="507"/>
      <c r="E26" s="231"/>
      <c r="F26" s="255" t="s">
        <v>53</v>
      </c>
      <c r="G26" s="463" t="s">
        <v>289</v>
      </c>
      <c r="H26" s="461">
        <f>IF(AND(E26="Y",E27="Y",E28&gt;=90),1,IF(AND(E26="Y",E27="Y",E28&gt;=50),0.5,0))</f>
        <v>0</v>
      </c>
      <c r="I26" s="232"/>
    </row>
    <row r="27" spans="1:9" ht="47.45" customHeight="1" x14ac:dyDescent="0.25">
      <c r="A27" s="447"/>
      <c r="B27" s="506" t="s">
        <v>390</v>
      </c>
      <c r="C27" s="428"/>
      <c r="D27" s="507"/>
      <c r="E27" s="231"/>
      <c r="F27" s="255" t="s">
        <v>53</v>
      </c>
      <c r="G27" s="447"/>
      <c r="H27" s="462"/>
      <c r="I27" s="232"/>
    </row>
    <row r="28" spans="1:9" ht="48" customHeight="1" x14ac:dyDescent="0.25">
      <c r="A28" s="448"/>
      <c r="B28" s="506" t="s">
        <v>474</v>
      </c>
      <c r="C28" s="428"/>
      <c r="D28" s="507"/>
      <c r="E28" s="231"/>
      <c r="F28" s="255" t="s">
        <v>67</v>
      </c>
      <c r="G28" s="448"/>
      <c r="H28" s="474"/>
      <c r="I28" s="232"/>
    </row>
    <row r="29" spans="1:9" ht="15.75" x14ac:dyDescent="0.25">
      <c r="A29" s="445" t="s">
        <v>144</v>
      </c>
      <c r="B29" s="542" t="s">
        <v>482</v>
      </c>
      <c r="C29" s="543"/>
      <c r="D29" s="544"/>
      <c r="E29" s="311"/>
      <c r="F29" s="255"/>
      <c r="G29" s="303"/>
      <c r="H29" s="309"/>
      <c r="I29" s="232"/>
    </row>
    <row r="30" spans="1:9" ht="15.75" x14ac:dyDescent="0.25">
      <c r="A30" s="447"/>
      <c r="B30" s="545" t="s">
        <v>483</v>
      </c>
      <c r="C30" s="543"/>
      <c r="D30" s="544"/>
      <c r="E30" s="231"/>
      <c r="F30" s="196" t="s">
        <v>87</v>
      </c>
      <c r="G30" s="301" t="s">
        <v>54</v>
      </c>
      <c r="H30" s="298">
        <f>IF(ISBLANK(E30),0,IF(AND(E30&lt;0.5,E30&gt;-0.5),1,0))</f>
        <v>0</v>
      </c>
      <c r="I30" s="232"/>
    </row>
    <row r="31" spans="1:9" ht="36" customHeight="1" x14ac:dyDescent="0.25">
      <c r="A31" s="447"/>
      <c r="B31" s="545" t="s">
        <v>484</v>
      </c>
      <c r="C31" s="543"/>
      <c r="D31" s="544"/>
      <c r="E31" s="231"/>
      <c r="F31" s="196" t="s">
        <v>67</v>
      </c>
      <c r="G31" s="301" t="s">
        <v>54</v>
      </c>
      <c r="H31" s="298">
        <f>IF(E31&gt;=70,1,0)</f>
        <v>0</v>
      </c>
      <c r="I31" s="232"/>
    </row>
    <row r="32" spans="1:9" ht="15.75" x14ac:dyDescent="0.25">
      <c r="A32" s="447"/>
      <c r="B32" s="546" t="s">
        <v>485</v>
      </c>
      <c r="C32" s="546"/>
      <c r="D32" s="546"/>
      <c r="E32" s="256"/>
      <c r="F32" s="196"/>
      <c r="G32" s="301"/>
      <c r="H32" s="298"/>
      <c r="I32" s="232"/>
    </row>
    <row r="33" spans="1:9" ht="47.25" x14ac:dyDescent="0.25">
      <c r="A33" s="447"/>
      <c r="B33" s="547" t="s">
        <v>486</v>
      </c>
      <c r="C33" s="547"/>
      <c r="D33" s="547"/>
      <c r="E33" s="231"/>
      <c r="F33" s="196" t="s">
        <v>67</v>
      </c>
      <c r="G33" s="297" t="s">
        <v>487</v>
      </c>
      <c r="H33" s="298">
        <f>MIN(ROUNDDOWN(E33*0.01,1),0.5)</f>
        <v>0</v>
      </c>
      <c r="I33" s="232"/>
    </row>
    <row r="34" spans="1:9" ht="228" customHeight="1" x14ac:dyDescent="0.25">
      <c r="A34" s="448"/>
      <c r="B34" s="509" t="s">
        <v>488</v>
      </c>
      <c r="C34" s="509"/>
      <c r="D34" s="509"/>
      <c r="E34" s="231"/>
      <c r="F34" s="196" t="s">
        <v>67</v>
      </c>
      <c r="G34" s="297" t="s">
        <v>289</v>
      </c>
      <c r="H34" s="298">
        <f>IF(E34&gt;=70,1,IF(E34&gt;=50,0.5,0))</f>
        <v>0</v>
      </c>
      <c r="I34" s="232"/>
    </row>
    <row r="35" spans="1:9" ht="15.75" x14ac:dyDescent="0.25">
      <c r="A35" s="501" t="s">
        <v>299</v>
      </c>
      <c r="B35" s="501"/>
      <c r="C35" s="501"/>
      <c r="D35" s="501"/>
      <c r="E35" s="501"/>
      <c r="F35" s="501"/>
      <c r="G35" s="501"/>
      <c r="H35" s="248">
        <f>SUM(H26,MAX(H30,H31,MIN(SUM(H33:H34),1)))</f>
        <v>0</v>
      </c>
      <c r="I35" s="249"/>
    </row>
    <row r="36" spans="1:9" ht="15.75" customHeight="1" x14ac:dyDescent="0.25">
      <c r="A36" s="244" t="s">
        <v>244</v>
      </c>
      <c r="B36" s="496" t="s">
        <v>245</v>
      </c>
      <c r="C36" s="496"/>
      <c r="D36" s="496"/>
      <c r="E36" s="245"/>
      <c r="F36" s="244"/>
      <c r="G36" s="246"/>
      <c r="H36" s="247"/>
      <c r="I36" s="246"/>
    </row>
    <row r="37" spans="1:9" ht="81" customHeight="1" x14ac:dyDescent="0.25">
      <c r="A37" s="293" t="s">
        <v>51</v>
      </c>
      <c r="B37" s="421" t="s">
        <v>451</v>
      </c>
      <c r="C37" s="421"/>
      <c r="D37" s="421"/>
      <c r="E37" s="231"/>
      <c r="F37" s="196" t="s">
        <v>87</v>
      </c>
      <c r="G37" s="297" t="s">
        <v>383</v>
      </c>
      <c r="H37" s="298">
        <f>IF(E37&gt;=2,2,IF(E37&gt;=1.5,1,0))</f>
        <v>0</v>
      </c>
      <c r="I37" s="232"/>
    </row>
    <row r="38" spans="1:9" ht="33.6" customHeight="1" x14ac:dyDescent="0.25">
      <c r="A38" s="293" t="s">
        <v>55</v>
      </c>
      <c r="B38" s="421" t="s">
        <v>388</v>
      </c>
      <c r="C38" s="421"/>
      <c r="D38" s="421"/>
      <c r="E38" s="231"/>
      <c r="F38" s="196" t="s">
        <v>53</v>
      </c>
      <c r="G38" s="297" t="s">
        <v>203</v>
      </c>
      <c r="H38" s="298">
        <f>IF(E38="Y",0.5,0)</f>
        <v>0</v>
      </c>
      <c r="I38" s="232"/>
    </row>
    <row r="39" spans="1:9" ht="63" customHeight="1" x14ac:dyDescent="0.25">
      <c r="A39" s="293" t="s">
        <v>102</v>
      </c>
      <c r="B39" s="421" t="s">
        <v>294</v>
      </c>
      <c r="C39" s="421"/>
      <c r="D39" s="421"/>
      <c r="E39" s="231"/>
      <c r="F39" s="196" t="s">
        <v>293</v>
      </c>
      <c r="G39" s="297" t="s">
        <v>289</v>
      </c>
      <c r="H39" s="298">
        <f>IF(E39="A",0.5,IF(E39="B",1,0))</f>
        <v>0</v>
      </c>
      <c r="I39" s="232"/>
    </row>
    <row r="40" spans="1:9" ht="15.75" x14ac:dyDescent="0.25">
      <c r="A40" s="501" t="s">
        <v>300</v>
      </c>
      <c r="B40" s="501"/>
      <c r="C40" s="501"/>
      <c r="D40" s="501"/>
      <c r="E40" s="501"/>
      <c r="F40" s="501"/>
      <c r="G40" s="501"/>
      <c r="H40" s="248">
        <f>SUM(H37:H39)</f>
        <v>0</v>
      </c>
      <c r="I40" s="249"/>
    </row>
    <row r="41" spans="1:9" ht="15.75" customHeight="1" x14ac:dyDescent="0.25">
      <c r="A41" s="244" t="s">
        <v>246</v>
      </c>
      <c r="B41" s="496" t="s">
        <v>247</v>
      </c>
      <c r="C41" s="496"/>
      <c r="D41" s="496"/>
      <c r="E41" s="245"/>
      <c r="F41" s="244"/>
      <c r="G41" s="246"/>
      <c r="H41" s="247"/>
      <c r="I41" s="246"/>
    </row>
    <row r="42" spans="1:9" ht="15.6" customHeight="1" x14ac:dyDescent="0.25">
      <c r="A42" s="293" t="s">
        <v>51</v>
      </c>
      <c r="B42" s="505" t="s">
        <v>248</v>
      </c>
      <c r="C42" s="505"/>
      <c r="D42" s="505"/>
      <c r="E42" s="231"/>
      <c r="F42" s="196" t="s">
        <v>53</v>
      </c>
      <c r="G42" s="297" t="s">
        <v>203</v>
      </c>
      <c r="H42" s="298">
        <f>IF(E42="Y",0.5,0)</f>
        <v>0</v>
      </c>
      <c r="I42" s="232"/>
    </row>
    <row r="43" spans="1:9" ht="64.5" customHeight="1" x14ac:dyDescent="0.25">
      <c r="A43" s="293" t="s">
        <v>55</v>
      </c>
      <c r="B43" s="421" t="s">
        <v>452</v>
      </c>
      <c r="C43" s="421"/>
      <c r="D43" s="421"/>
      <c r="E43" s="231"/>
      <c r="F43" s="196" t="s">
        <v>53</v>
      </c>
      <c r="G43" s="297" t="s">
        <v>54</v>
      </c>
      <c r="H43" s="298">
        <f>IF(E43="Y",1,0)</f>
        <v>0</v>
      </c>
      <c r="I43" s="232"/>
    </row>
    <row r="44" spans="1:9" ht="47.1" customHeight="1" x14ac:dyDescent="0.25">
      <c r="A44" s="293" t="s">
        <v>102</v>
      </c>
      <c r="B44" s="421" t="s">
        <v>249</v>
      </c>
      <c r="C44" s="421"/>
      <c r="D44" s="421"/>
      <c r="E44" s="231"/>
      <c r="F44" s="196" t="s">
        <v>53</v>
      </c>
      <c r="G44" s="297" t="s">
        <v>203</v>
      </c>
      <c r="H44" s="298">
        <f>IF(E44="Y",0.5,0)</f>
        <v>0</v>
      </c>
      <c r="I44" s="232"/>
    </row>
    <row r="45" spans="1:9" ht="15.75" x14ac:dyDescent="0.25">
      <c r="A45" s="501" t="s">
        <v>301</v>
      </c>
      <c r="B45" s="501"/>
      <c r="C45" s="501"/>
      <c r="D45" s="501"/>
      <c r="E45" s="501"/>
      <c r="F45" s="501"/>
      <c r="G45" s="501"/>
      <c r="H45" s="248">
        <f>SUM(H42:H44)</f>
        <v>0</v>
      </c>
      <c r="I45" s="249"/>
    </row>
    <row r="46" spans="1:9" ht="15.75" x14ac:dyDescent="0.25">
      <c r="A46" s="237" t="s">
        <v>250</v>
      </c>
      <c r="B46" s="497" t="s">
        <v>363</v>
      </c>
      <c r="C46" s="497"/>
      <c r="D46" s="497"/>
      <c r="E46" s="497"/>
      <c r="F46" s="497"/>
      <c r="G46" s="237">
        <v>5</v>
      </c>
      <c r="H46" s="257">
        <f>MIN(SUM(H53,H59,H63,H70),5)</f>
        <v>0</v>
      </c>
      <c r="I46" s="258"/>
    </row>
    <row r="47" spans="1:9" ht="15.75" x14ac:dyDescent="0.25">
      <c r="A47" s="241" t="s">
        <v>251</v>
      </c>
      <c r="B47" s="498" t="s">
        <v>258</v>
      </c>
      <c r="C47" s="499"/>
      <c r="D47" s="499"/>
      <c r="E47" s="242"/>
      <c r="F47" s="241"/>
      <c r="G47" s="241">
        <v>5</v>
      </c>
      <c r="H47" s="243"/>
      <c r="I47" s="241"/>
    </row>
    <row r="48" spans="1:9" s="329" customFormat="1" ht="48.6" customHeight="1" x14ac:dyDescent="0.25">
      <c r="A48" s="259"/>
      <c r="B48" s="500" t="s">
        <v>259</v>
      </c>
      <c r="C48" s="500"/>
      <c r="D48" s="500"/>
      <c r="E48" s="311"/>
      <c r="F48" s="196"/>
      <c r="G48" s="297"/>
      <c r="H48" s="298"/>
      <c r="I48" s="232"/>
    </row>
    <row r="49" spans="1:15" ht="15.75" customHeight="1" x14ac:dyDescent="0.25">
      <c r="A49" s="293" t="s">
        <v>51</v>
      </c>
      <c r="B49" s="421" t="s">
        <v>252</v>
      </c>
      <c r="C49" s="421"/>
      <c r="D49" s="421"/>
      <c r="E49" s="231"/>
      <c r="F49" s="196" t="s">
        <v>53</v>
      </c>
      <c r="G49" s="297" t="s">
        <v>54</v>
      </c>
      <c r="H49" s="298">
        <f>IF(E49="Y",1,0)</f>
        <v>0</v>
      </c>
      <c r="I49" s="232"/>
    </row>
    <row r="50" spans="1:15" ht="32.1" customHeight="1" x14ac:dyDescent="0.25">
      <c r="A50" s="293" t="s">
        <v>55</v>
      </c>
      <c r="B50" s="421" t="s">
        <v>253</v>
      </c>
      <c r="C50" s="421"/>
      <c r="D50" s="421"/>
      <c r="E50" s="231"/>
      <c r="F50" s="196" t="s">
        <v>53</v>
      </c>
      <c r="G50" s="297" t="s">
        <v>203</v>
      </c>
      <c r="H50" s="298">
        <f t="shared" ref="H50:H52" si="0">IF(E50="Y",0.5,0)</f>
        <v>0</v>
      </c>
      <c r="I50" s="232"/>
      <c r="K50" s="328"/>
      <c r="L50" s="328"/>
      <c r="M50" s="328"/>
      <c r="N50" s="328"/>
      <c r="O50" s="328"/>
    </row>
    <row r="51" spans="1:15" ht="32.1" customHeight="1" x14ac:dyDescent="0.25">
      <c r="A51" s="293" t="s">
        <v>102</v>
      </c>
      <c r="B51" s="421" t="s">
        <v>254</v>
      </c>
      <c r="C51" s="421"/>
      <c r="D51" s="421"/>
      <c r="E51" s="231"/>
      <c r="F51" s="196" t="s">
        <v>53</v>
      </c>
      <c r="G51" s="297" t="s">
        <v>203</v>
      </c>
      <c r="H51" s="298">
        <f t="shared" si="0"/>
        <v>0</v>
      </c>
      <c r="I51" s="232"/>
      <c r="K51" s="328"/>
      <c r="L51" s="328"/>
      <c r="M51" s="328"/>
      <c r="N51" s="328"/>
      <c r="O51" s="328"/>
    </row>
    <row r="52" spans="1:15" ht="31.5" customHeight="1" x14ac:dyDescent="0.25">
      <c r="A52" s="293" t="s">
        <v>190</v>
      </c>
      <c r="B52" s="421" t="s">
        <v>255</v>
      </c>
      <c r="C52" s="421" t="s">
        <v>195</v>
      </c>
      <c r="D52" s="421"/>
      <c r="E52" s="231"/>
      <c r="F52" s="196" t="s">
        <v>53</v>
      </c>
      <c r="G52" s="297" t="s">
        <v>203</v>
      </c>
      <c r="H52" s="298">
        <f t="shared" si="0"/>
        <v>0</v>
      </c>
      <c r="I52" s="232"/>
      <c r="K52" s="328"/>
      <c r="L52" s="328"/>
      <c r="M52" s="328"/>
      <c r="N52" s="328"/>
      <c r="O52" s="328"/>
    </row>
    <row r="53" spans="1:15" ht="15.75" x14ac:dyDescent="0.25">
      <c r="A53" s="501" t="s">
        <v>302</v>
      </c>
      <c r="B53" s="501"/>
      <c r="C53" s="501"/>
      <c r="D53" s="501"/>
      <c r="E53" s="501"/>
      <c r="F53" s="501"/>
      <c r="G53" s="501"/>
      <c r="H53" s="248">
        <f>SUM(H49:H52)</f>
        <v>0</v>
      </c>
      <c r="I53" s="249"/>
    </row>
    <row r="54" spans="1:15" ht="15.75" x14ac:dyDescent="0.25">
      <c r="A54" s="241" t="s">
        <v>256</v>
      </c>
      <c r="B54" s="498" t="s">
        <v>257</v>
      </c>
      <c r="C54" s="499"/>
      <c r="D54" s="499"/>
      <c r="E54" s="242"/>
      <c r="F54" s="241"/>
      <c r="G54" s="241"/>
      <c r="H54" s="243"/>
      <c r="I54" s="241"/>
    </row>
    <row r="55" spans="1:15" ht="32.1" customHeight="1" x14ac:dyDescent="0.25">
      <c r="A55" s="293"/>
      <c r="B55" s="421" t="s">
        <v>460</v>
      </c>
      <c r="C55" s="421"/>
      <c r="D55" s="421"/>
      <c r="E55" s="311"/>
      <c r="F55" s="305"/>
      <c r="G55" s="301"/>
      <c r="H55" s="298"/>
      <c r="I55" s="168"/>
      <c r="K55" s="328"/>
      <c r="L55" s="328"/>
      <c r="M55" s="328"/>
      <c r="N55" s="328"/>
      <c r="O55" s="328"/>
    </row>
    <row r="56" spans="1:15" ht="30.95" customHeight="1" x14ac:dyDescent="0.25">
      <c r="A56" s="293" t="s">
        <v>51</v>
      </c>
      <c r="B56" s="421" t="s">
        <v>453</v>
      </c>
      <c r="C56" s="421"/>
      <c r="D56" s="421"/>
      <c r="E56" s="231"/>
      <c r="F56" s="305" t="s">
        <v>53</v>
      </c>
      <c r="G56" s="301" t="s">
        <v>54</v>
      </c>
      <c r="H56" s="298">
        <f>IF(E56="Y",1,0)</f>
        <v>0</v>
      </c>
      <c r="I56" s="168"/>
      <c r="K56" s="328"/>
      <c r="L56" s="328"/>
      <c r="M56" s="328"/>
      <c r="N56" s="328"/>
      <c r="O56" s="328"/>
    </row>
    <row r="57" spans="1:15" ht="64.5" customHeight="1" x14ac:dyDescent="0.25">
      <c r="A57" s="293" t="s">
        <v>55</v>
      </c>
      <c r="B57" s="421" t="s">
        <v>260</v>
      </c>
      <c r="C57" s="421"/>
      <c r="D57" s="421"/>
      <c r="E57" s="231"/>
      <c r="F57" s="305" t="s">
        <v>53</v>
      </c>
      <c r="G57" s="301" t="s">
        <v>203</v>
      </c>
      <c r="H57" s="298">
        <f t="shared" ref="H57" si="1">IF(E57="Y",0.5,0)</f>
        <v>0</v>
      </c>
      <c r="I57" s="168"/>
      <c r="K57" s="328"/>
      <c r="L57" s="328"/>
      <c r="M57" s="328"/>
      <c r="N57" s="328"/>
      <c r="O57" s="328"/>
    </row>
    <row r="58" spans="1:15" ht="65.099999999999994" customHeight="1" x14ac:dyDescent="0.25">
      <c r="A58" s="293" t="s">
        <v>102</v>
      </c>
      <c r="B58" s="421" t="s">
        <v>475</v>
      </c>
      <c r="C58" s="421" t="s">
        <v>198</v>
      </c>
      <c r="D58" s="421"/>
      <c r="E58" s="231"/>
      <c r="F58" s="305" t="s">
        <v>293</v>
      </c>
      <c r="G58" s="297" t="s">
        <v>383</v>
      </c>
      <c r="H58" s="298">
        <f>IF(E58="A",1,IF(E58="B",2,0))</f>
        <v>0</v>
      </c>
      <c r="I58" s="168"/>
      <c r="K58" s="328"/>
      <c r="L58" s="328"/>
      <c r="M58" s="328"/>
      <c r="N58" s="328"/>
      <c r="O58" s="328"/>
    </row>
    <row r="59" spans="1:15" ht="15.75" x14ac:dyDescent="0.25">
      <c r="A59" s="501" t="s">
        <v>303</v>
      </c>
      <c r="B59" s="501"/>
      <c r="C59" s="501"/>
      <c r="D59" s="501"/>
      <c r="E59" s="501"/>
      <c r="F59" s="501"/>
      <c r="G59" s="501"/>
      <c r="H59" s="248">
        <f>SUM(H56:H58)</f>
        <v>0</v>
      </c>
      <c r="I59" s="249"/>
    </row>
    <row r="60" spans="1:15" ht="15.75" x14ac:dyDescent="0.25">
      <c r="A60" s="241" t="s">
        <v>261</v>
      </c>
      <c r="B60" s="498" t="s">
        <v>262</v>
      </c>
      <c r="C60" s="499" t="s">
        <v>199</v>
      </c>
      <c r="D60" s="499"/>
      <c r="E60" s="242"/>
      <c r="F60" s="241"/>
      <c r="G60" s="241"/>
      <c r="H60" s="243"/>
      <c r="I60" s="241"/>
    </row>
    <row r="61" spans="1:15" ht="15.75" customHeight="1" x14ac:dyDescent="0.25">
      <c r="A61" s="244" t="s">
        <v>263</v>
      </c>
      <c r="B61" s="496" t="s">
        <v>455</v>
      </c>
      <c r="C61" s="496"/>
      <c r="D61" s="496"/>
      <c r="E61" s="245"/>
      <c r="F61" s="244"/>
      <c r="G61" s="246"/>
      <c r="H61" s="247"/>
      <c r="I61" s="246"/>
    </row>
    <row r="62" spans="1:15" ht="97.5" customHeight="1" x14ac:dyDescent="0.25">
      <c r="A62" s="293"/>
      <c r="B62" s="421" t="s">
        <v>454</v>
      </c>
      <c r="C62" s="421"/>
      <c r="D62" s="421"/>
      <c r="E62" s="231"/>
      <c r="F62" s="305" t="s">
        <v>53</v>
      </c>
      <c r="G62" s="297" t="s">
        <v>203</v>
      </c>
      <c r="H62" s="298">
        <f t="shared" ref="H62" si="2">IF(E62="Y",0.5,0)</f>
        <v>0</v>
      </c>
      <c r="I62" s="168"/>
      <c r="K62" s="328"/>
      <c r="L62" s="328"/>
      <c r="M62" s="328"/>
      <c r="N62" s="328"/>
      <c r="O62" s="328"/>
    </row>
    <row r="63" spans="1:15" ht="15.75" x14ac:dyDescent="0.25">
      <c r="A63" s="501" t="s">
        <v>304</v>
      </c>
      <c r="B63" s="501"/>
      <c r="C63" s="501"/>
      <c r="D63" s="501"/>
      <c r="E63" s="501"/>
      <c r="F63" s="501"/>
      <c r="G63" s="501"/>
      <c r="H63" s="248">
        <f>H62</f>
        <v>0</v>
      </c>
      <c r="I63" s="249"/>
    </row>
    <row r="64" spans="1:15" ht="15.75" customHeight="1" x14ac:dyDescent="0.25">
      <c r="A64" s="244" t="s">
        <v>264</v>
      </c>
      <c r="B64" s="496" t="s">
        <v>265</v>
      </c>
      <c r="C64" s="496"/>
      <c r="D64" s="496"/>
      <c r="E64" s="245"/>
      <c r="F64" s="244" t="s">
        <v>67</v>
      </c>
      <c r="G64" s="246"/>
      <c r="H64" s="247"/>
      <c r="I64" s="246"/>
    </row>
    <row r="65" spans="1:15" ht="15.75" x14ac:dyDescent="0.25">
      <c r="A65" s="293"/>
      <c r="B65" s="421" t="s">
        <v>456</v>
      </c>
      <c r="C65" s="495"/>
      <c r="D65" s="495"/>
      <c r="E65" s="311"/>
      <c r="F65" s="305"/>
      <c r="G65" s="297"/>
      <c r="H65" s="298"/>
      <c r="I65" s="168"/>
      <c r="K65" s="328"/>
      <c r="L65" s="328"/>
      <c r="M65" s="328"/>
      <c r="N65" s="328"/>
      <c r="O65" s="328"/>
    </row>
    <row r="66" spans="1:15" ht="33.6" customHeight="1" x14ac:dyDescent="0.25">
      <c r="A66" s="293" t="s">
        <v>51</v>
      </c>
      <c r="B66" s="421" t="s">
        <v>392</v>
      </c>
      <c r="C66" s="495"/>
      <c r="D66" s="495"/>
      <c r="E66" s="311" t="s">
        <v>62</v>
      </c>
      <c r="F66" s="305" t="s">
        <v>62</v>
      </c>
      <c r="G66" s="297" t="s">
        <v>62</v>
      </c>
      <c r="H66" s="298" t="s">
        <v>62</v>
      </c>
      <c r="I66" s="168"/>
      <c r="K66" s="328"/>
      <c r="L66" s="328"/>
      <c r="M66" s="328"/>
      <c r="N66" s="328"/>
      <c r="O66" s="328"/>
    </row>
    <row r="67" spans="1:15" ht="80.099999999999994" customHeight="1" x14ac:dyDescent="0.25">
      <c r="A67" s="293" t="s">
        <v>55</v>
      </c>
      <c r="B67" s="421" t="s">
        <v>393</v>
      </c>
      <c r="C67" s="495"/>
      <c r="D67" s="495"/>
      <c r="E67" s="231"/>
      <c r="F67" s="305" t="s">
        <v>53</v>
      </c>
      <c r="G67" s="297" t="s">
        <v>203</v>
      </c>
      <c r="H67" s="298">
        <f t="shared" ref="H67:H68" si="3">IF(E67="Y",0.5,0)</f>
        <v>0</v>
      </c>
      <c r="I67" s="168"/>
    </row>
    <row r="68" spans="1:15" ht="33.950000000000003" customHeight="1" x14ac:dyDescent="0.25">
      <c r="A68" s="293" t="s">
        <v>102</v>
      </c>
      <c r="B68" s="421" t="s">
        <v>457</v>
      </c>
      <c r="C68" s="495"/>
      <c r="D68" s="495"/>
      <c r="E68" s="231"/>
      <c r="F68" s="305" t="s">
        <v>53</v>
      </c>
      <c r="G68" s="297" t="s">
        <v>203</v>
      </c>
      <c r="H68" s="298">
        <f t="shared" si="3"/>
        <v>0</v>
      </c>
      <c r="I68" s="168"/>
    </row>
    <row r="69" spans="1:15" ht="48.95" customHeight="1" x14ac:dyDescent="0.25">
      <c r="A69" s="293" t="s">
        <v>190</v>
      </c>
      <c r="B69" s="421" t="s">
        <v>458</v>
      </c>
      <c r="C69" s="495"/>
      <c r="D69" s="495"/>
      <c r="E69" s="231"/>
      <c r="F69" s="305" t="s">
        <v>53</v>
      </c>
      <c r="G69" s="297" t="s">
        <v>54</v>
      </c>
      <c r="H69" s="298">
        <f>IF(E69="Y",1,0)</f>
        <v>0</v>
      </c>
      <c r="I69" s="168"/>
    </row>
    <row r="70" spans="1:15" ht="15.75" x14ac:dyDescent="0.25">
      <c r="A70" s="501" t="s">
        <v>305</v>
      </c>
      <c r="B70" s="501"/>
      <c r="C70" s="501"/>
      <c r="D70" s="501"/>
      <c r="E70" s="501"/>
      <c r="F70" s="501"/>
      <c r="G70" s="501"/>
      <c r="H70" s="248">
        <f>SUM(H67:H69)</f>
        <v>0</v>
      </c>
      <c r="I70" s="249"/>
    </row>
    <row r="71" spans="1:15" ht="15.75" x14ac:dyDescent="0.25">
      <c r="A71" s="237" t="s">
        <v>266</v>
      </c>
      <c r="B71" s="497" t="s">
        <v>364</v>
      </c>
      <c r="C71" s="497"/>
      <c r="D71" s="497"/>
      <c r="E71" s="497"/>
      <c r="F71" s="497" t="s">
        <v>87</v>
      </c>
      <c r="G71" s="237">
        <v>5</v>
      </c>
      <c r="H71" s="257">
        <f>MIN(SUM(H74,H80,H83,H87,H93),5)</f>
        <v>0</v>
      </c>
      <c r="I71" s="258"/>
    </row>
    <row r="72" spans="1:15" ht="15.75" x14ac:dyDescent="0.25">
      <c r="A72" s="241" t="s">
        <v>267</v>
      </c>
      <c r="B72" s="498" t="s">
        <v>268</v>
      </c>
      <c r="C72" s="499"/>
      <c r="D72" s="499"/>
      <c r="E72" s="242"/>
      <c r="F72" s="241" t="s">
        <v>87</v>
      </c>
      <c r="G72" s="241" t="s">
        <v>62</v>
      </c>
      <c r="H72" s="243"/>
      <c r="I72" s="241"/>
    </row>
    <row r="73" spans="1:15" ht="50.25" customHeight="1" x14ac:dyDescent="0.25">
      <c r="A73" s="293"/>
      <c r="B73" s="502" t="s">
        <v>500</v>
      </c>
      <c r="C73" s="502"/>
      <c r="D73" s="502"/>
      <c r="E73" s="231"/>
      <c r="F73" s="305" t="s">
        <v>293</v>
      </c>
      <c r="G73" s="297" t="s">
        <v>383</v>
      </c>
      <c r="H73" s="298">
        <f>IF(E73="A",1,IF(E73="B",2,0))</f>
        <v>0</v>
      </c>
      <c r="I73" s="168"/>
    </row>
    <row r="74" spans="1:15" ht="15.75" x14ac:dyDescent="0.25">
      <c r="A74" s="501" t="s">
        <v>306</v>
      </c>
      <c r="B74" s="501"/>
      <c r="C74" s="501"/>
      <c r="D74" s="501"/>
      <c r="E74" s="501"/>
      <c r="F74" s="501"/>
      <c r="G74" s="501"/>
      <c r="H74" s="248">
        <f>H73</f>
        <v>0</v>
      </c>
      <c r="I74" s="249"/>
    </row>
    <row r="75" spans="1:15" ht="15.75" x14ac:dyDescent="0.25">
      <c r="A75" s="241" t="s">
        <v>269</v>
      </c>
      <c r="B75" s="498" t="s">
        <v>270</v>
      </c>
      <c r="C75" s="499"/>
      <c r="D75" s="499"/>
      <c r="E75" s="242"/>
      <c r="F75" s="241"/>
      <c r="G75" s="241"/>
      <c r="H75" s="243"/>
      <c r="I75" s="241"/>
    </row>
    <row r="76" spans="1:15" ht="15.75" customHeight="1" x14ac:dyDescent="0.25">
      <c r="A76" s="244" t="s">
        <v>273</v>
      </c>
      <c r="B76" s="496" t="s">
        <v>271</v>
      </c>
      <c r="C76" s="496"/>
      <c r="D76" s="496"/>
      <c r="E76" s="245"/>
      <c r="F76" s="244"/>
      <c r="G76" s="246"/>
      <c r="H76" s="247"/>
      <c r="I76" s="246"/>
    </row>
    <row r="77" spans="1:15" ht="79.5" customHeight="1" x14ac:dyDescent="0.25">
      <c r="A77" s="293"/>
      <c r="B77" s="421" t="s">
        <v>272</v>
      </c>
      <c r="C77" s="421"/>
      <c r="D77" s="421"/>
      <c r="E77" s="311"/>
      <c r="F77" s="218"/>
      <c r="G77" s="221"/>
      <c r="H77" s="260"/>
      <c r="I77" s="263"/>
    </row>
    <row r="78" spans="1:15" ht="51" customHeight="1" x14ac:dyDescent="0.25">
      <c r="A78" s="293" t="s">
        <v>51</v>
      </c>
      <c r="B78" s="421" t="s">
        <v>459</v>
      </c>
      <c r="C78" s="421"/>
      <c r="D78" s="421"/>
      <c r="E78" s="231"/>
      <c r="F78" s="218" t="s">
        <v>53</v>
      </c>
      <c r="G78" s="92" t="s">
        <v>54</v>
      </c>
      <c r="H78" s="298">
        <f t="shared" ref="H78:H79" si="4">IF(E78="Y",1,0)</f>
        <v>0</v>
      </c>
      <c r="I78" s="263"/>
    </row>
    <row r="79" spans="1:15" ht="48.75" customHeight="1" x14ac:dyDescent="0.25">
      <c r="A79" s="293" t="s">
        <v>55</v>
      </c>
      <c r="B79" s="421" t="s">
        <v>274</v>
      </c>
      <c r="C79" s="421"/>
      <c r="D79" s="421"/>
      <c r="E79" s="231"/>
      <c r="F79" s="218" t="s">
        <v>53</v>
      </c>
      <c r="G79" s="92" t="s">
        <v>54</v>
      </c>
      <c r="H79" s="298">
        <f t="shared" si="4"/>
        <v>0</v>
      </c>
      <c r="I79" s="263"/>
    </row>
    <row r="80" spans="1:15" ht="15.75" x14ac:dyDescent="0.25">
      <c r="A80" s="501" t="s">
        <v>307</v>
      </c>
      <c r="B80" s="501"/>
      <c r="C80" s="501"/>
      <c r="D80" s="501"/>
      <c r="E80" s="501"/>
      <c r="F80" s="501"/>
      <c r="G80" s="501"/>
      <c r="H80" s="248">
        <f>SUM(H78:H79)</f>
        <v>0</v>
      </c>
      <c r="I80" s="249"/>
    </row>
    <row r="81" spans="1:9" ht="15.75" customHeight="1" x14ac:dyDescent="0.25">
      <c r="A81" s="244" t="s">
        <v>275</v>
      </c>
      <c r="B81" s="496" t="s">
        <v>276</v>
      </c>
      <c r="C81" s="496"/>
      <c r="D81" s="496"/>
      <c r="E81" s="245"/>
      <c r="F81" s="244"/>
      <c r="G81" s="246"/>
      <c r="H81" s="247"/>
      <c r="I81" s="246"/>
    </row>
    <row r="82" spans="1:9" ht="80.45" customHeight="1" x14ac:dyDescent="0.25">
      <c r="A82" s="293"/>
      <c r="B82" s="421" t="s">
        <v>277</v>
      </c>
      <c r="C82" s="421"/>
      <c r="D82" s="421"/>
      <c r="E82" s="231"/>
      <c r="F82" s="218" t="s">
        <v>53</v>
      </c>
      <c r="G82" s="92" t="s">
        <v>54</v>
      </c>
      <c r="H82" s="298">
        <f>IF(E82="Y",1,0)</f>
        <v>0</v>
      </c>
      <c r="I82" s="263"/>
    </row>
    <row r="83" spans="1:9" ht="15.75" x14ac:dyDescent="0.25">
      <c r="A83" s="501" t="s">
        <v>308</v>
      </c>
      <c r="B83" s="501"/>
      <c r="C83" s="501"/>
      <c r="D83" s="501"/>
      <c r="E83" s="501"/>
      <c r="F83" s="501"/>
      <c r="G83" s="501"/>
      <c r="H83" s="248">
        <f>SUM(H81:H82)</f>
        <v>0</v>
      </c>
      <c r="I83" s="249"/>
    </row>
    <row r="84" spans="1:9" ht="15.75" x14ac:dyDescent="0.25">
      <c r="A84" s="241" t="s">
        <v>278</v>
      </c>
      <c r="B84" s="498" t="s">
        <v>279</v>
      </c>
      <c r="C84" s="499"/>
      <c r="D84" s="499"/>
      <c r="E84" s="242"/>
      <c r="F84" s="241"/>
      <c r="G84" s="241"/>
      <c r="H84" s="243"/>
      <c r="I84" s="241"/>
    </row>
    <row r="85" spans="1:9" ht="15.75" customHeight="1" x14ac:dyDescent="0.25">
      <c r="A85" s="244" t="s">
        <v>280</v>
      </c>
      <c r="B85" s="496" t="s">
        <v>282</v>
      </c>
      <c r="C85" s="496"/>
      <c r="D85" s="496"/>
      <c r="E85" s="245"/>
      <c r="F85" s="244"/>
      <c r="G85" s="246"/>
      <c r="H85" s="247"/>
      <c r="I85" s="246"/>
    </row>
    <row r="86" spans="1:9" ht="65.25" customHeight="1" x14ac:dyDescent="0.25">
      <c r="A86" s="304" t="s">
        <v>51</v>
      </c>
      <c r="B86" s="421" t="s">
        <v>461</v>
      </c>
      <c r="C86" s="421"/>
      <c r="D86" s="421"/>
      <c r="E86" s="91" t="s">
        <v>62</v>
      </c>
      <c r="F86" s="196" t="s">
        <v>62</v>
      </c>
      <c r="G86" s="297" t="s">
        <v>62</v>
      </c>
      <c r="H86" s="78" t="s">
        <v>62</v>
      </c>
      <c r="I86" s="168"/>
    </row>
    <row r="87" spans="1:9" ht="15.75" x14ac:dyDescent="0.25">
      <c r="A87" s="501" t="s">
        <v>309</v>
      </c>
      <c r="B87" s="501"/>
      <c r="C87" s="501"/>
      <c r="D87" s="501"/>
      <c r="E87" s="501"/>
      <c r="F87" s="501"/>
      <c r="G87" s="501"/>
      <c r="H87" s="248">
        <v>0</v>
      </c>
      <c r="I87" s="249"/>
    </row>
    <row r="88" spans="1:9" ht="15.75" customHeight="1" x14ac:dyDescent="0.25">
      <c r="A88" s="244" t="s">
        <v>281</v>
      </c>
      <c r="B88" s="496" t="s">
        <v>283</v>
      </c>
      <c r="C88" s="496"/>
      <c r="D88" s="496"/>
      <c r="E88" s="245"/>
      <c r="F88" s="244"/>
      <c r="G88" s="246"/>
      <c r="H88" s="247"/>
      <c r="I88" s="246"/>
    </row>
    <row r="89" spans="1:9" ht="34.5" customHeight="1" x14ac:dyDescent="0.25">
      <c r="A89" s="304"/>
      <c r="B89" s="421" t="s">
        <v>284</v>
      </c>
      <c r="C89" s="421"/>
      <c r="D89" s="421"/>
      <c r="E89" s="311"/>
      <c r="F89" s="196"/>
      <c r="G89" s="297"/>
      <c r="H89" s="78"/>
      <c r="I89" s="168"/>
    </row>
    <row r="90" spans="1:9" ht="92.25" customHeight="1" x14ac:dyDescent="0.25">
      <c r="A90" s="301" t="s">
        <v>51</v>
      </c>
      <c r="B90" s="421" t="s">
        <v>462</v>
      </c>
      <c r="C90" s="421"/>
      <c r="D90" s="421"/>
      <c r="E90" s="231"/>
      <c r="F90" s="196" t="s">
        <v>53</v>
      </c>
      <c r="G90" s="297" t="s">
        <v>203</v>
      </c>
      <c r="H90" s="298">
        <f t="shared" ref="H90:H92" si="5">IF(E90="Y",0.5,0)</f>
        <v>0</v>
      </c>
      <c r="I90" s="168"/>
    </row>
    <row r="91" spans="1:9" ht="15.75" x14ac:dyDescent="0.25">
      <c r="A91" s="304" t="s">
        <v>55</v>
      </c>
      <c r="B91" s="421" t="s">
        <v>285</v>
      </c>
      <c r="C91" s="421"/>
      <c r="D91" s="421"/>
      <c r="E91" s="231"/>
      <c r="F91" s="196" t="s">
        <v>53</v>
      </c>
      <c r="G91" s="297" t="s">
        <v>203</v>
      </c>
      <c r="H91" s="298">
        <f t="shared" si="5"/>
        <v>0</v>
      </c>
      <c r="I91" s="168"/>
    </row>
    <row r="92" spans="1:9" ht="15.75" x14ac:dyDescent="0.25">
      <c r="A92" s="304" t="s">
        <v>102</v>
      </c>
      <c r="B92" s="421" t="s">
        <v>286</v>
      </c>
      <c r="C92" s="421"/>
      <c r="D92" s="421"/>
      <c r="E92" s="231"/>
      <c r="F92" s="196" t="s">
        <v>53</v>
      </c>
      <c r="G92" s="297" t="s">
        <v>203</v>
      </c>
      <c r="H92" s="298">
        <f t="shared" si="5"/>
        <v>0</v>
      </c>
      <c r="I92" s="168"/>
    </row>
    <row r="93" spans="1:9" ht="15.75" x14ac:dyDescent="0.25">
      <c r="A93" s="501" t="s">
        <v>310</v>
      </c>
      <c r="B93" s="501"/>
      <c r="C93" s="501"/>
      <c r="D93" s="501"/>
      <c r="E93" s="501"/>
      <c r="F93" s="501"/>
      <c r="G93" s="501"/>
      <c r="H93" s="248">
        <f>SUM(H90:H92)</f>
        <v>0</v>
      </c>
      <c r="I93" s="249"/>
    </row>
    <row r="94" spans="1:9" ht="15.75" x14ac:dyDescent="0.25">
      <c r="A94" s="237"/>
      <c r="B94" s="497" t="s">
        <v>173</v>
      </c>
      <c r="C94" s="497"/>
      <c r="D94" s="497"/>
      <c r="E94" s="497"/>
      <c r="F94" s="497"/>
      <c r="G94" s="237">
        <v>2</v>
      </c>
      <c r="H94" s="257">
        <f>MIN(SUM(H96:H97),2)</f>
        <v>0</v>
      </c>
      <c r="I94" s="258"/>
    </row>
    <row r="95" spans="1:9" ht="63" x14ac:dyDescent="0.25">
      <c r="A95" s="244"/>
      <c r="B95" s="503" t="s">
        <v>287</v>
      </c>
      <c r="C95" s="503"/>
      <c r="D95" s="503"/>
      <c r="E95" s="261"/>
      <c r="F95" s="244"/>
      <c r="G95" s="261" t="s">
        <v>127</v>
      </c>
      <c r="H95" s="261"/>
      <c r="I95" s="310" t="s">
        <v>128</v>
      </c>
    </row>
    <row r="96" spans="1:9" ht="120.75" customHeight="1" x14ac:dyDescent="0.25">
      <c r="A96" s="304"/>
      <c r="B96" s="421" t="s">
        <v>288</v>
      </c>
      <c r="C96" s="421"/>
      <c r="D96" s="421"/>
      <c r="E96" s="231"/>
      <c r="F96" s="167" t="s">
        <v>87</v>
      </c>
      <c r="G96" s="407" t="s">
        <v>295</v>
      </c>
      <c r="H96" s="78">
        <f>E96</f>
        <v>0</v>
      </c>
      <c r="I96" s="176" t="s">
        <v>130</v>
      </c>
    </row>
    <row r="97" spans="1:9" ht="120.75" customHeight="1" x14ac:dyDescent="0.25">
      <c r="A97" s="37"/>
      <c r="B97" s="421"/>
      <c r="C97" s="421"/>
      <c r="D97" s="421"/>
      <c r="E97" s="231"/>
      <c r="F97" s="167" t="s">
        <v>87</v>
      </c>
      <c r="G97" s="407"/>
      <c r="H97" s="78">
        <f>E97</f>
        <v>0</v>
      </c>
      <c r="I97" s="176" t="s">
        <v>131</v>
      </c>
    </row>
  </sheetData>
  <sheetProtection formatCells="0" selectLockedCells="1"/>
  <mergeCells count="108">
    <mergeCell ref="A29:A34"/>
    <mergeCell ref="B29:D29"/>
    <mergeCell ref="B30:D30"/>
    <mergeCell ref="B31:D31"/>
    <mergeCell ref="B32:D32"/>
    <mergeCell ref="B33:D33"/>
    <mergeCell ref="A25:A28"/>
    <mergeCell ref="G26:G28"/>
    <mergeCell ref="H26:H28"/>
    <mergeCell ref="G20:G21"/>
    <mergeCell ref="H20:H21"/>
    <mergeCell ref="I20:I21"/>
    <mergeCell ref="D15:D19"/>
    <mergeCell ref="F15:F19"/>
    <mergeCell ref="H15:H19"/>
    <mergeCell ref="I15:I19"/>
    <mergeCell ref="B15:C15"/>
    <mergeCell ref="B16:C16"/>
    <mergeCell ref="B19:C19"/>
    <mergeCell ref="B23:D23"/>
    <mergeCell ref="B1:D1"/>
    <mergeCell ref="A2:F2"/>
    <mergeCell ref="B3:F3"/>
    <mergeCell ref="B4:D4"/>
    <mergeCell ref="B5:D5"/>
    <mergeCell ref="B10:D10"/>
    <mergeCell ref="B11:D11"/>
    <mergeCell ref="B13:D13"/>
    <mergeCell ref="B14:D14"/>
    <mergeCell ref="B6:D6"/>
    <mergeCell ref="B7:D7"/>
    <mergeCell ref="B9:D9"/>
    <mergeCell ref="A14:A21"/>
    <mergeCell ref="B20:D21"/>
    <mergeCell ref="B51:D51"/>
    <mergeCell ref="B52:D52"/>
    <mergeCell ref="B54:D54"/>
    <mergeCell ref="B55:D55"/>
    <mergeCell ref="B41:D41"/>
    <mergeCell ref="B42:D42"/>
    <mergeCell ref="B27:D27"/>
    <mergeCell ref="B24:D24"/>
    <mergeCell ref="B25:D25"/>
    <mergeCell ref="B34:D34"/>
    <mergeCell ref="B36:D36"/>
    <mergeCell ref="B43:D43"/>
    <mergeCell ref="B26:D26"/>
    <mergeCell ref="B38:D38"/>
    <mergeCell ref="B39:D39"/>
    <mergeCell ref="B28:D28"/>
    <mergeCell ref="B37:D37"/>
    <mergeCell ref="A87:G87"/>
    <mergeCell ref="A93:G93"/>
    <mergeCell ref="B94:F94"/>
    <mergeCell ref="B85:D85"/>
    <mergeCell ref="B86:D86"/>
    <mergeCell ref="B88:D88"/>
    <mergeCell ref="B89:D89"/>
    <mergeCell ref="B84:D84"/>
    <mergeCell ref="B90:D90"/>
    <mergeCell ref="B95:D95"/>
    <mergeCell ref="B96:D97"/>
    <mergeCell ref="A8:G8"/>
    <mergeCell ref="A12:G12"/>
    <mergeCell ref="A22:G22"/>
    <mergeCell ref="A35:G35"/>
    <mergeCell ref="A40:G40"/>
    <mergeCell ref="E15:E19"/>
    <mergeCell ref="G15:G19"/>
    <mergeCell ref="B60:D60"/>
    <mergeCell ref="B71:F71"/>
    <mergeCell ref="B67:D67"/>
    <mergeCell ref="B68:D68"/>
    <mergeCell ref="B69:D69"/>
    <mergeCell ref="A45:G45"/>
    <mergeCell ref="A53:G53"/>
    <mergeCell ref="A59:G59"/>
    <mergeCell ref="A63:G63"/>
    <mergeCell ref="A70:G70"/>
    <mergeCell ref="G96:G97"/>
    <mergeCell ref="A80:G80"/>
    <mergeCell ref="A83:G83"/>
    <mergeCell ref="B92:D92"/>
    <mergeCell ref="B91:D91"/>
    <mergeCell ref="B65:D65"/>
    <mergeCell ref="B78:D78"/>
    <mergeCell ref="B82:D82"/>
    <mergeCell ref="B81:D81"/>
    <mergeCell ref="B77:D77"/>
    <mergeCell ref="B79:D79"/>
    <mergeCell ref="B49:D49"/>
    <mergeCell ref="B44:D44"/>
    <mergeCell ref="B46:F46"/>
    <mergeCell ref="B47:D47"/>
    <mergeCell ref="B48:D48"/>
    <mergeCell ref="B75:D75"/>
    <mergeCell ref="B76:D76"/>
    <mergeCell ref="B61:D61"/>
    <mergeCell ref="B62:D62"/>
    <mergeCell ref="B64:D64"/>
    <mergeCell ref="B66:D66"/>
    <mergeCell ref="B58:D58"/>
    <mergeCell ref="A74:G74"/>
    <mergeCell ref="B72:D72"/>
    <mergeCell ref="B73:D73"/>
    <mergeCell ref="B56:D56"/>
    <mergeCell ref="B57:D57"/>
    <mergeCell ref="B50:D50"/>
  </mergeCells>
  <dataValidations count="8">
    <dataValidation allowBlank="1" showErrorMessage="1" sqref="H97" xr:uid="{00000000-0002-0000-0500-000000000000}"/>
    <dataValidation allowBlank="1" showInputMessage="1" showErrorMessage="1" prompt="Please list down short description of your innovation." sqref="I96:I97" xr:uid="{00000000-0002-0000-0500-000001000000}"/>
    <dataValidation type="decimal" allowBlank="1" showErrorMessage="1" error="Please enter 0.5 or 1 or 1.5 or 2." prompt="Please Enter 0 or 1 or 1.5 or 2." sqref="H96" xr:uid="{00000000-0002-0000-0500-000002000000}">
      <formula1>0</formula1>
      <formula2>2</formula2>
    </dataValidation>
    <dataValidation type="list" allowBlank="1" showInputMessage="1" showErrorMessage="1" sqref="E6:E7 E42:E44 E38 E49:E52 E56:E57 E62 E67:E69 E78:E79 E82 E90:E92 E26:E27" xr:uid="{00000000-0002-0000-0500-000003000000}">
      <formula1>"Y,N"</formula1>
    </dataValidation>
    <dataValidation type="decimal" allowBlank="1" showInputMessage="1" showErrorMessage="1" sqref="E10:E11 E21 E37 E28:E29 E33:E34 E31" xr:uid="{00000000-0002-0000-0500-000004000000}">
      <formula1>0</formula1>
      <formula2>100</formula2>
    </dataValidation>
    <dataValidation type="list" allowBlank="1" showInputMessage="1" showErrorMessage="1" sqref="E20 E73 E39 E58" xr:uid="{00000000-0002-0000-0500-000005000000}">
      <formula1>"A,B"</formula1>
    </dataValidation>
    <dataValidation type="decimal" allowBlank="1" showInputMessage="1" showErrorMessage="1" sqref="E30" xr:uid="{00000000-0002-0000-0500-000006000000}">
      <formula1>-1000</formula1>
      <formula2>1000</formula2>
    </dataValidation>
    <dataValidation type="list" showErrorMessage="1" error="Please enter 0.5 or 1 or 1.5 or 2." prompt="Please Enter 0.5 or 1 or 1.5 or 2." sqref="E96:E97" xr:uid="{00000000-0002-0000-0500-000007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zoomScaleNormal="100" workbookViewId="0">
      <selection activeCell="G35" sqref="G35"/>
    </sheetView>
  </sheetViews>
  <sheetFormatPr defaultColWidth="9.140625" defaultRowHeight="15.75" x14ac:dyDescent="0.25"/>
  <cols>
    <col min="1" max="1" width="8.28515625" style="327" customWidth="1"/>
    <col min="2" max="2" width="65.7109375" style="8" customWidth="1"/>
    <col min="3" max="4" width="10.7109375" style="8" customWidth="1"/>
    <col min="5" max="5" width="18.140625" style="8" customWidth="1"/>
    <col min="6" max="6" width="10.7109375" style="8" customWidth="1"/>
    <col min="7" max="7" width="30.7109375" style="8" customWidth="1"/>
    <col min="8" max="9" width="50.7109375" style="8" customWidth="1"/>
    <col min="10" max="10" width="15.5703125" style="8" customWidth="1"/>
    <col min="11" max="11" width="17.28515625" style="8" customWidth="1"/>
    <col min="12" max="16384" width="9.140625" style="8"/>
  </cols>
  <sheetData>
    <row r="1" spans="1:7" ht="47.25" x14ac:dyDescent="0.25">
      <c r="A1" s="56"/>
      <c r="B1" s="292" t="s">
        <v>314</v>
      </c>
      <c r="C1" s="40" t="s">
        <v>41</v>
      </c>
      <c r="D1" s="40" t="s">
        <v>42</v>
      </c>
      <c r="E1" s="57" t="s">
        <v>43</v>
      </c>
      <c r="F1" s="40" t="s">
        <v>44</v>
      </c>
      <c r="G1" s="292" t="s">
        <v>45</v>
      </c>
    </row>
    <row r="2" spans="1:7" ht="21" x14ac:dyDescent="0.25">
      <c r="A2" s="552" t="s">
        <v>9</v>
      </c>
      <c r="B2" s="552"/>
      <c r="C2" s="552"/>
      <c r="D2" s="552"/>
      <c r="E2" s="264">
        <v>15</v>
      </c>
      <c r="F2" s="265">
        <f>MIN(SUM(F3,F20,F31,F47),15)</f>
        <v>0</v>
      </c>
      <c r="G2" s="266" t="s">
        <v>132</v>
      </c>
    </row>
    <row r="3" spans="1:7" x14ac:dyDescent="0.25">
      <c r="A3" s="267" t="s">
        <v>316</v>
      </c>
      <c r="B3" s="548" t="s">
        <v>35</v>
      </c>
      <c r="C3" s="548"/>
      <c r="D3" s="548"/>
      <c r="E3" s="268">
        <v>5</v>
      </c>
      <c r="F3" s="269">
        <f>MIN(SUM(F15,F10,F19), 5)</f>
        <v>0</v>
      </c>
      <c r="G3" s="267"/>
    </row>
    <row r="4" spans="1:7" x14ac:dyDescent="0.25">
      <c r="A4" s="270" t="s">
        <v>317</v>
      </c>
      <c r="B4" s="271" t="s">
        <v>315</v>
      </c>
      <c r="C4" s="271"/>
      <c r="D4" s="272"/>
      <c r="E4" s="273"/>
      <c r="F4" s="274"/>
      <c r="G4" s="273"/>
    </row>
    <row r="5" spans="1:7" ht="31.5" x14ac:dyDescent="0.25">
      <c r="A5" s="301" t="s">
        <v>51</v>
      </c>
      <c r="B5" s="42" t="s">
        <v>318</v>
      </c>
      <c r="C5" s="3"/>
      <c r="D5" s="43" t="s">
        <v>53</v>
      </c>
      <c r="E5" s="297" t="s">
        <v>72</v>
      </c>
      <c r="F5" s="78">
        <f>IF(C5="Y",2,0)</f>
        <v>0</v>
      </c>
      <c r="G5" s="286"/>
    </row>
    <row r="6" spans="1:7" ht="31.5" x14ac:dyDescent="0.25">
      <c r="A6" s="443" t="s">
        <v>55</v>
      </c>
      <c r="B6" s="42" t="s">
        <v>319</v>
      </c>
      <c r="C6" s="275"/>
      <c r="D6" s="43"/>
      <c r="E6" s="297"/>
      <c r="F6" s="78"/>
      <c r="G6" s="168"/>
    </row>
    <row r="7" spans="1:7" x14ac:dyDescent="0.25">
      <c r="A7" s="443"/>
      <c r="B7" s="42" t="s">
        <v>320</v>
      </c>
      <c r="C7" s="3"/>
      <c r="D7" s="43" t="s">
        <v>53</v>
      </c>
      <c r="E7" s="297" t="s">
        <v>54</v>
      </c>
      <c r="F7" s="78">
        <f>IF(C7="Y",1,0)</f>
        <v>0</v>
      </c>
      <c r="G7" s="168"/>
    </row>
    <row r="8" spans="1:7" ht="31.5" x14ac:dyDescent="0.25">
      <c r="A8" s="443"/>
      <c r="B8" s="42" t="s">
        <v>321</v>
      </c>
      <c r="C8" s="3"/>
      <c r="D8" s="43" t="s">
        <v>53</v>
      </c>
      <c r="E8" s="297" t="s">
        <v>54</v>
      </c>
      <c r="F8" s="78">
        <f>IF(C8="Y",1,0)</f>
        <v>0</v>
      </c>
      <c r="G8" s="168"/>
    </row>
    <row r="9" spans="1:7" ht="63" x14ac:dyDescent="0.25">
      <c r="A9" s="301" t="s">
        <v>102</v>
      </c>
      <c r="B9" s="42" t="s">
        <v>322</v>
      </c>
      <c r="C9" s="3"/>
      <c r="D9" s="43" t="s">
        <v>53</v>
      </c>
      <c r="E9" s="297" t="s">
        <v>54</v>
      </c>
      <c r="F9" s="78">
        <f>IF(C9="Y",1,0)</f>
        <v>0</v>
      </c>
      <c r="G9" s="168"/>
    </row>
    <row r="10" spans="1:7" x14ac:dyDescent="0.25">
      <c r="A10" s="276"/>
      <c r="B10" s="549" t="s">
        <v>328</v>
      </c>
      <c r="C10" s="549"/>
      <c r="D10" s="549"/>
      <c r="E10" s="549"/>
      <c r="F10" s="277">
        <f>SUM(F5:F9)</f>
        <v>0</v>
      </c>
      <c r="G10" s="278"/>
    </row>
    <row r="11" spans="1:7" x14ac:dyDescent="0.25">
      <c r="A11" s="270" t="s">
        <v>323</v>
      </c>
      <c r="B11" s="271" t="s">
        <v>324</v>
      </c>
      <c r="C11" s="271"/>
      <c r="D11" s="272"/>
      <c r="E11" s="273"/>
      <c r="F11" s="274"/>
      <c r="G11" s="273"/>
    </row>
    <row r="12" spans="1:7" ht="47.25" x14ac:dyDescent="0.25">
      <c r="A12" s="295" t="s">
        <v>51</v>
      </c>
      <c r="B12" s="89" t="s">
        <v>325</v>
      </c>
      <c r="C12" s="3"/>
      <c r="D12" s="43" t="s">
        <v>53</v>
      </c>
      <c r="E12" s="279" t="s">
        <v>54</v>
      </c>
      <c r="F12" s="78">
        <f>IF(C12="Y",1,0)</f>
        <v>0</v>
      </c>
      <c r="G12" s="168"/>
    </row>
    <row r="13" spans="1:7" ht="63" x14ac:dyDescent="0.25">
      <c r="A13" s="295" t="s">
        <v>55</v>
      </c>
      <c r="B13" s="93" t="s">
        <v>326</v>
      </c>
      <c r="C13" s="3"/>
      <c r="D13" s="43" t="s">
        <v>53</v>
      </c>
      <c r="E13" s="297" t="s">
        <v>54</v>
      </c>
      <c r="F13" s="78">
        <f>IF(C13="Y",1,0)</f>
        <v>0</v>
      </c>
      <c r="G13" s="168"/>
    </row>
    <row r="14" spans="1:7" ht="60.95" customHeight="1" x14ac:dyDescent="0.25">
      <c r="A14" s="295" t="s">
        <v>102</v>
      </c>
      <c r="B14" s="93" t="s">
        <v>327</v>
      </c>
      <c r="C14" s="3"/>
      <c r="D14" s="43" t="s">
        <v>53</v>
      </c>
      <c r="E14" s="297" t="s">
        <v>203</v>
      </c>
      <c r="F14" s="78">
        <f>IF(C14="Y",0.5,0)</f>
        <v>0</v>
      </c>
      <c r="G14" s="168"/>
    </row>
    <row r="15" spans="1:7" x14ac:dyDescent="0.25">
      <c r="A15" s="276"/>
      <c r="B15" s="549" t="s">
        <v>335</v>
      </c>
      <c r="C15" s="549"/>
      <c r="D15" s="549"/>
      <c r="E15" s="549"/>
      <c r="F15" s="277">
        <f>SUM(F12:F14)</f>
        <v>0</v>
      </c>
      <c r="G15" s="278"/>
    </row>
    <row r="16" spans="1:7" x14ac:dyDescent="0.25">
      <c r="A16" s="270" t="s">
        <v>476</v>
      </c>
      <c r="B16" s="271" t="s">
        <v>477</v>
      </c>
      <c r="C16" s="271"/>
      <c r="D16" s="272"/>
      <c r="E16" s="273"/>
      <c r="F16" s="274"/>
      <c r="G16" s="273"/>
    </row>
    <row r="17" spans="1:7" ht="31.5" x14ac:dyDescent="0.25">
      <c r="A17" s="295" t="s">
        <v>51</v>
      </c>
      <c r="B17" s="89" t="s">
        <v>478</v>
      </c>
      <c r="C17" s="3"/>
      <c r="D17" s="43" t="s">
        <v>53</v>
      </c>
      <c r="E17" s="279" t="s">
        <v>203</v>
      </c>
      <c r="F17" s="78">
        <f>IF(C17="Y",0.5,0)</f>
        <v>0</v>
      </c>
      <c r="G17" s="168"/>
    </row>
    <row r="18" spans="1:7" ht="31.5" x14ac:dyDescent="0.25">
      <c r="A18" s="295" t="s">
        <v>55</v>
      </c>
      <c r="B18" s="93" t="s">
        <v>479</v>
      </c>
      <c r="C18" s="3"/>
      <c r="D18" s="43" t="s">
        <v>53</v>
      </c>
      <c r="E18" s="297" t="s">
        <v>54</v>
      </c>
      <c r="F18" s="78">
        <f t="shared" ref="F18" si="0">IF(C18="Y",1,0)</f>
        <v>0</v>
      </c>
      <c r="G18" s="168"/>
    </row>
    <row r="19" spans="1:7" x14ac:dyDescent="0.25">
      <c r="A19" s="276"/>
      <c r="B19" s="549" t="s">
        <v>480</v>
      </c>
      <c r="C19" s="549"/>
      <c r="D19" s="549"/>
      <c r="E19" s="549"/>
      <c r="F19" s="277">
        <f>SUM(F16:F18)</f>
        <v>0</v>
      </c>
      <c r="G19" s="278"/>
    </row>
    <row r="20" spans="1:7" x14ac:dyDescent="0.25">
      <c r="A20" s="267" t="s">
        <v>329</v>
      </c>
      <c r="B20" s="548" t="s">
        <v>36</v>
      </c>
      <c r="C20" s="548"/>
      <c r="D20" s="548"/>
      <c r="E20" s="268">
        <v>5</v>
      </c>
      <c r="F20" s="269">
        <f>MIN(SUM(F25,F30),5)</f>
        <v>0</v>
      </c>
      <c r="G20" s="267"/>
    </row>
    <row r="21" spans="1:7" x14ac:dyDescent="0.25">
      <c r="A21" s="270" t="s">
        <v>330</v>
      </c>
      <c r="B21" s="271" t="s">
        <v>331</v>
      </c>
      <c r="C21" s="271"/>
      <c r="D21" s="272"/>
      <c r="E21" s="273"/>
      <c r="F21" s="274"/>
      <c r="G21" s="273"/>
    </row>
    <row r="22" spans="1:7" ht="63" x14ac:dyDescent="0.25">
      <c r="A22" s="301" t="s">
        <v>51</v>
      </c>
      <c r="B22" s="223" t="s">
        <v>332</v>
      </c>
      <c r="C22" s="3"/>
      <c r="D22" s="43" t="s">
        <v>53</v>
      </c>
      <c r="E22" s="297" t="s">
        <v>54</v>
      </c>
      <c r="F22" s="78">
        <f t="shared" ref="F22:F24" si="1">IF(C22="Y",1,0)</f>
        <v>0</v>
      </c>
      <c r="G22" s="168"/>
    </row>
    <row r="23" spans="1:7" ht="78.75" x14ac:dyDescent="0.25">
      <c r="A23" s="301" t="s">
        <v>55</v>
      </c>
      <c r="B23" s="223" t="s">
        <v>333</v>
      </c>
      <c r="C23" s="3"/>
      <c r="D23" s="43" t="s">
        <v>53</v>
      </c>
      <c r="E23" s="297" t="s">
        <v>54</v>
      </c>
      <c r="F23" s="78">
        <f t="shared" si="1"/>
        <v>0</v>
      </c>
      <c r="G23" s="168"/>
    </row>
    <row r="24" spans="1:7" ht="31.5" x14ac:dyDescent="0.25">
      <c r="A24" s="301" t="s">
        <v>102</v>
      </c>
      <c r="B24" s="223" t="s">
        <v>334</v>
      </c>
      <c r="C24" s="3"/>
      <c r="D24" s="43" t="s">
        <v>53</v>
      </c>
      <c r="E24" s="297" t="s">
        <v>54</v>
      </c>
      <c r="F24" s="78">
        <f t="shared" si="1"/>
        <v>0</v>
      </c>
      <c r="G24" s="168"/>
    </row>
    <row r="25" spans="1:7" x14ac:dyDescent="0.25">
      <c r="A25" s="276"/>
      <c r="B25" s="549" t="s">
        <v>336</v>
      </c>
      <c r="C25" s="549"/>
      <c r="D25" s="549"/>
      <c r="E25" s="549"/>
      <c r="F25" s="277">
        <f>SUM(F22:F24)</f>
        <v>0</v>
      </c>
      <c r="G25" s="278"/>
    </row>
    <row r="26" spans="1:7" x14ac:dyDescent="0.25">
      <c r="A26" s="270" t="s">
        <v>337</v>
      </c>
      <c r="B26" s="271" t="s">
        <v>338</v>
      </c>
      <c r="C26" s="271"/>
      <c r="D26" s="272"/>
      <c r="E26" s="273"/>
      <c r="F26" s="274"/>
      <c r="G26" s="273"/>
    </row>
    <row r="27" spans="1:7" s="338" customFormat="1" ht="78.75" x14ac:dyDescent="0.25">
      <c r="A27" s="301" t="s">
        <v>51</v>
      </c>
      <c r="B27" s="223" t="s">
        <v>339</v>
      </c>
      <c r="C27" s="3"/>
      <c r="D27" s="43" t="s">
        <v>53</v>
      </c>
      <c r="E27" s="280" t="s">
        <v>72</v>
      </c>
      <c r="F27" s="78">
        <f>IF(C27="Y",2,0)</f>
        <v>0</v>
      </c>
      <c r="G27" s="287"/>
    </row>
    <row r="28" spans="1:7" s="338" customFormat="1" ht="47.25" x14ac:dyDescent="0.25">
      <c r="A28" s="301" t="s">
        <v>55</v>
      </c>
      <c r="B28" s="223" t="s">
        <v>340</v>
      </c>
      <c r="C28" s="3"/>
      <c r="D28" s="43" t="s">
        <v>53</v>
      </c>
      <c r="E28" s="281" t="s">
        <v>201</v>
      </c>
      <c r="F28" s="78">
        <f>IF(C28="Y",3,0)</f>
        <v>0</v>
      </c>
      <c r="G28" s="288"/>
    </row>
    <row r="29" spans="1:7" s="338" customFormat="1" ht="31.5" x14ac:dyDescent="0.25">
      <c r="A29" s="301" t="s">
        <v>102</v>
      </c>
      <c r="B29" s="223" t="s">
        <v>341</v>
      </c>
      <c r="C29" s="3"/>
      <c r="D29" s="43" t="s">
        <v>53</v>
      </c>
      <c r="E29" s="281" t="s">
        <v>54</v>
      </c>
      <c r="F29" s="78">
        <f>IF(C29="Y",1,0)</f>
        <v>0</v>
      </c>
      <c r="G29" s="288"/>
    </row>
    <row r="30" spans="1:7" x14ac:dyDescent="0.25">
      <c r="A30" s="276"/>
      <c r="B30" s="549" t="s">
        <v>342</v>
      </c>
      <c r="C30" s="549"/>
      <c r="D30" s="549"/>
      <c r="E30" s="549"/>
      <c r="F30" s="277">
        <f>SUM(F27:F29)</f>
        <v>0</v>
      </c>
      <c r="G30" s="278"/>
    </row>
    <row r="31" spans="1:7" x14ac:dyDescent="0.25">
      <c r="A31" s="267" t="s">
        <v>343</v>
      </c>
      <c r="B31" s="548" t="s">
        <v>37</v>
      </c>
      <c r="C31" s="548"/>
      <c r="D31" s="548"/>
      <c r="E31" s="268">
        <v>5</v>
      </c>
      <c r="F31" s="269">
        <f>MIN(SUM(F36,F41,F46),5)</f>
        <v>0</v>
      </c>
      <c r="G31" s="267"/>
    </row>
    <row r="32" spans="1:7" x14ac:dyDescent="0.25">
      <c r="A32" s="270" t="s">
        <v>344</v>
      </c>
      <c r="B32" s="271" t="s">
        <v>345</v>
      </c>
      <c r="C32" s="271"/>
      <c r="D32" s="272"/>
      <c r="E32" s="273"/>
      <c r="F32" s="274"/>
      <c r="G32" s="273"/>
    </row>
    <row r="33" spans="1:7" ht="47.25" x14ac:dyDescent="0.25">
      <c r="A33" s="301" t="s">
        <v>51</v>
      </c>
      <c r="B33" s="314" t="s">
        <v>346</v>
      </c>
      <c r="C33" s="3"/>
      <c r="D33" s="43" t="s">
        <v>53</v>
      </c>
      <c r="E33" s="297" t="s">
        <v>54</v>
      </c>
      <c r="F33" s="78">
        <f t="shared" ref="F33:F35" si="2">IF(C33="Y",1,0)</f>
        <v>0</v>
      </c>
      <c r="G33" s="168"/>
    </row>
    <row r="34" spans="1:7" ht="31.5" x14ac:dyDescent="0.25">
      <c r="A34" s="301" t="s">
        <v>55</v>
      </c>
      <c r="B34" s="314" t="s">
        <v>347</v>
      </c>
      <c r="C34" s="3"/>
      <c r="D34" s="43" t="s">
        <v>53</v>
      </c>
      <c r="E34" s="297" t="s">
        <v>54</v>
      </c>
      <c r="F34" s="78">
        <f t="shared" si="2"/>
        <v>0</v>
      </c>
      <c r="G34" s="168"/>
    </row>
    <row r="35" spans="1:7" ht="47.25" x14ac:dyDescent="0.25">
      <c r="A35" s="301" t="s">
        <v>102</v>
      </c>
      <c r="B35" s="314" t="s">
        <v>504</v>
      </c>
      <c r="C35" s="3"/>
      <c r="D35" s="43" t="s">
        <v>53</v>
      </c>
      <c r="E35" s="297" t="s">
        <v>54</v>
      </c>
      <c r="F35" s="78">
        <f t="shared" si="2"/>
        <v>0</v>
      </c>
      <c r="G35" s="168"/>
    </row>
    <row r="36" spans="1:7" x14ac:dyDescent="0.25">
      <c r="A36" s="276"/>
      <c r="B36" s="549" t="s">
        <v>348</v>
      </c>
      <c r="C36" s="549"/>
      <c r="D36" s="549"/>
      <c r="E36" s="549"/>
      <c r="F36" s="277">
        <f>SUM(F33:F35)</f>
        <v>0</v>
      </c>
      <c r="G36" s="278"/>
    </row>
    <row r="37" spans="1:7" x14ac:dyDescent="0.25">
      <c r="A37" s="270" t="s">
        <v>349</v>
      </c>
      <c r="B37" s="271" t="s">
        <v>350</v>
      </c>
      <c r="C37" s="271"/>
      <c r="D37" s="272"/>
      <c r="E37" s="273"/>
      <c r="F37" s="274"/>
      <c r="G37" s="273"/>
    </row>
    <row r="38" spans="1:7" ht="126" x14ac:dyDescent="0.25">
      <c r="A38" s="48"/>
      <c r="B38" s="51" t="s">
        <v>386</v>
      </c>
      <c r="C38" s="275"/>
      <c r="D38" s="43"/>
      <c r="E38" s="297"/>
      <c r="F38" s="78"/>
      <c r="G38" s="168"/>
    </row>
    <row r="39" spans="1:7" x14ac:dyDescent="0.25">
      <c r="A39" s="301" t="s">
        <v>51</v>
      </c>
      <c r="B39" s="54" t="s">
        <v>351</v>
      </c>
      <c r="C39" s="3"/>
      <c r="D39" s="43" t="s">
        <v>53</v>
      </c>
      <c r="E39" s="297" t="s">
        <v>54</v>
      </c>
      <c r="F39" s="78">
        <f t="shared" ref="F39" si="3">IF(C39="Y",1,0)</f>
        <v>0</v>
      </c>
      <c r="G39" s="168"/>
    </row>
    <row r="40" spans="1:7" x14ac:dyDescent="0.25">
      <c r="A40" s="301" t="s">
        <v>55</v>
      </c>
      <c r="B40" s="54" t="s">
        <v>352</v>
      </c>
      <c r="C40" s="3"/>
      <c r="D40" s="43" t="s">
        <v>53</v>
      </c>
      <c r="E40" s="297" t="s">
        <v>203</v>
      </c>
      <c r="F40" s="78">
        <f>IF(C40="Y",0.5,0)</f>
        <v>0</v>
      </c>
      <c r="G40" s="168"/>
    </row>
    <row r="41" spans="1:7" ht="15.6" customHeight="1" x14ac:dyDescent="0.25">
      <c r="A41" s="276"/>
      <c r="B41" s="549" t="s">
        <v>353</v>
      </c>
      <c r="C41" s="549"/>
      <c r="D41" s="549"/>
      <c r="E41" s="549"/>
      <c r="F41" s="277">
        <f>SUM(F38:F40)</f>
        <v>0</v>
      </c>
      <c r="G41" s="278"/>
    </row>
    <row r="42" spans="1:7" x14ac:dyDescent="0.25">
      <c r="A42" s="270" t="s">
        <v>354</v>
      </c>
      <c r="B42" s="271" t="s">
        <v>355</v>
      </c>
      <c r="C42" s="271"/>
      <c r="D42" s="272"/>
      <c r="E42" s="273"/>
      <c r="F42" s="274"/>
      <c r="G42" s="273"/>
    </row>
    <row r="43" spans="1:7" ht="63" x14ac:dyDescent="0.25">
      <c r="A43" s="550"/>
      <c r="B43" s="158" t="s">
        <v>356</v>
      </c>
      <c r="C43" s="275"/>
      <c r="D43" s="43"/>
      <c r="E43" s="297"/>
      <c r="F43" s="78"/>
      <c r="G43" s="170"/>
    </row>
    <row r="44" spans="1:7" ht="47.25" x14ac:dyDescent="0.25">
      <c r="A44" s="550"/>
      <c r="B44" s="282" t="s">
        <v>357</v>
      </c>
      <c r="C44" s="3"/>
      <c r="D44" s="43" t="s">
        <v>53</v>
      </c>
      <c r="E44" s="297" t="s">
        <v>54</v>
      </c>
      <c r="F44" s="78">
        <f t="shared" ref="F44:F45" si="4">IF(C44="Y",1,0)</f>
        <v>0</v>
      </c>
      <c r="G44" s="168"/>
    </row>
    <row r="45" spans="1:7" ht="47.25" x14ac:dyDescent="0.25">
      <c r="A45" s="550"/>
      <c r="B45" s="146" t="s">
        <v>358</v>
      </c>
      <c r="C45" s="3"/>
      <c r="D45" s="43" t="s">
        <v>53</v>
      </c>
      <c r="E45" s="297" t="s">
        <v>54</v>
      </c>
      <c r="F45" s="78">
        <f t="shared" si="4"/>
        <v>0</v>
      </c>
      <c r="G45" s="168"/>
    </row>
    <row r="46" spans="1:7" ht="15.6" customHeight="1" x14ac:dyDescent="0.25">
      <c r="A46" s="276"/>
      <c r="B46" s="549" t="s">
        <v>359</v>
      </c>
      <c r="C46" s="549"/>
      <c r="D46" s="549"/>
      <c r="E46" s="549"/>
      <c r="F46" s="277">
        <f>SUM(F43:F45)</f>
        <v>0</v>
      </c>
      <c r="G46" s="278"/>
    </row>
    <row r="47" spans="1:7" x14ac:dyDescent="0.25">
      <c r="A47" s="267"/>
      <c r="B47" s="548" t="s">
        <v>360</v>
      </c>
      <c r="C47" s="548"/>
      <c r="D47" s="548"/>
      <c r="E47" s="268">
        <v>3</v>
      </c>
      <c r="F47" s="269">
        <f>MIN(SUM(F49:F50),3)</f>
        <v>0</v>
      </c>
      <c r="G47" s="267"/>
    </row>
    <row r="48" spans="1:7" ht="63" customHeight="1" x14ac:dyDescent="0.25">
      <c r="A48" s="270"/>
      <c r="B48" s="271" t="s">
        <v>311</v>
      </c>
      <c r="C48" s="271"/>
      <c r="D48" s="272"/>
      <c r="E48" s="283"/>
      <c r="F48" s="284"/>
      <c r="G48" s="285" t="s">
        <v>128</v>
      </c>
    </row>
    <row r="49" spans="1:7" ht="161.25" customHeight="1" x14ac:dyDescent="0.25">
      <c r="A49" s="443"/>
      <c r="B49" s="551" t="s">
        <v>481</v>
      </c>
      <c r="C49" s="3"/>
      <c r="D49" s="43" t="s">
        <v>87</v>
      </c>
      <c r="E49" s="297" t="s">
        <v>72</v>
      </c>
      <c r="F49" s="78">
        <f>C49</f>
        <v>0</v>
      </c>
      <c r="G49" s="168" t="s">
        <v>130</v>
      </c>
    </row>
    <row r="50" spans="1:7" ht="162" customHeight="1" x14ac:dyDescent="0.25">
      <c r="A50" s="443"/>
      <c r="B50" s="551"/>
      <c r="C50" s="3"/>
      <c r="D50" s="43" t="s">
        <v>87</v>
      </c>
      <c r="E50" s="297" t="s">
        <v>72</v>
      </c>
      <c r="F50" s="78">
        <f>C50</f>
        <v>0</v>
      </c>
      <c r="G50" s="289" t="s">
        <v>361</v>
      </c>
    </row>
  </sheetData>
  <sheetProtection formatCells="0" selectLockedCells="1"/>
  <mergeCells count="17">
    <mergeCell ref="B19:E19"/>
    <mergeCell ref="A2:D2"/>
    <mergeCell ref="B3:D3"/>
    <mergeCell ref="B10:E10"/>
    <mergeCell ref="B15:E15"/>
    <mergeCell ref="A6:A8"/>
    <mergeCell ref="B49:B50"/>
    <mergeCell ref="A49:A50"/>
    <mergeCell ref="B25:E25"/>
    <mergeCell ref="B30:E30"/>
    <mergeCell ref="B36:E36"/>
    <mergeCell ref="B47:D47"/>
    <mergeCell ref="B20:D20"/>
    <mergeCell ref="B31:D31"/>
    <mergeCell ref="B41:E41"/>
    <mergeCell ref="A43:A45"/>
    <mergeCell ref="B46:E46"/>
  </mergeCells>
  <dataValidations count="4">
    <dataValidation type="list" allowBlank="1" showInputMessage="1" showErrorMessage="1" sqref="C7:C9 C12:C14 C33:C35 C44:C45 C5 C22:C24 C27:C29 C17:C18"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8"/>
  <sheetViews>
    <sheetView zoomScaleNormal="100" workbookViewId="0">
      <selection activeCell="G62" sqref="G62"/>
    </sheetView>
  </sheetViews>
  <sheetFormatPr defaultColWidth="9.140625" defaultRowHeight="15.75" x14ac:dyDescent="0.25"/>
  <cols>
    <col min="1" max="1" width="8.28515625" style="5" customWidth="1"/>
    <col min="2" max="2" width="65.7109375" style="6" customWidth="1"/>
    <col min="3" max="3" width="9.42578125" style="6" customWidth="1"/>
    <col min="4" max="4" width="10.42578125" style="6" bestFit="1" customWidth="1"/>
    <col min="5" max="5" width="12" style="7" customWidth="1"/>
    <col min="6" max="6" width="11.7109375" style="7" customWidth="1"/>
    <col min="7" max="7" width="18" style="6" customWidth="1"/>
    <col min="8" max="8" width="50.42578125" style="342" customWidth="1"/>
    <col min="9" max="9" width="50.7109375" style="6" customWidth="1"/>
    <col min="10" max="10" width="17.28515625" style="6" hidden="1" customWidth="1"/>
    <col min="11" max="14" width="9.140625" style="6" hidden="1" customWidth="1"/>
    <col min="15" max="16384" width="9.140625" style="6"/>
  </cols>
  <sheetData>
    <row r="1" spans="1:14" ht="16.5" thickBot="1" x14ac:dyDescent="0.3"/>
    <row r="2" spans="1:14" ht="21" x14ac:dyDescent="0.25">
      <c r="A2" s="597" t="s">
        <v>494</v>
      </c>
      <c r="B2" s="598"/>
      <c r="C2" s="598"/>
      <c r="D2" s="598"/>
      <c r="E2" s="598"/>
      <c r="F2" s="598"/>
      <c r="G2" s="599"/>
    </row>
    <row r="3" spans="1:14" ht="85.5" customHeight="1" x14ac:dyDescent="0.25">
      <c r="A3" s="578"/>
      <c r="B3" s="579"/>
      <c r="C3" s="579"/>
      <c r="D3" s="579"/>
      <c r="E3" s="579"/>
      <c r="F3" s="579"/>
      <c r="G3" s="580"/>
    </row>
    <row r="4" spans="1:14" ht="189.75" customHeight="1" thickBot="1" x14ac:dyDescent="0.3">
      <c r="A4" s="575" t="s">
        <v>501</v>
      </c>
      <c r="B4" s="576"/>
      <c r="C4" s="576"/>
      <c r="D4" s="576"/>
      <c r="E4" s="576"/>
      <c r="F4" s="576"/>
      <c r="G4" s="577"/>
    </row>
    <row r="6" spans="1:14" ht="30.95" customHeight="1" x14ac:dyDescent="0.25">
      <c r="A6" s="56"/>
      <c r="B6" s="339" t="s">
        <v>394</v>
      </c>
      <c r="C6" s="569" t="s">
        <v>43</v>
      </c>
      <c r="D6" s="569"/>
      <c r="E6" s="569" t="s">
        <v>498</v>
      </c>
      <c r="F6" s="569"/>
      <c r="G6" s="40" t="s">
        <v>496</v>
      </c>
      <c r="H6" s="320"/>
      <c r="I6" s="8"/>
      <c r="K6" s="569" t="s">
        <v>498</v>
      </c>
      <c r="L6" s="569"/>
      <c r="M6" s="569" t="s">
        <v>498</v>
      </c>
      <c r="N6" s="569"/>
    </row>
    <row r="7" spans="1:14" ht="18.75" x14ac:dyDescent="0.25">
      <c r="A7" s="582" t="s">
        <v>10</v>
      </c>
      <c r="B7" s="583"/>
      <c r="C7" s="585">
        <f>'[3]Maintainability Score Summary'!$K$25</f>
        <v>91</v>
      </c>
      <c r="D7" s="372"/>
      <c r="E7" s="585"/>
      <c r="F7" s="372"/>
      <c r="G7" s="343"/>
      <c r="H7" s="320"/>
      <c r="I7" s="8"/>
      <c r="K7" s="372"/>
      <c r="L7" s="372"/>
      <c r="M7" s="372"/>
      <c r="N7" s="372"/>
    </row>
    <row r="8" spans="1:14" x14ac:dyDescent="0.25">
      <c r="A8" s="584" t="str">
        <f>'[3]Maintainability Score Summary'!$A$6</f>
        <v>SECTION 0 - GENERAL</v>
      </c>
      <c r="B8" s="584"/>
      <c r="C8" s="560">
        <f>'[3]Maintainability Score Summary'!$E$6</f>
        <v>7</v>
      </c>
      <c r="D8" s="560"/>
      <c r="E8" s="560">
        <f>MAX(K8:N8)</f>
        <v>0</v>
      </c>
      <c r="F8" s="560"/>
      <c r="G8" s="344" t="str">
        <f>IF(G9="","",G9)</f>
        <v/>
      </c>
      <c r="H8" s="320"/>
      <c r="I8" s="8"/>
      <c r="K8" s="559">
        <f>'[3]Maintainability Score Summary'!$F$6</f>
        <v>0</v>
      </c>
      <c r="L8" s="560"/>
      <c r="M8" s="559">
        <f>'[4]Maintainability Score Summary'!$F$6</f>
        <v>0</v>
      </c>
      <c r="N8" s="560"/>
    </row>
    <row r="9" spans="1:14" x14ac:dyDescent="0.25">
      <c r="A9" s="345">
        <v>0.1</v>
      </c>
      <c r="B9" s="346" t="str">
        <f>'[3]Maintainability Score Summary'!$B$7</f>
        <v>General Project Requirement</v>
      </c>
      <c r="C9" s="586">
        <f>'[3]Maintainability Score Summary'!$E$7</f>
        <v>7</v>
      </c>
      <c r="D9" s="586"/>
      <c r="E9" s="586">
        <f t="shared" ref="E9:E13" si="0">MAX(K9:N9)</f>
        <v>0</v>
      </c>
      <c r="F9" s="586"/>
      <c r="G9" s="357"/>
      <c r="H9" s="320"/>
      <c r="I9" s="8"/>
      <c r="K9" s="561">
        <f>'[3]Maintainability Score Summary'!$F$7</f>
        <v>0</v>
      </c>
      <c r="L9" s="407"/>
      <c r="M9" s="561">
        <f>'[4]Maintainability Score Summary'!$F$7</f>
        <v>0</v>
      </c>
      <c r="N9" s="407"/>
    </row>
    <row r="10" spans="1:14" x14ac:dyDescent="0.25">
      <c r="A10" s="584" t="str">
        <f>'[3]Maintainability Score Summary'!$A$8</f>
        <v>SECTION 1 - ARCHITECTURAL EXTERIOR</v>
      </c>
      <c r="B10" s="584"/>
      <c r="C10" s="560">
        <f>'[3]Maintainability Score Summary'!$E$8</f>
        <v>10.5</v>
      </c>
      <c r="D10" s="560"/>
      <c r="E10" s="560">
        <f t="shared" si="0"/>
        <v>0</v>
      </c>
      <c r="F10" s="560"/>
      <c r="G10" s="344" t="str">
        <f>IF(OR(G11="",G13="",G17=""),"",SUM(G17,G13,G11))</f>
        <v/>
      </c>
      <c r="H10" s="320"/>
      <c r="I10" s="8"/>
      <c r="K10" s="559">
        <f>'[3]Maintainability Score Summary'!$F$8</f>
        <v>0</v>
      </c>
      <c r="L10" s="560"/>
      <c r="M10" s="559">
        <f>'[4]Maintainability Score Summary'!$F$8</f>
        <v>0</v>
      </c>
      <c r="N10" s="560"/>
    </row>
    <row r="11" spans="1:14" x14ac:dyDescent="0.25">
      <c r="A11" s="595" t="str">
        <f>'[3]Maintainability Score Summary'!$A$9</f>
        <v>Part A - General Façade</v>
      </c>
      <c r="B11" s="596"/>
      <c r="C11" s="566">
        <f>'[3]Maintainability Score Summary'!$E$9</f>
        <v>0.5</v>
      </c>
      <c r="D11" s="566"/>
      <c r="E11" s="566">
        <f t="shared" si="0"/>
        <v>0</v>
      </c>
      <c r="F11" s="566"/>
      <c r="G11" s="347" t="str">
        <f>IF(G12="","",G12)</f>
        <v/>
      </c>
      <c r="H11" s="320"/>
      <c r="I11" s="8"/>
      <c r="K11" s="565">
        <f>'[3]Maintainability Score Summary'!$F$9</f>
        <v>0</v>
      </c>
      <c r="L11" s="566"/>
      <c r="M11" s="565">
        <f>'[4]Maintainability Score Summary'!$F$9</f>
        <v>0</v>
      </c>
      <c r="N11" s="566"/>
    </row>
    <row r="12" spans="1:14" x14ac:dyDescent="0.25">
      <c r="A12" s="341">
        <v>1.1000000000000001</v>
      </c>
      <c r="B12" s="42" t="str">
        <f>'[3]Maintainability Score Summary'!$B$10</f>
        <v>General Façade</v>
      </c>
      <c r="C12" s="407">
        <f>'[3]Maintainability Score Summary'!$E$10</f>
        <v>0.5</v>
      </c>
      <c r="D12" s="407"/>
      <c r="E12" s="407">
        <f t="shared" si="0"/>
        <v>0</v>
      </c>
      <c r="F12" s="407"/>
      <c r="G12" s="357"/>
      <c r="H12" s="320"/>
      <c r="I12" s="8"/>
      <c r="K12" s="561">
        <f>'[3]Maintainability Score Summary'!$F$10</f>
        <v>0</v>
      </c>
      <c r="L12" s="407"/>
      <c r="M12" s="561">
        <f>'[4]Maintainability Score Summary'!$F$10</f>
        <v>0</v>
      </c>
      <c r="N12" s="407"/>
    </row>
    <row r="13" spans="1:14" x14ac:dyDescent="0.25">
      <c r="A13" s="595" t="str">
        <f>'[3]Maintainability Score Summary'!$A$11</f>
        <v>Part B - Façade System</v>
      </c>
      <c r="B13" s="596"/>
      <c r="C13" s="566">
        <f>'[3]Maintainability Score Summary'!$E$11</f>
        <v>4</v>
      </c>
      <c r="D13" s="566"/>
      <c r="E13" s="566">
        <f t="shared" si="0"/>
        <v>0</v>
      </c>
      <c r="F13" s="566"/>
      <c r="G13" s="347" t="str">
        <f>IF(G14="","",G14)</f>
        <v/>
      </c>
      <c r="H13" s="320"/>
      <c r="I13" s="8"/>
      <c r="K13" s="565">
        <f>'[3]Maintainability Score Summary'!$F$11</f>
        <v>0</v>
      </c>
      <c r="L13" s="565"/>
      <c r="M13" s="565">
        <f>'[4]Maintainability Score Summary'!$F$11</f>
        <v>0</v>
      </c>
      <c r="N13" s="565"/>
    </row>
    <row r="14" spans="1:14" x14ac:dyDescent="0.25">
      <c r="A14" s="341">
        <v>1.2</v>
      </c>
      <c r="B14" s="42" t="str">
        <f>'[3]Maintainability Score Summary'!$B$12</f>
        <v>Cladding system: Tile/ Stone/ Metal/ Others</v>
      </c>
      <c r="C14" s="407">
        <f>'[3]Maintainability Score Summary'!$E$12</f>
        <v>4</v>
      </c>
      <c r="D14" s="407"/>
      <c r="E14" s="407">
        <f>MAX(K14:N14)</f>
        <v>0</v>
      </c>
      <c r="F14" s="407"/>
      <c r="G14" s="587"/>
      <c r="H14" s="320"/>
      <c r="I14" s="8"/>
      <c r="K14" s="570">
        <f>'[3]Maintainability Score Summary'!$F$12</f>
        <v>0</v>
      </c>
      <c r="L14" s="570"/>
      <c r="M14" s="570">
        <f>'[4]Maintainability Score Summary'!$F$12</f>
        <v>0</v>
      </c>
      <c r="N14" s="570"/>
    </row>
    <row r="15" spans="1:14" x14ac:dyDescent="0.25">
      <c r="A15" s="341">
        <v>1.3</v>
      </c>
      <c r="B15" s="42" t="str">
        <f>'[3]Maintainability Score Summary'!$B$13</f>
        <v>Curtain Wall: Glazing/ Others</v>
      </c>
      <c r="C15" s="407"/>
      <c r="D15" s="407"/>
      <c r="E15" s="407"/>
      <c r="F15" s="407"/>
      <c r="G15" s="588"/>
      <c r="H15" s="320"/>
      <c r="I15" s="8"/>
      <c r="K15" s="570"/>
      <c r="L15" s="570"/>
      <c r="M15" s="570"/>
      <c r="N15" s="570"/>
    </row>
    <row r="16" spans="1:14" x14ac:dyDescent="0.25">
      <c r="A16" s="341">
        <v>1.4</v>
      </c>
      <c r="B16" s="42" t="str">
        <f>'[3]Maintainability Score Summary'!$B$14</f>
        <v>Masonry and Lightweight Concrete Panels</v>
      </c>
      <c r="C16" s="407"/>
      <c r="D16" s="407"/>
      <c r="E16" s="407"/>
      <c r="F16" s="407"/>
      <c r="G16" s="589"/>
      <c r="H16" s="320"/>
      <c r="I16" s="8"/>
      <c r="K16" s="570"/>
      <c r="L16" s="570"/>
      <c r="M16" s="570"/>
      <c r="N16" s="570"/>
    </row>
    <row r="17" spans="1:14" x14ac:dyDescent="0.25">
      <c r="A17" s="595" t="str">
        <f>'[3]Maintainability Score Summary'!$A$15</f>
        <v>Part C - Others</v>
      </c>
      <c r="B17" s="596"/>
      <c r="C17" s="566">
        <f>'[3]Maintainability Score Summary'!$E$15</f>
        <v>6</v>
      </c>
      <c r="D17" s="566"/>
      <c r="E17" s="566">
        <f t="shared" ref="E17" si="1">MAX(K17:N17)</f>
        <v>0</v>
      </c>
      <c r="F17" s="566"/>
      <c r="G17" s="347" t="str">
        <f>IF(OR(G18="",G19=""),"",SUM(G18:G19))</f>
        <v/>
      </c>
      <c r="H17" s="320"/>
      <c r="I17" s="8"/>
      <c r="K17" s="565">
        <f>'[3]Maintainability Score Summary'!$F$15</f>
        <v>0</v>
      </c>
      <c r="L17" s="565"/>
      <c r="M17" s="565">
        <f>'[4]Maintainability Score Summary'!$F$15</f>
        <v>0</v>
      </c>
      <c r="N17" s="565"/>
    </row>
    <row r="18" spans="1:14" x14ac:dyDescent="0.25">
      <c r="A18" s="341" t="s">
        <v>395</v>
      </c>
      <c r="B18" s="42" t="str">
        <f>'[3]Maintainability Score Summary'!$B$16</f>
        <v>Façade Features/ considerations</v>
      </c>
      <c r="C18" s="407">
        <f>'[3]Maintainability Score Summary'!$E$16</f>
        <v>3</v>
      </c>
      <c r="D18" s="407"/>
      <c r="E18" s="407">
        <f t="shared" ref="E18:E60" si="2">MAX(K18:N18)</f>
        <v>0</v>
      </c>
      <c r="F18" s="407"/>
      <c r="G18" s="357"/>
      <c r="H18" s="320"/>
      <c r="I18" s="8"/>
      <c r="K18" s="561">
        <f>'[3]Maintainability Score Summary'!$F$16</f>
        <v>0</v>
      </c>
      <c r="L18" s="561"/>
      <c r="M18" s="561">
        <f>'[4]Maintainability Score Summary'!$F$16</f>
        <v>0</v>
      </c>
      <c r="N18" s="561"/>
    </row>
    <row r="19" spans="1:14" x14ac:dyDescent="0.25">
      <c r="A19" s="341" t="s">
        <v>396</v>
      </c>
      <c r="B19" s="42" t="str">
        <f>'[3]Maintainability Score Summary'!$B$17</f>
        <v>Entrance lobby</v>
      </c>
      <c r="C19" s="407">
        <f>'[3]Maintainability Score Summary'!$E$17</f>
        <v>3</v>
      </c>
      <c r="D19" s="407"/>
      <c r="E19" s="407">
        <f t="shared" si="2"/>
        <v>0</v>
      </c>
      <c r="F19" s="407"/>
      <c r="G19" s="357"/>
      <c r="H19" s="320"/>
      <c r="I19" s="8"/>
      <c r="K19" s="561">
        <f>'[3]Maintainability Score Summary'!$F$17</f>
        <v>0</v>
      </c>
      <c r="L19" s="561"/>
      <c r="M19" s="561">
        <f>'[4]Maintainability Score Summary'!$F$17</f>
        <v>0</v>
      </c>
      <c r="N19" s="561"/>
    </row>
    <row r="20" spans="1:14" x14ac:dyDescent="0.25">
      <c r="A20" s="341" t="s">
        <v>397</v>
      </c>
      <c r="B20" s="42" t="str">
        <f>'[3]Maintainability Score Summary'!$B$18</f>
        <v>Roof</v>
      </c>
      <c r="C20" s="407" t="str">
        <f>'[3]Maintainability Score Summary'!$E$18</f>
        <v>Pre-req</v>
      </c>
      <c r="D20" s="407"/>
      <c r="E20" s="407">
        <f t="shared" si="2"/>
        <v>0</v>
      </c>
      <c r="F20" s="407"/>
      <c r="G20" s="348"/>
      <c r="H20" s="320"/>
      <c r="I20" s="8"/>
      <c r="K20" s="407"/>
      <c r="L20" s="407"/>
      <c r="M20" s="407"/>
      <c r="N20" s="407"/>
    </row>
    <row r="21" spans="1:14" x14ac:dyDescent="0.25">
      <c r="A21" s="584" t="str">
        <f>'[3]Maintainability Score Summary'!$A$19</f>
        <v>SECTION 2 - ARCHITECTURAL INTERIOR</v>
      </c>
      <c r="B21" s="584" t="s">
        <v>36</v>
      </c>
      <c r="C21" s="560">
        <f>'[3]Maintainability Score Summary'!$E$19</f>
        <v>21</v>
      </c>
      <c r="D21" s="560"/>
      <c r="E21" s="560">
        <f t="shared" si="2"/>
        <v>0</v>
      </c>
      <c r="F21" s="560"/>
      <c r="G21" s="344" t="str">
        <f>IF(OR(G22="",G23="",G24="",G25="",G26="",G27=""),"",SUM(G22:G27))</f>
        <v/>
      </c>
      <c r="H21" s="320"/>
      <c r="I21" s="8"/>
      <c r="K21" s="559">
        <f>'[3]Maintainability Score Summary'!$F$19</f>
        <v>0</v>
      </c>
      <c r="L21" s="560"/>
      <c r="M21" s="559">
        <f>'[4]Maintainability Score Summary'!$F$19</f>
        <v>0</v>
      </c>
      <c r="N21" s="560"/>
    </row>
    <row r="22" spans="1:14" x14ac:dyDescent="0.25">
      <c r="A22" s="349">
        <v>2.1</v>
      </c>
      <c r="B22" s="223" t="str">
        <f>'[3]Maintainability Score Summary'!$B$20</f>
        <v>Floors</v>
      </c>
      <c r="C22" s="407">
        <f>'[3]Maintainability Score Summary'!$E$20</f>
        <v>2.5</v>
      </c>
      <c r="D22" s="407"/>
      <c r="E22" s="407">
        <f t="shared" si="2"/>
        <v>0</v>
      </c>
      <c r="F22" s="407"/>
      <c r="G22" s="357"/>
      <c r="H22" s="320"/>
      <c r="I22" s="8"/>
      <c r="K22" s="561">
        <f>'[3]Maintainability Score Summary'!$F$20</f>
        <v>0</v>
      </c>
      <c r="L22" s="407"/>
      <c r="M22" s="561">
        <f>'[4]Maintainability Score Summary'!$F$20</f>
        <v>0</v>
      </c>
      <c r="N22" s="407"/>
    </row>
    <row r="23" spans="1:14" x14ac:dyDescent="0.25">
      <c r="A23" s="349">
        <v>2.2000000000000002</v>
      </c>
      <c r="B23" s="223" t="str">
        <f>'[3]Maintainability Score Summary'!$B$21</f>
        <v>Walls and Partitions</v>
      </c>
      <c r="C23" s="407">
        <f>'[3]Maintainability Score Summary'!$E$21</f>
        <v>1</v>
      </c>
      <c r="D23" s="407"/>
      <c r="E23" s="407">
        <f t="shared" si="2"/>
        <v>0</v>
      </c>
      <c r="F23" s="407"/>
      <c r="G23" s="357"/>
      <c r="H23" s="320"/>
      <c r="I23" s="8"/>
      <c r="K23" s="561">
        <f>'[3]Maintainability Score Summary'!$F$21</f>
        <v>0</v>
      </c>
      <c r="L23" s="407"/>
      <c r="M23" s="561">
        <f>'[4]Maintainability Score Summary'!$F$21</f>
        <v>0</v>
      </c>
      <c r="N23" s="407"/>
    </row>
    <row r="24" spans="1:14" x14ac:dyDescent="0.25">
      <c r="A24" s="349">
        <v>2.2999999999999998</v>
      </c>
      <c r="B24" s="223" t="str">
        <f>'[3]Maintainability Score Summary'!$B$22</f>
        <v>Ceiling</v>
      </c>
      <c r="C24" s="407">
        <f>'[3]Maintainability Score Summary'!$E$22</f>
        <v>4</v>
      </c>
      <c r="D24" s="407"/>
      <c r="E24" s="407">
        <f t="shared" si="2"/>
        <v>0</v>
      </c>
      <c r="F24" s="407"/>
      <c r="G24" s="357"/>
      <c r="H24" s="320"/>
      <c r="I24" s="8"/>
      <c r="K24" s="561">
        <f>'[3]Maintainability Score Summary'!$F$22</f>
        <v>0</v>
      </c>
      <c r="L24" s="407"/>
      <c r="M24" s="561">
        <f>'[4]Maintainability Score Summary'!$F$22</f>
        <v>0</v>
      </c>
      <c r="N24" s="407"/>
    </row>
    <row r="25" spans="1:14" x14ac:dyDescent="0.25">
      <c r="A25" s="349">
        <v>2.4</v>
      </c>
      <c r="B25" s="223" t="str">
        <f>'[3]Maintainability Score Summary'!$B$23</f>
        <v>Wet Rooms and Storage</v>
      </c>
      <c r="C25" s="407">
        <f>'[3]Maintainability Score Summary'!$E$23</f>
        <v>8</v>
      </c>
      <c r="D25" s="407"/>
      <c r="E25" s="407">
        <f t="shared" si="2"/>
        <v>0</v>
      </c>
      <c r="F25" s="407"/>
      <c r="G25" s="357"/>
      <c r="H25" s="320"/>
      <c r="I25" s="8"/>
      <c r="K25" s="561">
        <f>'[3]Maintainability Score Summary'!$F$23</f>
        <v>0</v>
      </c>
      <c r="L25" s="407"/>
      <c r="M25" s="561">
        <f>'[4]Maintainability Score Summary'!$F$23</f>
        <v>0</v>
      </c>
      <c r="N25" s="407"/>
    </row>
    <row r="26" spans="1:14" x14ac:dyDescent="0.25">
      <c r="A26" s="349">
        <v>2.5</v>
      </c>
      <c r="B26" s="223" t="str">
        <f>'[3]Maintainability Score Summary'!$B$24</f>
        <v>Basements</v>
      </c>
      <c r="C26" s="407">
        <f>'[3]Maintainability Score Summary'!$E$24</f>
        <v>4</v>
      </c>
      <c r="D26" s="407"/>
      <c r="E26" s="407">
        <f t="shared" si="2"/>
        <v>0</v>
      </c>
      <c r="F26" s="407"/>
      <c r="G26" s="357"/>
      <c r="H26" s="320"/>
      <c r="I26" s="8"/>
      <c r="K26" s="561">
        <f>'[3]Maintainability Score Summary'!$F$24</f>
        <v>0</v>
      </c>
      <c r="L26" s="407"/>
      <c r="M26" s="561">
        <f>'[4]Maintainability Score Summary'!$F$24</f>
        <v>0</v>
      </c>
      <c r="N26" s="407"/>
    </row>
    <row r="27" spans="1:14" x14ac:dyDescent="0.25">
      <c r="A27" s="349">
        <v>2.6</v>
      </c>
      <c r="B27" s="223" t="str">
        <f>'[3]Maintainability Score Summary'!$B$25</f>
        <v>Loading Bay/ Back of House Service Areas</v>
      </c>
      <c r="C27" s="407">
        <f>'[3]Maintainability Score Summary'!$E$25</f>
        <v>1.5</v>
      </c>
      <c r="D27" s="407"/>
      <c r="E27" s="407">
        <f t="shared" si="2"/>
        <v>0</v>
      </c>
      <c r="F27" s="407"/>
      <c r="G27" s="357"/>
      <c r="H27" s="320"/>
      <c r="I27" s="8"/>
      <c r="K27" s="561">
        <f>'[3]Maintainability Score Summary'!$F$25</f>
        <v>0</v>
      </c>
      <c r="L27" s="407"/>
      <c r="M27" s="561">
        <f>'[4]Maintainability Score Summary'!$F$25</f>
        <v>0</v>
      </c>
      <c r="N27" s="407"/>
    </row>
    <row r="28" spans="1:14" x14ac:dyDescent="0.25">
      <c r="A28" s="584" t="str">
        <f>'[3]Maintainability Score Summary'!$A$26</f>
        <v xml:space="preserve">SECTION 3 - MECHANICAL </v>
      </c>
      <c r="B28" s="584"/>
      <c r="C28" s="560">
        <f>'[3]Maintainability Score Summary'!$E$26</f>
        <v>18.5</v>
      </c>
      <c r="D28" s="560"/>
      <c r="E28" s="560">
        <f t="shared" si="2"/>
        <v>0</v>
      </c>
      <c r="F28" s="560"/>
      <c r="G28" s="344" t="str">
        <f>IF(OR(G29="",G32=""),"",G29+G32)</f>
        <v/>
      </c>
      <c r="H28" s="320"/>
      <c r="I28" s="8"/>
      <c r="K28" s="559">
        <f>'[3]Maintainability Score Summary'!$F$26</f>
        <v>0</v>
      </c>
      <c r="L28" s="560"/>
      <c r="M28" s="559">
        <f>'[4]Maintainability Score Summary'!$F$26</f>
        <v>0</v>
      </c>
      <c r="N28" s="560"/>
    </row>
    <row r="29" spans="1:14" x14ac:dyDescent="0.25">
      <c r="A29" s="595" t="str">
        <f>'[3]Maintainability Score Summary'!$A$27</f>
        <v>Part A - Cooling Systems</v>
      </c>
      <c r="B29" s="596"/>
      <c r="C29" s="566">
        <f>'[3]Maintainability Score Summary'!$E$27</f>
        <v>9.5</v>
      </c>
      <c r="D29" s="566"/>
      <c r="E29" s="566">
        <f t="shared" si="2"/>
        <v>0</v>
      </c>
      <c r="F29" s="566"/>
      <c r="G29" s="347" t="str">
        <f>IF(OR(G30="",G31=""),"",SUM(G30:G31))</f>
        <v/>
      </c>
      <c r="H29" s="320"/>
      <c r="I29" s="8"/>
      <c r="K29" s="565">
        <f>'[3]Maintainability Score Summary'!$F$27</f>
        <v>0</v>
      </c>
      <c r="L29" s="566"/>
      <c r="M29" s="565">
        <f>'[4]Maintainability Score Summary'!$F$27</f>
        <v>0</v>
      </c>
      <c r="N29" s="566"/>
    </row>
    <row r="30" spans="1:14" s="350" customFormat="1" x14ac:dyDescent="0.25">
      <c r="A30" s="349">
        <v>3.1</v>
      </c>
      <c r="B30" s="223" t="str">
        <f>'[3]Maintainability Score Summary'!$B$28</f>
        <v>Chiller Plant</v>
      </c>
      <c r="C30" s="407">
        <f>'[3]Maintainability Score Summary'!$E$28</f>
        <v>9.5</v>
      </c>
      <c r="D30" s="407"/>
      <c r="E30" s="407">
        <f t="shared" si="2"/>
        <v>0</v>
      </c>
      <c r="F30" s="407"/>
      <c r="G30" s="357"/>
      <c r="H30" s="320"/>
      <c r="I30" s="338"/>
      <c r="K30" s="561">
        <f>'[3]Maintainability Score Summary'!$F$28</f>
        <v>0</v>
      </c>
      <c r="L30" s="407"/>
      <c r="M30" s="561">
        <f>'[4]Maintainability Score Summary'!$F$28</f>
        <v>0</v>
      </c>
      <c r="N30" s="407"/>
    </row>
    <row r="31" spans="1:14" s="350" customFormat="1" x14ac:dyDescent="0.25">
      <c r="A31" s="349">
        <v>3.2</v>
      </c>
      <c r="B31" s="223" t="str">
        <f>'[3]Maintainability Score Summary'!$B$29</f>
        <v>VRF</v>
      </c>
      <c r="C31" s="407">
        <f>'[3]Maintainability Score Summary'!$E$29</f>
        <v>1</v>
      </c>
      <c r="D31" s="407"/>
      <c r="E31" s="407">
        <f t="shared" si="2"/>
        <v>0</v>
      </c>
      <c r="F31" s="407"/>
      <c r="G31" s="357"/>
      <c r="H31" s="320"/>
      <c r="I31" s="338"/>
      <c r="K31" s="561">
        <f>'[3]Maintainability Score Summary'!$F$29</f>
        <v>0</v>
      </c>
      <c r="L31" s="407"/>
      <c r="M31" s="561">
        <f>'[4]Maintainability Score Summary'!$F$29</f>
        <v>0</v>
      </c>
      <c r="N31" s="407"/>
    </row>
    <row r="32" spans="1:14" x14ac:dyDescent="0.25">
      <c r="A32" s="595" t="str">
        <f>'[3]Maintainability Score Summary'!$A$30</f>
        <v>Part B - Other systems</v>
      </c>
      <c r="B32" s="596"/>
      <c r="C32" s="566">
        <f>'[3]Maintainability Score Summary'!$E$30</f>
        <v>9</v>
      </c>
      <c r="D32" s="566"/>
      <c r="E32" s="566">
        <f t="shared" si="2"/>
        <v>0</v>
      </c>
      <c r="F32" s="566"/>
      <c r="G32" s="347" t="str">
        <f>IF(OR(G33="",G35="",G36="",G37=""),"",SUM(G33,G35:G37))</f>
        <v/>
      </c>
      <c r="H32" s="320"/>
      <c r="I32" s="8"/>
      <c r="K32" s="565">
        <f>'[3]Maintainability Score Summary'!$F$30</f>
        <v>0</v>
      </c>
      <c r="L32" s="566"/>
      <c r="M32" s="565">
        <f>'[4]Maintainability Score Summary'!$F$30</f>
        <v>0</v>
      </c>
      <c r="N32" s="566"/>
    </row>
    <row r="33" spans="1:14" s="350" customFormat="1" x14ac:dyDescent="0.25">
      <c r="A33" s="349">
        <v>3.3</v>
      </c>
      <c r="B33" s="223" t="str">
        <f>'[3]Maintainability Score Summary'!$B$31</f>
        <v>Air Distribution System</v>
      </c>
      <c r="C33" s="407">
        <f>'[3]Maintainability Score Summary'!$E$31</f>
        <v>4</v>
      </c>
      <c r="D33" s="407"/>
      <c r="E33" s="407">
        <f t="shared" si="2"/>
        <v>0</v>
      </c>
      <c r="F33" s="407"/>
      <c r="G33" s="357"/>
      <c r="H33" s="320"/>
      <c r="I33" s="338"/>
      <c r="K33" s="561">
        <f>'[3]Maintainability Score Summary'!$F$31</f>
        <v>0</v>
      </c>
      <c r="L33" s="407"/>
      <c r="M33" s="561">
        <f>'[4]Maintainability Score Summary'!$F$31</f>
        <v>0</v>
      </c>
      <c r="N33" s="407"/>
    </row>
    <row r="34" spans="1:14" s="350" customFormat="1" x14ac:dyDescent="0.25">
      <c r="A34" s="349">
        <v>3.4</v>
      </c>
      <c r="B34" s="223" t="str">
        <f>'[3]Maintainability Score Summary'!$B$32</f>
        <v>Domestic Water Supply</v>
      </c>
      <c r="C34" s="407" t="str">
        <f>'[3]Maintainability Score Summary'!$E$32</f>
        <v>Pre-req</v>
      </c>
      <c r="D34" s="407"/>
      <c r="E34" s="407">
        <f t="shared" si="2"/>
        <v>0</v>
      </c>
      <c r="F34" s="407"/>
      <c r="G34" s="358"/>
      <c r="H34" s="320"/>
      <c r="I34" s="338"/>
      <c r="K34" s="407"/>
      <c r="L34" s="407"/>
      <c r="M34" s="407"/>
      <c r="N34" s="407"/>
    </row>
    <row r="35" spans="1:14" s="350" customFormat="1" x14ac:dyDescent="0.25">
      <c r="A35" s="349">
        <v>3.5</v>
      </c>
      <c r="B35" s="223" t="str">
        <f>'[3]Maintainability Score Summary'!$B$33</f>
        <v>Sanitary System</v>
      </c>
      <c r="C35" s="407">
        <f>'[3]Maintainability Score Summary'!$E$33</f>
        <v>2</v>
      </c>
      <c r="D35" s="407"/>
      <c r="E35" s="407">
        <f t="shared" si="2"/>
        <v>0</v>
      </c>
      <c r="F35" s="407"/>
      <c r="G35" s="357"/>
      <c r="H35" s="320"/>
      <c r="I35" s="338"/>
      <c r="K35" s="561">
        <f>'[3]Maintainability Score Summary'!$F$33</f>
        <v>0</v>
      </c>
      <c r="L35" s="407"/>
      <c r="M35" s="561">
        <f>'[4]Maintainability Score Summary'!$F$33</f>
        <v>0</v>
      </c>
      <c r="N35" s="407"/>
    </row>
    <row r="36" spans="1:14" s="350" customFormat="1" x14ac:dyDescent="0.25">
      <c r="A36" s="349">
        <v>3.6</v>
      </c>
      <c r="B36" s="223" t="str">
        <f>'[3]Maintainability Score Summary'!$B$34</f>
        <v>Fire Protection System</v>
      </c>
      <c r="C36" s="407">
        <f>'[3]Maintainability Score Summary'!$E$34</f>
        <v>2</v>
      </c>
      <c r="D36" s="407"/>
      <c r="E36" s="407">
        <f t="shared" si="2"/>
        <v>0</v>
      </c>
      <c r="F36" s="407"/>
      <c r="G36" s="357"/>
      <c r="H36" s="320"/>
      <c r="I36" s="338"/>
      <c r="K36" s="561">
        <f>'[3]Maintainability Score Summary'!$F$34</f>
        <v>0</v>
      </c>
      <c r="L36" s="407"/>
      <c r="M36" s="561">
        <f>'[4]Maintainability Score Summary'!$F$34</f>
        <v>0</v>
      </c>
      <c r="N36" s="407"/>
    </row>
    <row r="37" spans="1:14" s="350" customFormat="1" x14ac:dyDescent="0.25">
      <c r="A37" s="349">
        <v>3.7</v>
      </c>
      <c r="B37" s="223" t="str">
        <f>'[3]Maintainability Score Summary'!$B$35</f>
        <v>Building Management System</v>
      </c>
      <c r="C37" s="407">
        <f>'[3]Maintainability Score Summary'!$E$35</f>
        <v>1</v>
      </c>
      <c r="D37" s="407"/>
      <c r="E37" s="407">
        <f t="shared" si="2"/>
        <v>0</v>
      </c>
      <c r="F37" s="407"/>
      <c r="G37" s="357"/>
      <c r="H37" s="320"/>
      <c r="I37" s="338"/>
      <c r="K37" s="561">
        <f>'[3]Maintainability Score Summary'!$F$35</f>
        <v>0</v>
      </c>
      <c r="L37" s="407"/>
      <c r="M37" s="561">
        <f>'[4]Maintainability Score Summary'!$F$35</f>
        <v>0</v>
      </c>
      <c r="N37" s="407"/>
    </row>
    <row r="38" spans="1:14" x14ac:dyDescent="0.25">
      <c r="A38" s="584" t="str">
        <f>'[3]Maintainability Score Summary'!$A$36</f>
        <v xml:space="preserve">SECTION 4 - ELECTRICAL </v>
      </c>
      <c r="B38" s="584" t="s">
        <v>350</v>
      </c>
      <c r="C38" s="560">
        <f>'[3]Maintainability Score Summary'!$E$36</f>
        <v>10.5</v>
      </c>
      <c r="D38" s="560"/>
      <c r="E38" s="560">
        <f t="shared" si="2"/>
        <v>0</v>
      </c>
      <c r="F38" s="560"/>
      <c r="G38" s="344" t="str">
        <f>IF(OR(G39="",G40="",G41="",G42="",G43="",G44=""),"",SUM(G39:G44))</f>
        <v/>
      </c>
      <c r="H38" s="320"/>
      <c r="I38" s="8"/>
      <c r="K38" s="559">
        <f>'[3]Maintainability Score Summary'!$F$36</f>
        <v>0</v>
      </c>
      <c r="L38" s="560"/>
      <c r="M38" s="559">
        <f>'[4]Maintainability Score Summary'!$F$36</f>
        <v>0</v>
      </c>
      <c r="N38" s="560"/>
    </row>
    <row r="39" spans="1:14" x14ac:dyDescent="0.25">
      <c r="A39" s="341">
        <v>4.0999999999999996</v>
      </c>
      <c r="B39" s="51" t="str">
        <f>'[3]Maintainability Score Summary'!$B$37</f>
        <v>Lighting System</v>
      </c>
      <c r="C39" s="407">
        <f>'[3]Maintainability Score Summary'!$E$37</f>
        <v>2</v>
      </c>
      <c r="D39" s="407"/>
      <c r="E39" s="407">
        <f t="shared" si="2"/>
        <v>0</v>
      </c>
      <c r="F39" s="407"/>
      <c r="G39" s="357"/>
      <c r="H39" s="320"/>
      <c r="I39" s="8"/>
      <c r="K39" s="561">
        <f>'[3]Maintainability Score Summary'!$F$37</f>
        <v>0</v>
      </c>
      <c r="L39" s="407"/>
      <c r="M39" s="561">
        <f>'[4]Maintainability Score Summary'!$F$37</f>
        <v>0</v>
      </c>
      <c r="N39" s="407"/>
    </row>
    <row r="40" spans="1:14" x14ac:dyDescent="0.25">
      <c r="A40" s="341">
        <v>4.2</v>
      </c>
      <c r="B40" s="51" t="str">
        <f>'[3]Maintainability Score Summary'!$B$38</f>
        <v>Power Distribution System</v>
      </c>
      <c r="C40" s="407">
        <f>'[3]Maintainability Score Summary'!$E$38</f>
        <v>2</v>
      </c>
      <c r="D40" s="407"/>
      <c r="E40" s="407">
        <f t="shared" si="2"/>
        <v>0</v>
      </c>
      <c r="F40" s="407"/>
      <c r="G40" s="357"/>
      <c r="H40" s="320"/>
      <c r="I40" s="8"/>
      <c r="K40" s="561">
        <f>'[3]Maintainability Score Summary'!$F$38</f>
        <v>0</v>
      </c>
      <c r="L40" s="407"/>
      <c r="M40" s="561">
        <f>'[4]Maintainability Score Summary'!$F$38</f>
        <v>0</v>
      </c>
      <c r="N40" s="407"/>
    </row>
    <row r="41" spans="1:14" x14ac:dyDescent="0.25">
      <c r="A41" s="341">
        <v>4.3</v>
      </c>
      <c r="B41" s="51" t="str">
        <f>'[3]Maintainability Score Summary'!$B$39</f>
        <v>Extra Low Voltage System</v>
      </c>
      <c r="C41" s="407">
        <f>'[3]Maintainability Score Summary'!$E$39</f>
        <v>3</v>
      </c>
      <c r="D41" s="407"/>
      <c r="E41" s="407">
        <f t="shared" si="2"/>
        <v>0</v>
      </c>
      <c r="F41" s="407"/>
      <c r="G41" s="357"/>
      <c r="H41" s="320"/>
      <c r="I41" s="8"/>
      <c r="K41" s="561">
        <f>'[3]Maintainability Score Summary'!$F$39</f>
        <v>0</v>
      </c>
      <c r="L41" s="407"/>
      <c r="M41" s="561">
        <f>'[4]Maintainability Score Summary'!$F$39</f>
        <v>0</v>
      </c>
      <c r="N41" s="407"/>
    </row>
    <row r="42" spans="1:14" x14ac:dyDescent="0.25">
      <c r="A42" s="341">
        <v>4.4000000000000004</v>
      </c>
      <c r="B42" s="51" t="str">
        <f>'[3]Maintainability Score Summary'!$B$40</f>
        <v>Lightning Protection System</v>
      </c>
      <c r="C42" s="407">
        <f>'[3]Maintainability Score Summary'!$E$40</f>
        <v>1</v>
      </c>
      <c r="D42" s="407"/>
      <c r="E42" s="407">
        <f t="shared" si="2"/>
        <v>0</v>
      </c>
      <c r="F42" s="407"/>
      <c r="G42" s="357"/>
      <c r="H42" s="320"/>
      <c r="I42" s="8"/>
      <c r="K42" s="561">
        <f>'[3]Maintainability Score Summary'!$F$40</f>
        <v>0</v>
      </c>
      <c r="L42" s="407"/>
      <c r="M42" s="561">
        <f>'[4]Maintainability Score Summary'!$F$40</f>
        <v>0</v>
      </c>
      <c r="N42" s="407"/>
    </row>
    <row r="43" spans="1:14" x14ac:dyDescent="0.25">
      <c r="A43" s="341">
        <v>4.5</v>
      </c>
      <c r="B43" s="51" t="str">
        <f>'[3]Maintainability Score Summary'!$B$41</f>
        <v>Vertical Transportation System</v>
      </c>
      <c r="C43" s="407">
        <f>'[3]Maintainability Score Summary'!$E$41</f>
        <v>2</v>
      </c>
      <c r="D43" s="407"/>
      <c r="E43" s="407">
        <f t="shared" si="2"/>
        <v>0</v>
      </c>
      <c r="F43" s="407"/>
      <c r="G43" s="357"/>
      <c r="H43" s="320"/>
      <c r="I43" s="8"/>
      <c r="K43" s="561">
        <f>'[3]Maintainability Score Summary'!$F$41</f>
        <v>0</v>
      </c>
      <c r="L43" s="407"/>
      <c r="M43" s="561">
        <f>'[4]Maintainability Score Summary'!$F$41</f>
        <v>0</v>
      </c>
      <c r="N43" s="407"/>
    </row>
    <row r="44" spans="1:14" x14ac:dyDescent="0.25">
      <c r="A44" s="341">
        <v>4.5999999999999996</v>
      </c>
      <c r="B44" s="51" t="str">
        <f>'[3]Maintainability Score Summary'!$B$42</f>
        <v>Solar PV System</v>
      </c>
      <c r="C44" s="407">
        <f>'[3]Maintainability Score Summary'!$E$42</f>
        <v>0.5</v>
      </c>
      <c r="D44" s="407"/>
      <c r="E44" s="407">
        <f t="shared" si="2"/>
        <v>0</v>
      </c>
      <c r="F44" s="407"/>
      <c r="G44" s="357"/>
      <c r="H44" s="320"/>
      <c r="I44" s="8"/>
      <c r="K44" s="561">
        <f>'[3]Maintainability Score Summary'!$F$42</f>
        <v>0</v>
      </c>
      <c r="L44" s="407"/>
      <c r="M44" s="561">
        <f>'[4]Maintainability Score Summary'!$F$42</f>
        <v>0</v>
      </c>
      <c r="N44" s="407"/>
    </row>
    <row r="45" spans="1:14" x14ac:dyDescent="0.25">
      <c r="A45" s="584" t="str">
        <f>'[3]Maintainability Score Summary'!$H$6</f>
        <v xml:space="preserve">SECTION 5 - LANDSCAPE </v>
      </c>
      <c r="B45" s="584"/>
      <c r="C45" s="560">
        <f>'[3]Maintainability Score Summary'!$L$6</f>
        <v>10.5</v>
      </c>
      <c r="D45" s="560"/>
      <c r="E45" s="560">
        <f t="shared" si="2"/>
        <v>0</v>
      </c>
      <c r="F45" s="560"/>
      <c r="G45" s="344" t="str">
        <f>IF(OR(G46="",G47="",G49="",G50="",G51=""),"",SUM(G46:G47,G49:G51))</f>
        <v/>
      </c>
      <c r="H45" s="320"/>
      <c r="I45" s="8"/>
      <c r="K45" s="559">
        <f>'[3]Maintainability Score Summary'!$M$6</f>
        <v>0</v>
      </c>
      <c r="L45" s="560"/>
      <c r="M45" s="559">
        <f>'[4]Maintainability Score Summary'!$M$6</f>
        <v>0</v>
      </c>
      <c r="N45" s="560"/>
    </row>
    <row r="46" spans="1:14" x14ac:dyDescent="0.25">
      <c r="A46" s="341">
        <v>5.0999999999999996</v>
      </c>
      <c r="B46" s="51" t="str">
        <f>'[3]Maintainability Score Summary'!$I$7</f>
        <v>Softscape</v>
      </c>
      <c r="C46" s="590">
        <f>'[3]Maintainability Score Summary'!$L$7</f>
        <v>1.5</v>
      </c>
      <c r="D46" s="564"/>
      <c r="E46" s="590">
        <f t="shared" si="2"/>
        <v>0</v>
      </c>
      <c r="F46" s="564"/>
      <c r="G46" s="357"/>
      <c r="H46" s="320"/>
      <c r="I46" s="8"/>
      <c r="K46" s="563">
        <f>'[3]Maintainability Score Summary'!$M$7</f>
        <v>0</v>
      </c>
      <c r="L46" s="564"/>
      <c r="M46" s="563">
        <f>'[4]Maintainability Score Summary'!$M$7</f>
        <v>0</v>
      </c>
      <c r="N46" s="564"/>
    </row>
    <row r="47" spans="1:14" x14ac:dyDescent="0.25">
      <c r="A47" s="341">
        <v>5.2</v>
      </c>
      <c r="B47" s="51" t="str">
        <f>'[3]Maintainability Score Summary'!$I$8</f>
        <v>Hardscape</v>
      </c>
      <c r="C47" s="590">
        <f>'[3]Maintainability Score Summary'!$L$8</f>
        <v>3.5</v>
      </c>
      <c r="D47" s="564"/>
      <c r="E47" s="590">
        <f t="shared" si="2"/>
        <v>0</v>
      </c>
      <c r="F47" s="564"/>
      <c r="G47" s="357"/>
      <c r="H47" s="320"/>
      <c r="I47" s="8"/>
      <c r="K47" s="563">
        <f>'[3]Maintainability Score Summary'!$M$8</f>
        <v>0</v>
      </c>
      <c r="L47" s="564"/>
      <c r="M47" s="563">
        <f>'[4]Maintainability Score Summary'!$M$8</f>
        <v>0</v>
      </c>
      <c r="N47" s="564"/>
    </row>
    <row r="48" spans="1:14" x14ac:dyDescent="0.25">
      <c r="A48" s="341">
        <v>5.3</v>
      </c>
      <c r="B48" s="51" t="str">
        <f>'[3]Maintainability Score Summary'!$I$9</f>
        <v>Vertical Greenery</v>
      </c>
      <c r="C48" s="407" t="str">
        <f>'[3]Maintainability Score Summary'!$L$9</f>
        <v>Pre-req</v>
      </c>
      <c r="D48" s="407"/>
      <c r="E48" s="407">
        <f t="shared" si="2"/>
        <v>0</v>
      </c>
      <c r="F48" s="407"/>
      <c r="G48" s="358"/>
      <c r="H48" s="320"/>
      <c r="I48" s="8"/>
      <c r="K48" s="407"/>
      <c r="L48" s="407"/>
      <c r="M48" s="407"/>
      <c r="N48" s="407"/>
    </row>
    <row r="49" spans="1:14" x14ac:dyDescent="0.25">
      <c r="A49" s="341">
        <v>5.4</v>
      </c>
      <c r="B49" s="51" t="str">
        <f>'[3]Maintainability Score Summary'!$I$10</f>
        <v>Roof and Sky Terraces</v>
      </c>
      <c r="C49" s="407">
        <f>'[3]Maintainability Score Summary'!$L$10</f>
        <v>1.5</v>
      </c>
      <c r="D49" s="407"/>
      <c r="E49" s="407">
        <f t="shared" si="2"/>
        <v>0</v>
      </c>
      <c r="F49" s="407"/>
      <c r="G49" s="357"/>
      <c r="H49" s="320"/>
      <c r="I49" s="8"/>
      <c r="K49" s="561">
        <f>'[3]Maintainability Score Summary'!$M$10</f>
        <v>0</v>
      </c>
      <c r="L49" s="407"/>
      <c r="M49" s="561">
        <f>'[4]Maintainability Score Summary'!$M$10</f>
        <v>0</v>
      </c>
      <c r="N49" s="407"/>
    </row>
    <row r="50" spans="1:14" x14ac:dyDescent="0.25">
      <c r="A50" s="341">
        <v>5.5</v>
      </c>
      <c r="B50" s="51" t="str">
        <f>'[3]Maintainability Score Summary'!$I$11</f>
        <v>Water Retaining Structures</v>
      </c>
      <c r="C50" s="407">
        <f>'[3]Maintainability Score Summary'!$L$11</f>
        <v>2</v>
      </c>
      <c r="D50" s="407"/>
      <c r="E50" s="407">
        <f t="shared" si="2"/>
        <v>0</v>
      </c>
      <c r="F50" s="407"/>
      <c r="G50" s="357"/>
      <c r="H50" s="320"/>
      <c r="I50" s="8"/>
      <c r="K50" s="561">
        <f>'[3]Maintainability Score Summary'!$M$11</f>
        <v>0</v>
      </c>
      <c r="L50" s="407"/>
      <c r="M50" s="561">
        <f>'[4]Maintainability Score Summary'!$M$11</f>
        <v>0</v>
      </c>
      <c r="N50" s="407"/>
    </row>
    <row r="51" spans="1:14" x14ac:dyDescent="0.25">
      <c r="A51" s="341">
        <v>5.6</v>
      </c>
      <c r="B51" s="51" t="str">
        <f>'[3]Maintainability Score Summary'!$I$12</f>
        <v>Standalone Structures</v>
      </c>
      <c r="C51" s="407">
        <f>'[3]Maintainability Score Summary'!$L$12</f>
        <v>2</v>
      </c>
      <c r="D51" s="407"/>
      <c r="E51" s="407">
        <f t="shared" si="2"/>
        <v>0</v>
      </c>
      <c r="F51" s="407"/>
      <c r="G51" s="357"/>
      <c r="H51" s="320"/>
      <c r="I51" s="8"/>
      <c r="K51" s="561">
        <f>'[3]Maintainability Score Summary'!$M$12</f>
        <v>0</v>
      </c>
      <c r="L51" s="407"/>
      <c r="M51" s="561">
        <f>'[4]Maintainability Score Summary'!$M$12</f>
        <v>0</v>
      </c>
      <c r="N51" s="407"/>
    </row>
    <row r="52" spans="1:14" x14ac:dyDescent="0.25">
      <c r="A52" s="584" t="str">
        <f>'[3]Maintainability Score Summary'!$H$13</f>
        <v xml:space="preserve">SECTION 6 - SMART FM </v>
      </c>
      <c r="B52" s="584"/>
      <c r="C52" s="560">
        <f>'[3]Maintainability Score Summary'!$L$13</f>
        <v>13</v>
      </c>
      <c r="D52" s="560"/>
      <c r="E52" s="560">
        <f t="shared" si="2"/>
        <v>0</v>
      </c>
      <c r="F52" s="560"/>
      <c r="G52" s="344" t="str">
        <f>IF(OR(G53="",G54="",G55="",G56="",G57=""),"",SUM(G53:G57))</f>
        <v/>
      </c>
      <c r="H52" s="320"/>
      <c r="I52" s="8"/>
      <c r="K52" s="559">
        <f>'[3]Maintainability Score Summary'!$M$13</f>
        <v>0</v>
      </c>
      <c r="L52" s="560"/>
      <c r="M52" s="559">
        <f>'[4]Maintainability Score Summary'!$M$13</f>
        <v>0</v>
      </c>
      <c r="N52" s="560"/>
    </row>
    <row r="53" spans="1:14" x14ac:dyDescent="0.25">
      <c r="A53" s="341">
        <v>6.1</v>
      </c>
      <c r="B53" s="51" t="str">
        <f>'[3]Maintainability Score Summary'!$I$14</f>
        <v>Good Practices</v>
      </c>
      <c r="C53" s="407">
        <f>'[3]Maintainability Score Summary'!$L$14</f>
        <v>2</v>
      </c>
      <c r="D53" s="407"/>
      <c r="E53" s="407">
        <f t="shared" si="2"/>
        <v>0</v>
      </c>
      <c r="F53" s="407"/>
      <c r="G53" s="357"/>
      <c r="H53" s="320"/>
      <c r="I53" s="8"/>
      <c r="K53" s="561">
        <f>'[3]Maintainability Score Summary'!$M$14</f>
        <v>0</v>
      </c>
      <c r="L53" s="407"/>
      <c r="M53" s="561">
        <f>'[4]Maintainability Score Summary'!$M$14</f>
        <v>0</v>
      </c>
      <c r="N53" s="407"/>
    </row>
    <row r="54" spans="1:14" x14ac:dyDescent="0.25">
      <c r="A54" s="341">
        <v>6.2</v>
      </c>
      <c r="B54" s="51" t="str">
        <f>'[3]Maintainability Score Summary'!$I$15</f>
        <v>Cybersecurity</v>
      </c>
      <c r="C54" s="407">
        <f>'[3]Maintainability Score Summary'!$L$15</f>
        <v>1</v>
      </c>
      <c r="D54" s="407"/>
      <c r="E54" s="407">
        <f t="shared" si="2"/>
        <v>0</v>
      </c>
      <c r="F54" s="407"/>
      <c r="G54" s="357"/>
      <c r="H54" s="320"/>
      <c r="I54" s="8"/>
      <c r="K54" s="561">
        <f>'[3]Maintainability Score Summary'!$M$15</f>
        <v>0</v>
      </c>
      <c r="L54" s="407"/>
      <c r="M54" s="561">
        <f>'[4]Maintainability Score Summary'!$M$15</f>
        <v>0</v>
      </c>
      <c r="N54" s="407"/>
    </row>
    <row r="55" spans="1:14" x14ac:dyDescent="0.25">
      <c r="A55" s="341">
        <v>6.3</v>
      </c>
      <c r="B55" s="51" t="str">
        <f>'[3]Maintainability Score Summary'!$I$16</f>
        <v>Innovation</v>
      </c>
      <c r="C55" s="407">
        <f>'[3]Maintainability Score Summary'!$L$16</f>
        <v>3</v>
      </c>
      <c r="D55" s="407"/>
      <c r="E55" s="407">
        <f t="shared" si="2"/>
        <v>0</v>
      </c>
      <c r="F55" s="407"/>
      <c r="G55" s="357"/>
      <c r="H55" s="320"/>
      <c r="I55" s="8"/>
      <c r="K55" s="561">
        <f>'[3]Maintainability Score Summary'!$M$16</f>
        <v>0</v>
      </c>
      <c r="L55" s="407"/>
      <c r="M55" s="561">
        <f>'[4]Maintainability Score Summary'!$M$16</f>
        <v>0</v>
      </c>
      <c r="N55" s="407"/>
    </row>
    <row r="56" spans="1:14" x14ac:dyDescent="0.25">
      <c r="A56" s="341">
        <v>6.4</v>
      </c>
      <c r="B56" s="51" t="str">
        <f>'[3]Maintainability Score Summary'!$I$17</f>
        <v>Advanced Smart FM</v>
      </c>
      <c r="C56" s="407">
        <f>'[3]Maintainability Score Summary'!$L$17</f>
        <v>4</v>
      </c>
      <c r="D56" s="407"/>
      <c r="E56" s="407">
        <f t="shared" si="2"/>
        <v>0</v>
      </c>
      <c r="F56" s="407"/>
      <c r="G56" s="357"/>
      <c r="H56" s="320"/>
      <c r="I56" s="8"/>
      <c r="K56" s="561">
        <f>'[3]Maintainability Score Summary'!$M$17</f>
        <v>0</v>
      </c>
      <c r="L56" s="407"/>
      <c r="M56" s="561">
        <f>'[4]Maintainability Score Summary'!$M$17</f>
        <v>0</v>
      </c>
      <c r="N56" s="407"/>
    </row>
    <row r="57" spans="1:14" x14ac:dyDescent="0.25">
      <c r="A57" s="341">
        <v>6.5</v>
      </c>
      <c r="B57" s="51" t="str">
        <f>'[3]Maintainability Score Summary'!$I$18</f>
        <v>Robotics &amp; Automation</v>
      </c>
      <c r="C57" s="407">
        <f>'[3]Maintainability Score Summary'!$L$18</f>
        <v>3</v>
      </c>
      <c r="D57" s="407"/>
      <c r="E57" s="407">
        <f t="shared" si="2"/>
        <v>0</v>
      </c>
      <c r="F57" s="407"/>
      <c r="G57" s="357"/>
      <c r="H57" s="320"/>
      <c r="I57" s="8"/>
      <c r="K57" s="561">
        <f>'[3]Maintainability Score Summary'!$M$18</f>
        <v>0</v>
      </c>
      <c r="L57" s="407"/>
      <c r="M57" s="561">
        <f>'[4]Maintainability Score Summary'!$M$18</f>
        <v>0</v>
      </c>
      <c r="N57" s="407"/>
    </row>
    <row r="58" spans="1:14" x14ac:dyDescent="0.25">
      <c r="A58" s="584" t="s">
        <v>313</v>
      </c>
      <c r="B58" s="584"/>
      <c r="C58" s="560">
        <v>4.5</v>
      </c>
      <c r="D58" s="560"/>
      <c r="E58" s="560">
        <f t="shared" si="2"/>
        <v>0</v>
      </c>
      <c r="F58" s="560"/>
      <c r="G58" s="344" t="str">
        <f>IF(OR(G59="",G60=""),"",SUM(G59:G60))</f>
        <v/>
      </c>
      <c r="H58" s="320"/>
      <c r="I58" s="8"/>
      <c r="K58" s="559">
        <f>'[3]Maintainability Score Summary'!$N$24</f>
        <v>0</v>
      </c>
      <c r="L58" s="560"/>
      <c r="M58" s="559">
        <f>'[4]Maintainability Score Summary'!$N$24</f>
        <v>0</v>
      </c>
      <c r="N58" s="560"/>
    </row>
    <row r="59" spans="1:14" x14ac:dyDescent="0.25">
      <c r="A59" s="48"/>
      <c r="B59" s="51" t="str">
        <f>'[3]Maintainability Score Summary'!$H$20</f>
        <v>Section 1 BONUS POINTS</v>
      </c>
      <c r="C59" s="407">
        <f>'[3]Maintainability Score Summary'!$L$20</f>
        <v>2</v>
      </c>
      <c r="D59" s="407"/>
      <c r="E59" s="407">
        <f t="shared" si="2"/>
        <v>0</v>
      </c>
      <c r="F59" s="407"/>
      <c r="G59" s="357"/>
      <c r="H59" s="320"/>
      <c r="I59" s="8"/>
      <c r="K59" s="561">
        <f>'[3]Maintainability Score Summary'!$M$20</f>
        <v>0</v>
      </c>
      <c r="L59" s="407"/>
      <c r="M59" s="561">
        <f>'[4]Maintainability Score Summary'!$M$20</f>
        <v>0</v>
      </c>
      <c r="N59" s="407"/>
    </row>
    <row r="60" spans="1:14" x14ac:dyDescent="0.25">
      <c r="A60" s="48"/>
      <c r="B60" s="51" t="str">
        <f>'[3]Maintainability Score Summary'!$H$21</f>
        <v>Section 5 BONUS POINTS</v>
      </c>
      <c r="C60" s="463">
        <f>'[3]Maintainability Score Summary'!$L$21</f>
        <v>2.5</v>
      </c>
      <c r="D60" s="463"/>
      <c r="E60" s="463">
        <f t="shared" si="2"/>
        <v>0</v>
      </c>
      <c r="F60" s="463"/>
      <c r="G60" s="357"/>
      <c r="H60" s="320"/>
      <c r="I60" s="8"/>
      <c r="K60" s="562">
        <f>'[3]Maintainability Score Summary'!$M$21</f>
        <v>0</v>
      </c>
      <c r="L60" s="463"/>
      <c r="M60" s="562">
        <f>'[4]Maintainability Score Summary'!$M$21</f>
        <v>0</v>
      </c>
      <c r="N60" s="463"/>
    </row>
    <row r="61" spans="1:14" s="5" customFormat="1" x14ac:dyDescent="0.25">
      <c r="A61" s="351"/>
      <c r="B61" s="352" t="s">
        <v>398</v>
      </c>
      <c r="C61" s="553" t="str">
        <f>IF(J61=0,IF(OR(G52="",G45="",G38="",G28="",G21="",G10="",G8=""),"",G52+G45+G38+G28+G21+G10+G8),J61)</f>
        <v/>
      </c>
      <c r="D61" s="553"/>
      <c r="E61" s="553"/>
      <c r="F61" s="553"/>
      <c r="G61" s="553"/>
      <c r="H61" s="320"/>
      <c r="I61" s="327"/>
      <c r="J61" s="353">
        <f>MAX(K61:N61)</f>
        <v>0</v>
      </c>
      <c r="K61" s="571">
        <f>'[3]Maintainability Score Summary'!$K$24</f>
        <v>0</v>
      </c>
      <c r="L61" s="571"/>
      <c r="M61" s="571">
        <f>'[4]Maintainability Score Summary'!$K$24</f>
        <v>0</v>
      </c>
      <c r="N61" s="571"/>
    </row>
    <row r="62" spans="1:14" s="5" customFormat="1" x14ac:dyDescent="0.25">
      <c r="A62" s="351"/>
      <c r="B62" s="352" t="s">
        <v>399</v>
      </c>
      <c r="C62" s="567">
        <f>MAX(K62:N62)</f>
        <v>0</v>
      </c>
      <c r="D62" s="568"/>
      <c r="E62" s="568"/>
      <c r="F62" s="574"/>
      <c r="G62" s="357"/>
      <c r="H62" s="320"/>
      <c r="I62" s="356"/>
      <c r="J62" s="360"/>
      <c r="K62" s="567">
        <f>'[3]Maintainability Score Summary'!$K$26</f>
        <v>0</v>
      </c>
      <c r="L62" s="568"/>
      <c r="M62" s="553">
        <f>'[4]Maintainability Score Summary'!$K$26</f>
        <v>0</v>
      </c>
      <c r="N62" s="553"/>
    </row>
    <row r="63" spans="1:14" s="5" customFormat="1" x14ac:dyDescent="0.25">
      <c r="A63" s="351"/>
      <c r="B63" s="354" t="s">
        <v>497</v>
      </c>
      <c r="C63" s="567">
        <f>MAX(K63:N63)</f>
        <v>0</v>
      </c>
      <c r="D63" s="568"/>
      <c r="E63" s="568"/>
      <c r="F63" s="574"/>
      <c r="G63" s="358" t="str">
        <f>IF(OR(G59="",G60="",C61=""),"",IF(C61=J64,G59+G60,""))</f>
        <v/>
      </c>
      <c r="H63" s="320"/>
      <c r="I63" s="356"/>
      <c r="J63" s="360"/>
      <c r="K63" s="567">
        <f>'[3]Maintainability Score Summary'!$N$24</f>
        <v>0</v>
      </c>
      <c r="L63" s="568"/>
      <c r="M63" s="553">
        <f>'[4]Maintainability Score Summary'!$N$24</f>
        <v>0</v>
      </c>
      <c r="N63" s="553"/>
    </row>
    <row r="64" spans="1:14" s="5" customFormat="1" x14ac:dyDescent="0.25">
      <c r="A64" s="351"/>
      <c r="B64" s="572" t="s">
        <v>401</v>
      </c>
      <c r="C64" s="553" t="s">
        <v>312</v>
      </c>
      <c r="D64" s="553"/>
      <c r="E64" s="555">
        <f>MAX(K64:N64)</f>
        <v>0</v>
      </c>
      <c r="F64" s="556"/>
      <c r="G64" s="358">
        <f>IF(OR(C61="",G58=""),0,IF(C61=J64,(C61/(91-G62))*91,0))</f>
        <v>0</v>
      </c>
      <c r="H64" s="327"/>
      <c r="I64" s="356"/>
      <c r="J64" s="361" t="str">
        <f>IF(OR(G52="",G45="",G38="",G28="",G21="",G10="",G8=""),"",G52+G45+G38+G28+G21+G10+G8)</f>
        <v/>
      </c>
      <c r="K64" s="555">
        <f>'[3]Maintainability Score Summary'!$K$27</f>
        <v>0</v>
      </c>
      <c r="L64" s="556"/>
      <c r="M64" s="554">
        <f>'[4]Maintainability Score Summary'!$K$27</f>
        <v>0</v>
      </c>
      <c r="N64" s="554"/>
    </row>
    <row r="65" spans="1:14" s="5" customFormat="1" x14ac:dyDescent="0.25">
      <c r="A65" s="351"/>
      <c r="B65" s="573"/>
      <c r="C65" s="553" t="s">
        <v>402</v>
      </c>
      <c r="D65" s="553"/>
      <c r="E65" s="555">
        <f>MAX(K65:N65)</f>
        <v>0</v>
      </c>
      <c r="F65" s="556"/>
      <c r="G65" s="358">
        <f>IF(OR(G64="",G63=""),0,G64+G63)</f>
        <v>0</v>
      </c>
      <c r="H65" s="327"/>
      <c r="I65" s="356"/>
      <c r="J65" s="360"/>
      <c r="K65" s="555">
        <f>'[3]Maintainability Score Summary'!$M$27</f>
        <v>0</v>
      </c>
      <c r="L65" s="556"/>
      <c r="M65" s="555">
        <f>'[4]Maintainability Score Summary'!$M$27</f>
        <v>0</v>
      </c>
      <c r="N65" s="556"/>
    </row>
    <row r="66" spans="1:14" x14ac:dyDescent="0.25">
      <c r="A66" s="351"/>
      <c r="B66" s="352" t="s">
        <v>400</v>
      </c>
      <c r="C66" s="600">
        <f>MAX(K66:N66)</f>
        <v>0</v>
      </c>
      <c r="D66" s="600"/>
      <c r="E66" s="600"/>
      <c r="F66" s="600"/>
      <c r="G66" s="357"/>
      <c r="H66" s="320"/>
      <c r="I66" s="340"/>
      <c r="J66" s="7">
        <f>IF(AND(C66="",G66=""),"",IF(C66="",G66,C66))</f>
        <v>0</v>
      </c>
      <c r="K66" s="557" t="str">
        <f>'[3]Maintainability Score Summary'!$M$32</f>
        <v/>
      </c>
      <c r="L66" s="558"/>
      <c r="M66" s="557" t="str">
        <f>'[4]Maintainability Score Summary'!$M$32</f>
        <v/>
      </c>
      <c r="N66" s="558"/>
    </row>
    <row r="67" spans="1:14" x14ac:dyDescent="0.25">
      <c r="A67" s="351"/>
      <c r="B67" s="355" t="s">
        <v>490</v>
      </c>
      <c r="C67" s="592">
        <f>IF(J67=0,IF(G65=0,0,IF(G65/5&gt;15,15,G65/5)),J67)</f>
        <v>0</v>
      </c>
      <c r="D67" s="593"/>
      <c r="E67" s="593"/>
      <c r="F67" s="593"/>
      <c r="G67" s="594"/>
      <c r="H67" s="320"/>
      <c r="I67" s="340"/>
      <c r="J67" s="353">
        <f>MAX(K67:N67)</f>
        <v>0</v>
      </c>
      <c r="K67" s="591">
        <f>'[3]Maintainability Score Summary'!$M$33</f>
        <v>0</v>
      </c>
      <c r="L67" s="591"/>
      <c r="M67" s="591">
        <f>'[4]Maintainability Score Summary'!$M$33</f>
        <v>0</v>
      </c>
      <c r="N67" s="591"/>
    </row>
    <row r="68" spans="1:14" x14ac:dyDescent="0.25">
      <c r="A68" s="351"/>
      <c r="B68" s="355" t="s">
        <v>491</v>
      </c>
      <c r="C68" s="581" t="str">
        <f>IF(AND(G65="",C67=""),"",IF(AND(C67&gt;=10,J66=0),"Yes","No"))</f>
        <v>No</v>
      </c>
      <c r="D68" s="581"/>
      <c r="E68" s="581"/>
      <c r="F68" s="581"/>
      <c r="G68" s="581"/>
      <c r="H68" s="320"/>
      <c r="I68" s="8"/>
      <c r="J68" s="7"/>
    </row>
  </sheetData>
  <sheetProtection algorithmName="SHA-512" hashValue="1xh91ylSXl/4jVRznwXBCbmQvBKcq9MSDMwsMIHAXVABaboCeRYbhZSRTVxnx54Zk3d/CN+x8Ehxq3bXBvuCYQ==" saltValue="9AmgJFb0LIAPt25mTkCfHA==" spinCount="100000" sheet="1" formatCells="0" selectLockedCells="1"/>
  <mergeCells count="255">
    <mergeCell ref="K67:L67"/>
    <mergeCell ref="M67:N67"/>
    <mergeCell ref="C67:G67"/>
    <mergeCell ref="A11:B11"/>
    <mergeCell ref="A13:B13"/>
    <mergeCell ref="A17:B17"/>
    <mergeCell ref="A29:B29"/>
    <mergeCell ref="A32:B32"/>
    <mergeCell ref="A2:G2"/>
    <mergeCell ref="C60:D60"/>
    <mergeCell ref="E60:F60"/>
    <mergeCell ref="C62:F62"/>
    <mergeCell ref="C66:F66"/>
    <mergeCell ref="C56:D56"/>
    <mergeCell ref="E56:F56"/>
    <mergeCell ref="C57:D57"/>
    <mergeCell ref="E57:F57"/>
    <mergeCell ref="C59:D59"/>
    <mergeCell ref="E59:F59"/>
    <mergeCell ref="C58:D58"/>
    <mergeCell ref="E58:F58"/>
    <mergeCell ref="C53:D53"/>
    <mergeCell ref="E53:F53"/>
    <mergeCell ref="C54:D54"/>
    <mergeCell ref="G14:G16"/>
    <mergeCell ref="E54:F54"/>
    <mergeCell ref="C55:D55"/>
    <mergeCell ref="E55:F55"/>
    <mergeCell ref="C49:D49"/>
    <mergeCell ref="E49:F49"/>
    <mergeCell ref="C50:D50"/>
    <mergeCell ref="E50:F50"/>
    <mergeCell ref="C51:D51"/>
    <mergeCell ref="E51:F51"/>
    <mergeCell ref="C52:D52"/>
    <mergeCell ref="E52:F52"/>
    <mergeCell ref="C46:D46"/>
    <mergeCell ref="E46:F46"/>
    <mergeCell ref="C47:D47"/>
    <mergeCell ref="E47:F47"/>
    <mergeCell ref="C48:D48"/>
    <mergeCell ref="E48:F48"/>
    <mergeCell ref="E41:F41"/>
    <mergeCell ref="C42:D42"/>
    <mergeCell ref="E42:F42"/>
    <mergeCell ref="C43:D43"/>
    <mergeCell ref="E43:F43"/>
    <mergeCell ref="C44:D44"/>
    <mergeCell ref="E45:F45"/>
    <mergeCell ref="E6:F6"/>
    <mergeCell ref="E7:F7"/>
    <mergeCell ref="E8:F8"/>
    <mergeCell ref="E10:F10"/>
    <mergeCell ref="E21:F21"/>
    <mergeCell ref="E28:F28"/>
    <mergeCell ref="E11:F11"/>
    <mergeCell ref="E13:F13"/>
    <mergeCell ref="E17:F17"/>
    <mergeCell ref="E14:F16"/>
    <mergeCell ref="E26:F26"/>
    <mergeCell ref="E27:F27"/>
    <mergeCell ref="E9:F9"/>
    <mergeCell ref="E22:F22"/>
    <mergeCell ref="E23:F23"/>
    <mergeCell ref="E24:F24"/>
    <mergeCell ref="E20:F20"/>
    <mergeCell ref="E12:F12"/>
    <mergeCell ref="E18:F18"/>
    <mergeCell ref="E19:F19"/>
    <mergeCell ref="E25:F25"/>
    <mergeCell ref="C6:D6"/>
    <mergeCell ref="C7:D7"/>
    <mergeCell ref="C8:D8"/>
    <mergeCell ref="C9:D9"/>
    <mergeCell ref="C10:D10"/>
    <mergeCell ref="C11:D11"/>
    <mergeCell ref="C13:D13"/>
    <mergeCell ref="C17:D17"/>
    <mergeCell ref="C29:D29"/>
    <mergeCell ref="C26:D26"/>
    <mergeCell ref="C27:D27"/>
    <mergeCell ref="C22:D22"/>
    <mergeCell ref="C23:D23"/>
    <mergeCell ref="C24:D24"/>
    <mergeCell ref="C18:D18"/>
    <mergeCell ref="C19:D19"/>
    <mergeCell ref="C14:D16"/>
    <mergeCell ref="C21:D21"/>
    <mergeCell ref="C25:D25"/>
    <mergeCell ref="A38:B38"/>
    <mergeCell ref="C45:D45"/>
    <mergeCell ref="C31:D31"/>
    <mergeCell ref="C36:D36"/>
    <mergeCell ref="C41:D41"/>
    <mergeCell ref="C30:D30"/>
    <mergeCell ref="E30:F30"/>
    <mergeCell ref="E29:F29"/>
    <mergeCell ref="E36:F36"/>
    <mergeCell ref="E37:F37"/>
    <mergeCell ref="C39:D39"/>
    <mergeCell ref="E39:F39"/>
    <mergeCell ref="C40:D40"/>
    <mergeCell ref="E40:F40"/>
    <mergeCell ref="E31:F31"/>
    <mergeCell ref="C33:D33"/>
    <mergeCell ref="E33:F33"/>
    <mergeCell ref="C34:D34"/>
    <mergeCell ref="E34:F34"/>
    <mergeCell ref="C35:D35"/>
    <mergeCell ref="E35:F35"/>
    <mergeCell ref="E32:F32"/>
    <mergeCell ref="C37:D37"/>
    <mergeCell ref="E44:F44"/>
    <mergeCell ref="B64:B65"/>
    <mergeCell ref="C65:D65"/>
    <mergeCell ref="C64:D64"/>
    <mergeCell ref="C63:F63"/>
    <mergeCell ref="A4:G4"/>
    <mergeCell ref="A3:G3"/>
    <mergeCell ref="C61:G61"/>
    <mergeCell ref="C68:G68"/>
    <mergeCell ref="E64:F64"/>
    <mergeCell ref="E65:F65"/>
    <mergeCell ref="A7:B7"/>
    <mergeCell ref="C12:D12"/>
    <mergeCell ref="C20:D20"/>
    <mergeCell ref="A45:B45"/>
    <mergeCell ref="A52:B52"/>
    <mergeCell ref="A58:B58"/>
    <mergeCell ref="C32:D32"/>
    <mergeCell ref="E38:F38"/>
    <mergeCell ref="C38:D38"/>
    <mergeCell ref="C28:D28"/>
    <mergeCell ref="A8:B8"/>
    <mergeCell ref="A10:B10"/>
    <mergeCell ref="A21:B21"/>
    <mergeCell ref="A28:B28"/>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55:L55"/>
    <mergeCell ref="K56:L56"/>
    <mergeCell ref="K57:L57"/>
    <mergeCell ref="K58:L58"/>
    <mergeCell ref="K59:L59"/>
    <mergeCell ref="K60:L60"/>
    <mergeCell ref="M62:N62"/>
    <mergeCell ref="K44:L44"/>
    <mergeCell ref="K45:L45"/>
    <mergeCell ref="K46:L46"/>
    <mergeCell ref="K47:L47"/>
    <mergeCell ref="K48:L48"/>
    <mergeCell ref="K49:L49"/>
    <mergeCell ref="K50:L50"/>
    <mergeCell ref="K51:L51"/>
    <mergeCell ref="K52:L52"/>
    <mergeCell ref="K61:L61"/>
    <mergeCell ref="M61:N61"/>
    <mergeCell ref="K64:L64"/>
    <mergeCell ref="K65:L65"/>
    <mergeCell ref="K62:L62"/>
    <mergeCell ref="K63:L63"/>
    <mergeCell ref="K66:L66"/>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K53:L53"/>
    <mergeCell ref="K54:L5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63:N63"/>
    <mergeCell ref="M64:N64"/>
    <mergeCell ref="M65:N65"/>
    <mergeCell ref="M66:N66"/>
    <mergeCell ref="M52:N52"/>
    <mergeCell ref="M53:N53"/>
    <mergeCell ref="M54:N54"/>
    <mergeCell ref="M55:N55"/>
    <mergeCell ref="M56:N56"/>
    <mergeCell ref="M57:N57"/>
    <mergeCell ref="M58:N58"/>
    <mergeCell ref="M59:N59"/>
    <mergeCell ref="M60:N60"/>
  </mergeCells>
  <dataValidations count="16">
    <dataValidation type="decimal" allowBlank="1" showErrorMessage="1" error="Please enter 0.5 or 1 or 1.5 or 2." prompt="Please Enter 0 or 1 or 1.5 or 2." sqref="K53:N53 K50:N51 K59:N59" xr:uid="{00000000-0002-0000-0700-000000000000}">
      <formula1>0</formula1>
      <formula2>2</formula2>
    </dataValidation>
    <dataValidation type="list" allowBlank="1" showInputMessage="1" showErrorMessage="1" sqref="K34:N34 K20 M20 K48:N48" xr:uid="{00000000-0002-0000-0700-000001000000}">
      <formula1>"Y,N"</formula1>
    </dataValidation>
    <dataValidation type="decimal" allowBlank="1" showInputMessage="1" showErrorMessage="1" sqref="K9:N9" xr:uid="{00000000-0002-0000-0700-000002000000}">
      <formula1>0</formula1>
      <formula2>7</formula2>
    </dataValidation>
    <dataValidation type="decimal" allowBlank="1" showInputMessage="1" showErrorMessage="1" sqref="K46:N46 K12:N12 K27:N27 K49:N49" xr:uid="{00000000-0002-0000-0700-000003000000}">
      <formula1>0</formula1>
      <formula2>1.5</formula2>
    </dataValidation>
    <dataValidation type="decimal" allowBlank="1" showInputMessage="1" showErrorMessage="1" sqref="K26:N26 K33:N33 K14 M14 E14 K56:N56 K24:N24" xr:uid="{00000000-0002-0000-0700-000004000000}">
      <formula1>0</formula1>
      <formula2>4</formula2>
    </dataValidation>
    <dataValidation type="decimal" allowBlank="1" showInputMessage="1" showErrorMessage="1" sqref="K18:N19 K41:N41 K55:N55 K57:N57" xr:uid="{00000000-0002-0000-0700-000005000000}">
      <formula1>0</formula1>
      <formula2>3</formula2>
    </dataValidation>
    <dataValidation type="decimal" allowBlank="1" showInputMessage="1" showErrorMessage="1" sqref="K22:N22" xr:uid="{00000000-0002-0000-0700-000006000000}">
      <formula1>0</formula1>
      <formula2>2.5</formula2>
    </dataValidation>
    <dataValidation type="decimal" allowBlank="1" showInputMessage="1" showErrorMessage="1" sqref="K23:N23 K31:N31 K37:N37 K42:N42 K54:N54" xr:uid="{00000000-0002-0000-0700-000007000000}">
      <formula1>0</formula1>
      <formula2>1</formula2>
    </dataValidation>
    <dataValidation type="decimal" allowBlank="1" showInputMessage="1" showErrorMessage="1" sqref="K25:N25" xr:uid="{00000000-0002-0000-0700-000008000000}">
      <formula1>0</formula1>
      <formula2>8</formula2>
    </dataValidation>
    <dataValidation type="decimal" allowBlank="1" showInputMessage="1" showErrorMessage="1" sqref="K29:N30" xr:uid="{00000000-0002-0000-0700-000009000000}">
      <formula1>0</formula1>
      <formula2>9.5</formula2>
    </dataValidation>
    <dataValidation type="decimal" allowBlank="1" showInputMessage="1" showErrorMessage="1" sqref="K35:N36 K39:N40 K43:N43" xr:uid="{00000000-0002-0000-0700-00000A000000}">
      <formula1>0</formula1>
      <formula2>2</formula2>
    </dataValidation>
    <dataValidation type="decimal" allowBlank="1" showInputMessage="1" showErrorMessage="1" sqref="K44:N44" xr:uid="{00000000-0002-0000-0700-00000B000000}">
      <formula1>0</formula1>
      <formula2>0.5</formula2>
    </dataValidation>
    <dataValidation type="decimal" allowBlank="1" showInputMessage="1" showErrorMessage="1" sqref="K47:N47" xr:uid="{00000000-0002-0000-0700-00000C000000}">
      <formula1>0</formula1>
      <formula2>3.5</formula2>
    </dataValidation>
    <dataValidation type="decimal" allowBlank="1" showErrorMessage="1" error="Please enter 0.5 or 1 or 1.5 or 2." prompt="Please Enter 0 or 1 or 1.5 or 2." sqref="K60:N60" xr:uid="{00000000-0002-0000-0700-00000D000000}">
      <formula1>0</formula1>
      <formula2>2.5</formula2>
    </dataValidation>
    <dataValidation type="decimal" allowBlank="1" showInputMessage="1" showErrorMessage="1" sqref="G9 G14:G16 G12 G53:G57 G18:G19 G22:G27 G30:G31 G33 G35:G37 G39:G44 G46:G47 G49:G51 G59:G60" xr:uid="{00000000-0002-0000-0700-00000E000000}">
      <formula1>0</formula1>
      <formula2>C9</formula2>
    </dataValidation>
    <dataValidation type="whole" allowBlank="1" showInputMessage="1" showErrorMessage="1" sqref="G66" xr:uid="{00000000-0002-0000-0700-00000F000000}">
      <formula1>0</formula1>
      <formula2>52</formula2>
    </dataValidation>
  </dataValidations>
  <pageMargins left="0.7" right="0.7" top="0.75" bottom="0.75" header="0.3" footer="0.3"/>
  <pageSetup paperSize="9" scale="51" orientation="portrait" r:id="rId1"/>
  <ignoredErrors>
    <ignoredError sqref="G11 G8" unlockedFormula="1"/>
  </ignoredError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152400</xdr:rowOff>
              </from>
              <to>
                <xdr:col>1</xdr:col>
                <xdr:colOff>333375</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039AFC-2474-445D-82FD-F98A51AD9AD4}">
  <ds:schemaRefs>
    <ds:schemaRef ds:uri="http://schemas.microsoft.com/sharepoint/v3/contenttype/forms"/>
  </ds:schemaRefs>
</ds:datastoreItem>
</file>

<file path=customXml/itemProps2.xml><?xml version="1.0" encoding="utf-8"?>
<ds:datastoreItem xmlns:ds="http://schemas.openxmlformats.org/officeDocument/2006/customXml" ds:itemID="{5623ED71-65C3-4326-91DD-867839785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3967C-E27A-4AFC-9A93-255253FA2C58}">
  <ds:schemaRefs>
    <ds:schemaRef ds:uri="http://schemas.microsoft.com/office/2006/documentManagement/types"/>
    <ds:schemaRef ds:uri="http://schemas.microsoft.com/office/2006/metadata/properties"/>
    <ds:schemaRef ds:uri="0b3cb28a-1a54-47b8-ac26-0dd7a10a3d05"/>
    <ds:schemaRef ds:uri="http://schemas.openxmlformats.org/package/2006/metadata/core-properties"/>
    <ds:schemaRef ds:uri="http://www.w3.org/XML/1998/namespace"/>
    <ds:schemaRef ds:uri="http://purl.org/dc/elements/1.1/"/>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Weng Kin HO (BCA)</dc:creator>
  <cp:lastModifiedBy>Yu Xuan TAN (BCA)</cp:lastModifiedBy>
  <cp:lastPrinted>2022-05-13T09:16:28Z</cp:lastPrinted>
  <dcterms:created xsi:type="dcterms:W3CDTF">2021-09-01T03:12:41Z</dcterms:created>
  <dcterms:modified xsi:type="dcterms:W3CDTF">2022-07-19T07:39:15Z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2021-11-10T10:19:29Z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