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updateLinks="never" defaultThemeVersion="166925"/>
  <mc:AlternateContent xmlns:mc="http://schemas.openxmlformats.org/markup-compatibility/2006">
    <mc:Choice Requires="x15">
      <x15ac:absPath xmlns:x15ac="http://schemas.microsoft.com/office/spreadsheetml/2010/11/ac" url="C:\Users\bca-yuxuan\Desktop\GM2021\Scoresheet\09032023\"/>
    </mc:Choice>
  </mc:AlternateContent>
  <xr:revisionPtr revIDLastSave="0" documentId="13_ncr:1_{5E3F1073-7714-47BC-B8C4-95A66C745086}" xr6:coauthVersionLast="47" xr6:coauthVersionMax="47" xr10:uidLastSave="{00000000-0000-0000-0000-000000000000}"/>
  <bookViews>
    <workbookView xWindow="-110" yWindow="-110" windowWidth="19420" windowHeight="10420" tabRatio="647" activeTab="3" xr2:uid="{00000000-000D-0000-FFFF-FFFF00000000}"/>
  </bookViews>
  <sheets>
    <sheet name="1. Project Details" sheetId="27" r:id="rId1"/>
    <sheet name="2. Summary" sheetId="1" r:id="rId2"/>
    <sheet name="3. Energy Efficiency" sheetId="28" r:id="rId3"/>
    <sheet name="4. Resilience" sheetId="2" r:id="rId4"/>
    <sheet name="5. Whole Life Carbon" sheetId="3" r:id="rId5"/>
    <sheet name="6. Health&amp;Wellbeing" sheetId="5" r:id="rId6"/>
    <sheet name="7. Intelligence" sheetId="16" r:id="rId7"/>
    <sheet name="8. Maintainability" sheetId="26"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Maintainability'!$A$1:$G$76</definedName>
    <definedName name="Step">'[1]Raw Data'!$D$2:$D$4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2" l="1"/>
  <c r="F32" i="2" l="1"/>
  <c r="H48" i="3"/>
  <c r="H53" i="3"/>
  <c r="H28" i="3"/>
  <c r="H27" i="3"/>
  <c r="H29" i="3" s="1"/>
  <c r="D10" i="1"/>
  <c r="E12" i="16" l="1"/>
  <c r="K64" i="26" l="1"/>
  <c r="C55" i="26"/>
  <c r="C46" i="26"/>
  <c r="K41" i="26"/>
  <c r="K40" i="26"/>
  <c r="C39" i="26"/>
  <c r="K71" i="26"/>
  <c r="K8" i="26"/>
  <c r="J76" i="26"/>
  <c r="C35" i="26"/>
  <c r="C60" i="26"/>
  <c r="C54" i="26"/>
  <c r="K63" i="26"/>
  <c r="H67" i="3"/>
  <c r="H66" i="3"/>
  <c r="H65" i="3"/>
  <c r="I32" i="2"/>
  <c r="J32" i="2" s="1"/>
  <c r="I33" i="2"/>
  <c r="I34" i="2"/>
  <c r="J34" i="2" s="1"/>
  <c r="M46" i="26"/>
  <c r="E46" i="26" s="1"/>
  <c r="M41" i="26"/>
  <c r="M23" i="26"/>
  <c r="E23" i="26" s="1"/>
  <c r="M26" i="26"/>
  <c r="M60" i="26"/>
  <c r="M68" i="26"/>
  <c r="M34" i="26"/>
  <c r="M74" i="26"/>
  <c r="C74" i="26" s="1"/>
  <c r="M64" i="26"/>
  <c r="K74" i="26"/>
  <c r="K68" i="26"/>
  <c r="K60" i="26"/>
  <c r="K56" i="26"/>
  <c r="K55" i="26"/>
  <c r="K48" i="26"/>
  <c r="K47" i="26"/>
  <c r="K46" i="26"/>
  <c r="K45" i="26"/>
  <c r="K42" i="26"/>
  <c r="K39" i="26"/>
  <c r="K36" i="26"/>
  <c r="K35" i="26"/>
  <c r="K34" i="26"/>
  <c r="K26" i="26"/>
  <c r="K23" i="26"/>
  <c r="K19" i="26"/>
  <c r="K18" i="26"/>
  <c r="B9" i="26"/>
  <c r="C68" i="26"/>
  <c r="C67" i="26"/>
  <c r="C65" i="26"/>
  <c r="B65" i="26"/>
  <c r="C64" i="26"/>
  <c r="B64" i="26"/>
  <c r="C63" i="26"/>
  <c r="B63" i="26"/>
  <c r="C62" i="26"/>
  <c r="B62" i="26"/>
  <c r="A61" i="26"/>
  <c r="B60" i="26"/>
  <c r="B59" i="26"/>
  <c r="A58" i="26"/>
  <c r="C56" i="26"/>
  <c r="B56" i="26"/>
  <c r="B55" i="26"/>
  <c r="B54" i="26"/>
  <c r="B53" i="26"/>
  <c r="C51" i="26"/>
  <c r="B51" i="26"/>
  <c r="B50" i="26"/>
  <c r="C48" i="26"/>
  <c r="B48" i="26"/>
  <c r="C47" i="26"/>
  <c r="B47" i="26"/>
  <c r="B46" i="26"/>
  <c r="C45" i="26"/>
  <c r="B45" i="26"/>
  <c r="B44" i="26"/>
  <c r="C42" i="26"/>
  <c r="B42" i="26"/>
  <c r="C41" i="26"/>
  <c r="B41" i="26"/>
  <c r="C40" i="26"/>
  <c r="B40" i="26"/>
  <c r="B39" i="26"/>
  <c r="B38" i="26"/>
  <c r="C36" i="26"/>
  <c r="B36" i="26"/>
  <c r="B35" i="26"/>
  <c r="C34" i="26"/>
  <c r="B34" i="26"/>
  <c r="C33" i="26"/>
  <c r="B33" i="26"/>
  <c r="A32" i="26"/>
  <c r="C31" i="26"/>
  <c r="B31" i="26"/>
  <c r="B30" i="26"/>
  <c r="A29" i="26"/>
  <c r="C27" i="26"/>
  <c r="B27" i="26"/>
  <c r="C26" i="26"/>
  <c r="B26" i="26"/>
  <c r="C25" i="26"/>
  <c r="B25" i="26"/>
  <c r="C24" i="26"/>
  <c r="B24" i="26"/>
  <c r="C23" i="26"/>
  <c r="B23" i="26"/>
  <c r="B22" i="26"/>
  <c r="C20" i="26"/>
  <c r="B20" i="26"/>
  <c r="C19" i="26"/>
  <c r="B19" i="26"/>
  <c r="C18" i="26"/>
  <c r="B18" i="26"/>
  <c r="A17" i="26"/>
  <c r="B16" i="26"/>
  <c r="B15" i="26"/>
  <c r="C14" i="26"/>
  <c r="B14" i="26"/>
  <c r="C13" i="26"/>
  <c r="A13" i="26"/>
  <c r="B12" i="26"/>
  <c r="A11" i="26"/>
  <c r="C9" i="26"/>
  <c r="C8" i="26"/>
  <c r="G66" i="26"/>
  <c r="G61" i="26"/>
  <c r="G58" i="26"/>
  <c r="G43" i="26"/>
  <c r="G52" i="26"/>
  <c r="G49" i="26"/>
  <c r="G37" i="26"/>
  <c r="G32" i="26"/>
  <c r="G29" i="26"/>
  <c r="G21" i="26"/>
  <c r="G17" i="26"/>
  <c r="G13" i="26"/>
  <c r="G11" i="26"/>
  <c r="G8" i="26"/>
  <c r="E34" i="26" l="1"/>
  <c r="K67" i="26"/>
  <c r="K66" i="26" s="1"/>
  <c r="K9" i="26"/>
  <c r="E64" i="26"/>
  <c r="E41" i="26"/>
  <c r="C17" i="26"/>
  <c r="K27" i="26"/>
  <c r="C32" i="26"/>
  <c r="K51" i="26"/>
  <c r="K54" i="26"/>
  <c r="K22" i="26"/>
  <c r="K17" i="26"/>
  <c r="C61" i="26"/>
  <c r="K65" i="26"/>
  <c r="C21" i="26"/>
  <c r="K24" i="26"/>
  <c r="K25" i="26"/>
  <c r="K31" i="26"/>
  <c r="C12" i="26"/>
  <c r="E68" i="26"/>
  <c r="E60" i="26"/>
  <c r="E26" i="26"/>
  <c r="K50" i="26"/>
  <c r="M24" i="26"/>
  <c r="E24" i="26" s="1"/>
  <c r="M42" i="26"/>
  <c r="E42" i="26" s="1"/>
  <c r="M39" i="26"/>
  <c r="E39" i="26" s="1"/>
  <c r="M71" i="26"/>
  <c r="C71" i="26" s="1"/>
  <c r="M62" i="26"/>
  <c r="M35" i="26"/>
  <c r="E35" i="26" s="1"/>
  <c r="M55" i="26"/>
  <c r="E55" i="26" s="1"/>
  <c r="M47" i="26"/>
  <c r="E47" i="26" s="1"/>
  <c r="M54" i="26"/>
  <c r="E54" i="26" s="1"/>
  <c r="M56" i="26"/>
  <c r="E56" i="26" s="1"/>
  <c r="M65" i="26"/>
  <c r="E65" i="26" s="1"/>
  <c r="M27" i="26"/>
  <c r="M45" i="26"/>
  <c r="E45" i="26" s="1"/>
  <c r="M67" i="26"/>
  <c r="M48" i="26"/>
  <c r="E48" i="26" s="1"/>
  <c r="J74" i="26"/>
  <c r="M36" i="26"/>
  <c r="E36" i="26" s="1"/>
  <c r="G57" i="26"/>
  <c r="G28" i="26"/>
  <c r="G10" i="26"/>
  <c r="C43" i="26" l="1"/>
  <c r="C44" i="26"/>
  <c r="C29" i="26"/>
  <c r="C30" i="26"/>
  <c r="K43" i="26"/>
  <c r="K44" i="26"/>
  <c r="K11" i="26"/>
  <c r="K12" i="26"/>
  <c r="K37" i="26"/>
  <c r="K38" i="26"/>
  <c r="E27" i="26"/>
  <c r="K20" i="26"/>
  <c r="K61" i="26"/>
  <c r="K62" i="26"/>
  <c r="E62" i="26" s="1"/>
  <c r="C10" i="26"/>
  <c r="C11" i="26"/>
  <c r="K58" i="26"/>
  <c r="K59" i="26"/>
  <c r="C37" i="26"/>
  <c r="C38" i="26"/>
  <c r="C52" i="26"/>
  <c r="C53" i="26"/>
  <c r="C59" i="26"/>
  <c r="C22" i="26"/>
  <c r="C49" i="26"/>
  <c r="C50" i="26"/>
  <c r="K70" i="26"/>
  <c r="K49" i="26"/>
  <c r="K21" i="26"/>
  <c r="K57" i="26"/>
  <c r="K14" i="26"/>
  <c r="K52" i="26"/>
  <c r="K53" i="26"/>
  <c r="M19" i="26"/>
  <c r="E19" i="26" s="1"/>
  <c r="M40" i="26"/>
  <c r="E40" i="26" s="1"/>
  <c r="M43" i="26"/>
  <c r="M20" i="26"/>
  <c r="E20" i="26" s="1"/>
  <c r="M52" i="26"/>
  <c r="E52" i="26" s="1"/>
  <c r="M61" i="26"/>
  <c r="E61" i="26" s="1"/>
  <c r="M8" i="26"/>
  <c r="E8" i="26" s="1"/>
  <c r="M9" i="26"/>
  <c r="E9" i="26" s="1"/>
  <c r="M31" i="26"/>
  <c r="E31" i="26" s="1"/>
  <c r="E67" i="26"/>
  <c r="M66" i="26"/>
  <c r="E66" i="26" s="1"/>
  <c r="M53" i="26"/>
  <c r="M50" i="26"/>
  <c r="E50" i="26" s="1"/>
  <c r="M32" i="26"/>
  <c r="M58" i="26"/>
  <c r="E58" i="26" s="1"/>
  <c r="M59" i="26"/>
  <c r="E59" i="26" s="1"/>
  <c r="M63" i="26"/>
  <c r="E63" i="26" s="1"/>
  <c r="M17" i="26"/>
  <c r="E17" i="26" s="1"/>
  <c r="M18" i="26"/>
  <c r="E18" i="26" s="1"/>
  <c r="J72" i="26"/>
  <c r="C57" i="26" l="1"/>
  <c r="C58" i="26"/>
  <c r="E43" i="26"/>
  <c r="C7" i="26"/>
  <c r="B32" i="1" s="1"/>
  <c r="C28" i="26"/>
  <c r="K32" i="26"/>
  <c r="E32" i="26" s="1"/>
  <c r="K33" i="26"/>
  <c r="K10" i="26"/>
  <c r="K13" i="26"/>
  <c r="K30" i="26"/>
  <c r="E53" i="26"/>
  <c r="M70" i="26"/>
  <c r="C70" i="26" s="1"/>
  <c r="M57" i="26"/>
  <c r="E57" i="26" s="1"/>
  <c r="M44" i="26"/>
  <c r="E44" i="26" s="1"/>
  <c r="M49" i="26"/>
  <c r="E49" i="26" s="1"/>
  <c r="M51" i="26"/>
  <c r="E51" i="26" s="1"/>
  <c r="M11" i="26"/>
  <c r="E11" i="26" s="1"/>
  <c r="M21" i="26"/>
  <c r="E21" i="26" s="1"/>
  <c r="M25" i="26"/>
  <c r="E25" i="26" s="1"/>
  <c r="M22" i="26"/>
  <c r="E22" i="26" s="1"/>
  <c r="M37" i="26"/>
  <c r="E37" i="26" s="1"/>
  <c r="M38" i="26"/>
  <c r="E38" i="26" s="1"/>
  <c r="M12" i="26"/>
  <c r="E12" i="26" s="1"/>
  <c r="M33" i="26"/>
  <c r="E33" i="26" s="1"/>
  <c r="K29" i="26" l="1"/>
  <c r="M14" i="26"/>
  <c r="E14" i="26" s="1"/>
  <c r="M13" i="26"/>
  <c r="E13" i="26" s="1"/>
  <c r="M75" i="26"/>
  <c r="M10" i="26"/>
  <c r="E10" i="26" s="1"/>
  <c r="M30" i="26"/>
  <c r="E30" i="26" s="1"/>
  <c r="M29" i="26"/>
  <c r="E29" i="26" s="1"/>
  <c r="H32" i="5"/>
  <c r="H30" i="5"/>
  <c r="H29" i="5"/>
  <c r="H33" i="5"/>
  <c r="H16" i="3"/>
  <c r="F22" i="2"/>
  <c r="K28" i="26" l="1"/>
  <c r="M69" i="26"/>
  <c r="M28" i="26"/>
  <c r="E28" i="26" s="1"/>
  <c r="K69" i="26" l="1"/>
  <c r="J69" i="26" s="1"/>
  <c r="C69" i="26" s="1"/>
  <c r="G72" i="26" s="1"/>
  <c r="M72" i="26"/>
  <c r="H25" i="5"/>
  <c r="H34" i="5" s="1"/>
  <c r="K72" i="26" l="1"/>
  <c r="E72" i="26" s="1"/>
  <c r="G71" i="26"/>
  <c r="G73" i="26" s="1"/>
  <c r="M73" i="26"/>
  <c r="F36" i="16"/>
  <c r="E73" i="26" l="1"/>
  <c r="C32" i="1" s="1"/>
  <c r="K75" i="26"/>
  <c r="J75" i="26" s="1"/>
  <c r="C75" i="26" s="1"/>
  <c r="K73" i="26"/>
  <c r="F20" i="16"/>
  <c r="F19" i="16"/>
  <c r="D32" i="1" l="1"/>
  <c r="C12" i="1" s="1"/>
  <c r="C76" i="26"/>
  <c r="D12" i="1" s="1"/>
  <c r="F21" i="16"/>
  <c r="F25" i="16"/>
  <c r="F15" i="16"/>
  <c r="F16" i="16"/>
  <c r="F14" i="16"/>
  <c r="H85" i="5" l="1"/>
  <c r="H86" i="5" s="1"/>
  <c r="H49" i="5"/>
  <c r="H20" i="5"/>
  <c r="H21" i="5"/>
  <c r="H7" i="5"/>
  <c r="H6" i="5"/>
  <c r="H78" i="3"/>
  <c r="H79" i="3" s="1"/>
  <c r="H61" i="3"/>
  <c r="H59" i="3"/>
  <c r="H18" i="3"/>
  <c r="F16" i="2"/>
  <c r="F52" i="2"/>
  <c r="F46" i="2"/>
  <c r="F45" i="2"/>
  <c r="F27" i="2"/>
  <c r="F14" i="2"/>
  <c r="F13" i="2"/>
  <c r="F12" i="2"/>
  <c r="F11" i="2"/>
  <c r="H51" i="3" l="1"/>
  <c r="H10" i="5"/>
  <c r="H36" i="5" l="1"/>
  <c r="F29" i="16" l="1"/>
  <c r="F30" i="16"/>
  <c r="H91" i="5"/>
  <c r="H90" i="5"/>
  <c r="H89" i="5"/>
  <c r="H81" i="5"/>
  <c r="H78" i="5"/>
  <c r="H77" i="5"/>
  <c r="H72" i="5"/>
  <c r="H68" i="5"/>
  <c r="H67" i="5"/>
  <c r="H66" i="5"/>
  <c r="H61" i="5"/>
  <c r="H57" i="5"/>
  <c r="H56" i="5"/>
  <c r="H55" i="5"/>
  <c r="H51" i="5"/>
  <c r="H50" i="5"/>
  <c r="H48" i="5"/>
  <c r="H43" i="5"/>
  <c r="H42" i="5"/>
  <c r="H41" i="5"/>
  <c r="H38" i="5"/>
  <c r="H37" i="5"/>
  <c r="H11" i="5"/>
  <c r="H75" i="3"/>
  <c r="H74" i="3"/>
  <c r="H71" i="3"/>
  <c r="H34" i="3"/>
  <c r="H42" i="3"/>
  <c r="H57" i="3" l="1"/>
  <c r="F47" i="16"/>
  <c r="F46" i="16"/>
  <c r="F42" i="16"/>
  <c r="F41" i="16"/>
  <c r="F37" i="16"/>
  <c r="F35" i="16"/>
  <c r="F31" i="16"/>
  <c r="F32" i="16" s="1"/>
  <c r="F26" i="16"/>
  <c r="F24" i="16"/>
  <c r="F27" i="16" s="1"/>
  <c r="F5" i="16"/>
  <c r="F9" i="16"/>
  <c r="F52" i="16"/>
  <c r="F51" i="16"/>
  <c r="F49" i="16" s="1"/>
  <c r="F38" i="16" l="1"/>
  <c r="F33" i="16" s="1"/>
  <c r="D29" i="1" s="1"/>
  <c r="F43" i="16"/>
  <c r="F10" i="16"/>
  <c r="F22" i="16"/>
  <c r="D28" i="1" s="1"/>
  <c r="F48" i="16"/>
  <c r="F17" i="16"/>
  <c r="F3" i="16" s="1"/>
  <c r="F2" i="16" l="1"/>
  <c r="C11" i="1" s="1"/>
  <c r="D11" i="1" s="1"/>
  <c r="D27" i="1"/>
  <c r="H92" i="5" l="1"/>
  <c r="H82" i="5"/>
  <c r="H79" i="5"/>
  <c r="H73" i="5"/>
  <c r="H70" i="5" s="1"/>
  <c r="H69" i="5"/>
  <c r="H62" i="5"/>
  <c r="H58" i="5"/>
  <c r="H52" i="5"/>
  <c r="H12" i="5"/>
  <c r="H8" i="5"/>
  <c r="H39" i="5"/>
  <c r="H44" i="5"/>
  <c r="H96" i="5"/>
  <c r="H95" i="5"/>
  <c r="H93" i="5" l="1"/>
  <c r="D26" i="1"/>
  <c r="H45" i="5"/>
  <c r="D25" i="1" s="1"/>
  <c r="H3" i="5"/>
  <c r="H2" i="5" l="1"/>
  <c r="C10" i="1" s="1"/>
  <c r="D24" i="1"/>
  <c r="H25" i="3"/>
  <c r="H62" i="3"/>
  <c r="H68" i="3"/>
  <c r="H30" i="3" s="1"/>
  <c r="H72" i="3"/>
  <c r="H76" i="3"/>
  <c r="H83" i="3"/>
  <c r="H82" i="3"/>
  <c r="H69" i="3" l="1"/>
  <c r="D23" i="1" s="1"/>
  <c r="D22" i="1"/>
  <c r="H80" i="3"/>
  <c r="H3" i="3"/>
  <c r="F6" i="2"/>
  <c r="F7" i="2"/>
  <c r="F19" i="2"/>
  <c r="F20" i="2" s="1"/>
  <c r="F23" i="2"/>
  <c r="F69" i="2"/>
  <c r="F68" i="2"/>
  <c r="F64" i="2"/>
  <c r="F63" i="2"/>
  <c r="F59" i="2"/>
  <c r="F58" i="2"/>
  <c r="F50" i="2"/>
  <c r="F53" i="2" s="1"/>
  <c r="F44" i="2"/>
  <c r="F43" i="2"/>
  <c r="F47" i="2" s="1"/>
  <c r="F38" i="2"/>
  <c r="F37" i="2"/>
  <c r="F34" i="2" l="1"/>
  <c r="F35" i="2" s="1"/>
  <c r="D21" i="1"/>
  <c r="H2" i="3"/>
  <c r="C9" i="1" s="1"/>
  <c r="D9" i="1" s="1"/>
  <c r="F66" i="2"/>
  <c r="F8" i="2"/>
  <c r="F3" i="2" s="1"/>
  <c r="F39" i="2"/>
  <c r="F65" i="2"/>
  <c r="F60" i="2"/>
  <c r="F54" i="2" l="1"/>
  <c r="D20" i="1" s="1"/>
  <c r="D18" i="1"/>
  <c r="F28" i="2"/>
  <c r="D19" i="1" s="1"/>
  <c r="F2" i="2" l="1"/>
  <c r="C8" i="1" s="1"/>
  <c r="D8" i="1" s="1"/>
  <c r="C13" i="1" l="1"/>
</calcChain>
</file>

<file path=xl/sharedStrings.xml><?xml version="1.0" encoding="utf-8"?>
<sst xmlns="http://schemas.openxmlformats.org/spreadsheetml/2006/main" count="905" uniqueCount="522">
  <si>
    <t>GM: 2021 - Existing Non-Residential Buildings</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</si>
  <si>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</si>
  <si>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</si>
  <si>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</si>
  <si>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</si>
  <si>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</si>
  <si>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</si>
  <si>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</si>
  <si>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</si>
  <si>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</si>
  <si>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</si>
  <si>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</si>
  <si>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</si>
  <si>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</si>
  <si>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</si>
  <si>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</si>
  <si>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</si>
  <si>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</si>
  <si>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</si>
  <si>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</si>
  <si>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Reason for Certification</t>
  </si>
  <si>
    <t>GM 2021 ScoreCard</t>
  </si>
  <si>
    <t>GM Ref No.</t>
  </si>
  <si>
    <t>Project Name:</t>
  </si>
  <si>
    <t>Revision:</t>
  </si>
  <si>
    <t>SUMMARY</t>
  </si>
  <si>
    <t>MAX POINTS</t>
  </si>
  <si>
    <t>SCORING POINTS</t>
  </si>
  <si>
    <t>BADGE</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</si>
  <si>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</si>
  <si>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</si>
  <si>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</si>
  <si>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</si>
  <si>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</si>
  <si>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</si>
  <si>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</si>
  <si>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</si>
  <si>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</si>
  <si>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</si>
  <si>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</si>
  <si>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</si>
  <si>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</si>
  <si>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</si>
  <si>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</si>
  <si>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</si>
  <si>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</si>
  <si>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</si>
  <si>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</si>
  <si>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</si>
  <si>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</si>
  <si>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</si>
  <si>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</si>
  <si>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</si>
  <si>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</si>
  <si>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</si>
  <si>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</si>
  <si>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</si>
  <si>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</si>
  <si>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</si>
  <si>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</si>
  <si>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</si>
  <si>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Max Maintainability Points</t>
  </si>
  <si>
    <t>MAINTAINABILITY POINTS SCORED</t>
  </si>
  <si>
    <t>CORRESPONDING GM SCORE</t>
  </si>
  <si>
    <t>CRITERIA FOR ENERGY EFFICIENCY SECTION</t>
  </si>
  <si>
    <t>Data Input</t>
  </si>
  <si>
    <t>Input Required</t>
  </si>
  <si>
    <t>Remarks</t>
  </si>
  <si>
    <t>ENERGY EFFICIENCY</t>
  </si>
  <si>
    <t>Building supplied by District Cooling System?</t>
  </si>
  <si>
    <t>Y/N</t>
  </si>
  <si>
    <t>PATHWAY 1 - EUI</t>
  </si>
  <si>
    <t>Energy Usage Intensity</t>
  </si>
  <si>
    <t>Input (#)</t>
  </si>
  <si>
    <t>PATHWAY 2 - FIXED METRICS</t>
  </si>
  <si>
    <t>(i)</t>
  </si>
  <si>
    <t>Reduced Heat Gain (ETTV)</t>
  </si>
  <si>
    <t>(ii)</t>
  </si>
  <si>
    <t>Non AC Areas</t>
  </si>
  <si>
    <t>Input (%)</t>
  </si>
  <si>
    <t>(iii)</t>
  </si>
  <si>
    <t>a) ACMV TSE</t>
  </si>
  <si>
    <t>b) ACMV (Unitary)</t>
  </si>
  <si>
    <t>Three Phase (no. of ticks)</t>
  </si>
  <si>
    <t>Single Phase (no. of ticks)</t>
  </si>
  <si>
    <t>(iv)</t>
  </si>
  <si>
    <t>Lighting Power Budget</t>
  </si>
  <si>
    <t>(v)</t>
  </si>
  <si>
    <t xml:space="preserve">Mechanical Ventilation </t>
  </si>
  <si>
    <t>(vi)</t>
  </si>
  <si>
    <t>Integrated Energy Management &amp; control Systems</t>
  </si>
  <si>
    <t>a) Lighting controls provided in accordance with SS 530: 2014 Code of Practice for Energy Efficiency Standard for Building Services and Equipment.</t>
  </si>
  <si>
    <t>b) Energy consumption monitoring and benchmarking system</t>
  </si>
  <si>
    <t>c) Automatic controls for the air-conditioning system to respond to  periods of non-use, or reduced heat load.</t>
  </si>
  <si>
    <t>d) A control device shall be installed in every guestroom for the purpose of automatically switching off the lighting and reducing the air conditioning loads when a guestroom is not occupied.</t>
  </si>
  <si>
    <t>(vii)</t>
  </si>
  <si>
    <r>
      <t xml:space="preserve">On-Site Renewables - </t>
    </r>
    <r>
      <rPr>
        <i/>
        <sz val="12"/>
        <color theme="1"/>
        <rFont val="Calibri"/>
        <family val="2"/>
        <scheme val="minor"/>
      </rPr>
      <t>replacement to make up any deficiencies from the above list, with safety factor</t>
    </r>
  </si>
  <si>
    <t>(viii)</t>
  </si>
  <si>
    <r>
      <t xml:space="preserve">Air side efficiency (kW/RT)
</t>
    </r>
    <r>
      <rPr>
        <i/>
        <sz val="12"/>
        <color theme="1"/>
        <rFont val="Calibri"/>
        <family val="2"/>
        <scheme val="minor"/>
      </rPr>
      <t>(for buildings with DCS)</t>
    </r>
  </si>
  <si>
    <t>PATHWAY 3 - ENERGY SAVINGS</t>
  </si>
  <si>
    <t>Saving from BAU (2005 Code)</t>
  </si>
  <si>
    <t>Saving from Current Reference (2005 Code)</t>
  </si>
  <si>
    <t>CRITERIA FOR RESILIENCE SECTION</t>
  </si>
  <si>
    <t>Available points for Existing Buildings</t>
  </si>
  <si>
    <t>Points Scored</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</si>
  <si>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</si>
  <si>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</si>
  <si>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</si>
  <si>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</si>
  <si>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</si>
  <si>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</si>
  <si>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</si>
  <si>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</si>
  <si>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</si>
  <si>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</si>
  <si>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</si>
  <si>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</si>
  <si>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</si>
  <si>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</si>
  <si>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</si>
  <si>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b) Water Management Policy and Water Improvement Plan</t>
  </si>
  <si>
    <t>c) Waste Management Policy &amp; 3R Plan</t>
  </si>
  <si>
    <t>a) Achieved PUB Water Efficient Building certification?  
OR 
b) PUB WELS 3-ticks rating for 90% of all relevant water fittings.</t>
  </si>
  <si>
    <t>0.5 point for (a)
1 point for (b)</t>
  </si>
  <si>
    <t>SUB-TOTAL FOR RE 1.1 b (Max 3 points)</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</si>
  <si>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</si>
  <si>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</si>
  <si>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</si>
  <si>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</si>
  <si>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</si>
  <si>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</si>
  <si>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</si>
  <si>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</si>
  <si>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</si>
  <si>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</si>
  <si>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</si>
  <si>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</si>
  <si>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</si>
  <si>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</si>
  <si>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</si>
  <si>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</si>
  <si>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N.A.</t>
  </si>
  <si>
    <t xml:space="preserve">SUB-TOTAL FOR RE 1.3 </t>
  </si>
  <si>
    <t>RE2</t>
  </si>
  <si>
    <t>MANAGE</t>
  </si>
  <si>
    <t>RE2.1</t>
  </si>
  <si>
    <t>Leadership</t>
  </si>
  <si>
    <t>RE2.1a</t>
  </si>
  <si>
    <t>Project Team</t>
  </si>
  <si>
    <t>Appointment of accredited environmentalist specialists to drive and coordinate the environmental design approach.</t>
  </si>
  <si>
    <t>Sub-total</t>
  </si>
  <si>
    <t>No. of Certified GM AP</t>
  </si>
  <si>
    <t>0.5 pts/GM AP &amp; 0.5 pts /GM AAP 
(Capped at 1 pt)</t>
  </si>
  <si>
    <t>Max 0.5 pt</t>
  </si>
  <si>
    <t>No. of Certified GM AAP</t>
  </si>
  <si>
    <t>No. of firms certified under SGBC's SGBS certification or SIFMA's CFMC accreditation scheme.</t>
  </si>
  <si>
    <t>0.25 pts/firm 
(Capped at 0.5 pts)</t>
  </si>
  <si>
    <t>SUB-TOTAL FOR RE 2.1 a (Max 1 point)</t>
  </si>
  <si>
    <t>RE2.1b</t>
  </si>
  <si>
    <t>Procurement</t>
  </si>
  <si>
    <r>
      <t xml:space="preserve">Adoption of Sustainable or Green Procurement Policy for:-
- </t>
    </r>
    <r>
      <rPr>
        <b/>
        <sz val="12"/>
        <color theme="1"/>
        <rFont val="Calibri"/>
        <family val="2"/>
        <scheme val="minor"/>
      </rPr>
      <t>Existing Non-Residential Buildings</t>
    </r>
  </si>
  <si>
    <r>
      <t xml:space="preserve">Adoption of Energy Performance Contract (EPC) by accredited EPC firm for 
- </t>
    </r>
    <r>
      <rPr>
        <b/>
        <sz val="12"/>
        <color theme="1"/>
        <rFont val="Calibri"/>
        <family val="2"/>
        <scheme val="minor"/>
      </rPr>
      <t>Existing Non-Residential Buildings.</t>
    </r>
  </si>
  <si>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</si>
  <si>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</si>
  <si>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</si>
  <si>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</si>
  <si>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</si>
  <si>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</si>
  <si>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0.5 point</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</si>
  <si>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</si>
  <si>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</si>
  <si>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</si>
  <si>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</si>
  <si>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</si>
  <si>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</si>
  <si>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</si>
  <si>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</si>
  <si>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</si>
  <si>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</si>
  <si>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t>SUB-TOTAL FOR RE 2.3</t>
  </si>
  <si>
    <t>RE3</t>
  </si>
  <si>
    <t>RESTORE</t>
  </si>
  <si>
    <t>RE3.1</t>
  </si>
  <si>
    <t>Buildings In Nature</t>
  </si>
  <si>
    <t>Improving the ecology and quality of the natural environment on site through well-considered planting strategy.</t>
  </si>
  <si>
    <t>Greenery provision (GnPR shall be &gt;3 for Existing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</si>
  <si>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</si>
  <si>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</si>
  <si>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</si>
  <si>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</si>
  <si>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</si>
  <si>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</si>
  <si>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</si>
  <si>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</si>
  <si>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</si>
  <si>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</si>
  <si>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</si>
  <si>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</si>
  <si>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</si>
  <si>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Criteria RE 2.2 - Pushing the boundary of the circularity agenda by adopting innovative solutions/technologies to closing the resource loops and achieving zero waste.</t>
    </r>
  </si>
  <si>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</si>
  <si>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</si>
  <si>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</si>
  <si>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</si>
  <si>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</si>
  <si>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</si>
  <si>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</si>
  <si>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</si>
  <si>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Whole Life carbon assessment consistent with EN 15978  and EN 15804</t>
  </si>
  <si>
    <t>CN1.1a</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</si>
  <si>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</si>
  <si>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</si>
  <si>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</si>
  <si>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</si>
  <si>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</si>
  <si>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</si>
  <si>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</si>
  <si>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</si>
  <si>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</si>
  <si>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</si>
  <si>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</si>
  <si>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</si>
  <si>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SUB-TOTAL FOR CN 1.1a</t>
  </si>
  <si>
    <t>CN1.1b</t>
  </si>
  <si>
    <t>Embodied Carbon Computation</t>
  </si>
  <si>
    <t xml:space="preserve">(i) </t>
  </si>
  <si>
    <r>
      <t>Calculation of embodied carbon of the development (kg CO</t>
    </r>
    <r>
      <rPr>
        <vertAlign val="subscript"/>
        <sz val="12"/>
        <color theme="1"/>
        <rFont val="Calibri"/>
        <family val="2"/>
        <scheme val="minor"/>
      </rPr>
      <t>2</t>
    </r>
    <r>
      <rPr>
        <sz val="12"/>
        <color theme="1"/>
        <rFont val="Calibri"/>
        <family val="2"/>
        <scheme val="minor"/>
      </rPr>
      <t>e/m</t>
    </r>
    <r>
      <rPr>
        <vertAlign val="superscript"/>
        <sz val="12"/>
        <color theme="1"/>
        <rFont val="Calibri"/>
        <family val="2"/>
        <scheme val="minor"/>
      </rPr>
      <t>2</t>
    </r>
    <r>
      <rPr>
        <sz val="12"/>
        <color theme="1"/>
        <rFont val="Calibri"/>
        <family val="2"/>
        <scheme val="minor"/>
      </rPr>
      <t xml:space="preserve">)
</t>
    </r>
    <r>
      <rPr>
        <i/>
        <sz val="12"/>
        <color theme="1"/>
        <rFont val="Calibri"/>
        <family val="2"/>
        <scheme val="minor"/>
      </rPr>
      <t>Using the Embodied Carbon Calculator (ECC) hosted at the SGBC website or embodied carbon software tools which are linked to robust carbon data sets such as the Inventory of Carbon and Energy (ICE) database, the RICS Building Carbon Database, etc.</t>
    </r>
  </si>
  <si>
    <t>Input (#) kg CO2e/m2</t>
  </si>
  <si>
    <t xml:space="preserve">(ii) </t>
  </si>
  <si>
    <t>(a) &gt;10% Reduction from the reference embodied carbon (for Concrete, Glass and Steel)
(b) &gt;30% Reduction from the reference embodied carbon (for Concrete, Glass and Steel)</t>
  </si>
  <si>
    <t>Reference Values
(kgCO2e/m2)</t>
  </si>
  <si>
    <t>Non-Residential</t>
  </si>
  <si>
    <t>Residential</t>
  </si>
  <si>
    <t>Industrial</t>
  </si>
  <si>
    <t>(Reference values based on A1-A4 emissions for superstructure)</t>
  </si>
  <si>
    <t>SUB-TOTAL FOR CN 1.1b</t>
  </si>
  <si>
    <t>CN1.2</t>
  </si>
  <si>
    <t>2030 Transition Plan</t>
  </si>
  <si>
    <t>Develop and publish as 2030 Transition Plan that delineates steps to deliver a net zero carbon building from 2030 for the asset under assessment, based on scope 1 and 2 emissions</t>
  </si>
  <si>
    <t>3 points</t>
  </si>
  <si>
    <t>At least 50% offset of scope 2 emissions offset at the time of verification</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</si>
  <si>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</si>
  <si>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</si>
  <si>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</si>
  <si>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</si>
  <si>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</si>
  <si>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</si>
  <si>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</si>
  <si>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</si>
  <si>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</si>
  <si>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</si>
  <si>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</si>
  <si>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</si>
  <si>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</si>
  <si>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</si>
  <si>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</si>
  <si>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</si>
  <si>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</si>
  <si>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</si>
  <si>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</si>
  <si>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</si>
  <si>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</si>
  <si>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0.25 points / tick</t>
  </si>
  <si>
    <r>
      <t xml:space="preserve">Replacement of aggregates
</t>
    </r>
    <r>
      <rPr>
        <sz val="12"/>
        <color theme="1"/>
        <rFont val="Calibri"/>
        <family val="2"/>
        <scheme val="minor"/>
      </rPr>
      <t xml:space="preserve">Replacement of coarse and fine aggregates for structural concrete applications [by mass of RCA, WCS, granite fines (GF)] must meet both minimum requirements in terms of </t>
    </r>
    <r>
      <rPr>
        <u/>
        <sz val="12"/>
        <color theme="1"/>
        <rFont val="Calibri"/>
        <family val="2"/>
        <scheme val="minor"/>
      </rPr>
      <t>extent of usage</t>
    </r>
    <r>
      <rPr>
        <sz val="12"/>
        <color theme="1"/>
        <rFont val="Calibri"/>
        <family val="2"/>
        <scheme val="minor"/>
      </rPr>
      <t xml:space="preserve"> and </t>
    </r>
    <r>
      <rPr>
        <u/>
        <sz val="12"/>
        <color theme="1"/>
        <rFont val="Calibri"/>
        <family val="2"/>
        <scheme val="minor"/>
      </rPr>
      <t>replacement levels</t>
    </r>
  </si>
  <si>
    <t>Capped at 1 point</t>
  </si>
  <si>
    <r>
      <t>Total concrete use for superstructure (m</t>
    </r>
    <r>
      <rPr>
        <vertAlign val="superscript"/>
        <sz val="12"/>
        <color theme="1"/>
        <rFont val="Calibri"/>
        <family val="2"/>
        <scheme val="minor"/>
      </rPr>
      <t>3</t>
    </r>
    <r>
      <rPr>
        <sz val="12"/>
        <color theme="1"/>
        <rFont val="Calibri"/>
        <family val="2"/>
        <scheme val="minor"/>
      </rPr>
      <t>)</t>
    </r>
  </si>
  <si>
    <r>
      <t xml:space="preserve">Replacement level of coarse aggregate with RCA </t>
    </r>
    <r>
      <rPr>
        <sz val="12"/>
        <color theme="1"/>
        <rFont val="Calibri"/>
        <family val="2"/>
      </rPr>
      <t>≥ 20%</t>
    </r>
  </si>
  <si>
    <t>0.5 points</t>
  </si>
  <si>
    <t>Minimum extent of usage of RCA ≥ 1.5% of GFA</t>
  </si>
  <si>
    <r>
      <t xml:space="preserve">Replacement level of fine aggregate with WCS used for superstructure </t>
    </r>
    <r>
      <rPr>
        <sz val="12"/>
        <color theme="1"/>
        <rFont val="Calibri"/>
        <family val="2"/>
      </rPr>
      <t>≤</t>
    </r>
    <r>
      <rPr>
        <sz val="12"/>
        <color theme="1"/>
        <rFont val="Calibri"/>
        <family val="2"/>
        <scheme val="minor"/>
      </rPr>
      <t xml:space="preserve"> 10%</t>
    </r>
  </si>
  <si>
    <t>Minimum extent of usage of WCS ≥ 0.75% of GFA</t>
  </si>
  <si>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</si>
  <si>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</si>
  <si>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</si>
  <si>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</si>
  <si>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</si>
  <si>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</si>
  <si>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</si>
  <si>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</si>
  <si>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SUB-TOTAL FOR CN 2.2</t>
  </si>
  <si>
    <t>CN2.3</t>
  </si>
  <si>
    <t>Conservation, Resource Recovery and Waste Management</t>
  </si>
  <si>
    <r>
      <t xml:space="preserve">To encourage conservation of existing building structure, recovery of demolished building materials for reuse and/or recycling and waste management
</t>
    </r>
    <r>
      <rPr>
        <i/>
        <sz val="12"/>
        <color theme="1"/>
        <rFont val="Calibri"/>
        <family val="2"/>
        <scheme val="minor"/>
      </rPr>
      <t>(Applicable to existing buildings undergoing major retrofitting work and &gt;30 years old)</t>
    </r>
  </si>
  <si>
    <t>Existing structures are conserved and not demolished</t>
  </si>
  <si>
    <t>Existing structures are demolished with an enhanced demolition protocol, where a recovery ratte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</si>
  <si>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</si>
  <si>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</si>
  <si>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</si>
  <si>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</si>
  <si>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</si>
  <si>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</si>
  <si>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</si>
  <si>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</si>
  <si>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 xml:space="preserve">1 point for (a)
2 points for (b)
3 points for (c)  </t>
  </si>
  <si>
    <t>SUB-TOTAL FOR CN 3.1</t>
  </si>
  <si>
    <t>CN3.2</t>
  </si>
  <si>
    <t>Fit Out Products</t>
  </si>
  <si>
    <r>
      <t xml:space="preserve">≥ 80% (by cost or area) of the fit-out materials used (construction and finishes) for </t>
    </r>
    <r>
      <rPr>
        <b/>
        <sz val="12"/>
        <color theme="1"/>
        <rFont val="Calibri"/>
        <family val="2"/>
        <scheme val="minor"/>
      </rPr>
      <t>common areas</t>
    </r>
    <r>
      <rPr>
        <sz val="12"/>
        <color theme="1"/>
        <rFont val="Calibri"/>
        <family val="2"/>
        <scheme val="minor"/>
      </rPr>
      <t xml:space="preserve"> (i.e. non-tenanted spaces) shall be at least SGBP 2 ticks or equivalent administered by local  certification bodies</t>
    </r>
  </si>
  <si>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</si>
  <si>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</si>
  <si>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</si>
  <si>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</si>
  <si>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requires and actively assists the tenants to offset their operational energy through the procurement of renewables, or through the ongoing purchase of certified carbon offsets.
(a) ≥ 30% of tenants (by NLA)
(b) ≥ 60% of tenants (by NLA)
(c) ≥ 90% of tenants (by NLA)</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</si>
  <si>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</si>
  <si>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</si>
  <si>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</si>
  <si>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r>
      <rPr>
        <b/>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At Verification (As Built/ In Operation):</t>
    </r>
    <r>
      <rPr>
        <sz val="12"/>
        <color theme="1"/>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   Recognising design for Disassembly/Future adaptability - to facilitate future changes and dismantlement (in part or whole) for recovery of systems, components and materials.
</t>
    </r>
  </si>
  <si>
    <t>CRITERIA FOR HEALTH &amp; WELLBEING SECTION</t>
  </si>
  <si>
    <t>Health &amp; Wellbeing</t>
  </si>
  <si>
    <t>HW1</t>
  </si>
  <si>
    <t>PHYSIOLOGICAL</t>
  </si>
  <si>
    <t>HW1.1</t>
  </si>
  <si>
    <t>Active Movement Design</t>
  </si>
  <si>
    <t>HW1.1a</t>
  </si>
  <si>
    <t>Active Mobility</t>
  </si>
  <si>
    <r>
      <rPr>
        <b/>
        <sz val="12"/>
        <color theme="1"/>
        <rFont val="Calibri"/>
        <family val="2"/>
        <scheme val="minor"/>
      </rPr>
      <t xml:space="preserve">Safe Access for Active Mobility </t>
    </r>
    <r>
      <rPr>
        <sz val="12"/>
        <color theme="1"/>
        <rFont val="Calibri"/>
        <family val="2"/>
        <scheme val="minor"/>
      </rPr>
      <t xml:space="preserve">
Provision of safe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</si>
  <si>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 </t>
    </r>
  </si>
  <si>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</si>
  <si>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</si>
  <si>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</si>
  <si>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t>
    </r>
    <r>
      <rPr>
        <sz val="12"/>
        <color theme="1"/>
        <rFont val="Calibri"/>
        <family val="2"/>
        <scheme val="minor"/>
      </rPr>
      <t>(a) at least 50% of floors
(b) all floors with internal staircases</t>
    </r>
  </si>
  <si>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</si>
  <si>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</si>
  <si>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</si>
  <si>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</si>
  <si>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</si>
  <si>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</si>
  <si>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</si>
  <si>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</si>
  <si>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</si>
  <si>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</si>
  <si>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</si>
  <si>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</si>
  <si>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</si>
  <si>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r>
      <t xml:space="preserve">at least 80% of common areas with acceptable material finishes
</t>
    </r>
    <r>
      <rPr>
        <i/>
        <sz val="10"/>
        <color theme="1"/>
        <rFont val="Calibri"/>
        <family val="2"/>
        <scheme val="minor"/>
      </rPr>
      <t>*includes lettable areas for non-residential developments and dwelling units for residential developments</t>
    </r>
  </si>
  <si>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</si>
  <si>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</si>
  <si>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</si>
  <si>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</si>
  <si>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</si>
  <si>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</si>
  <si>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r>
      <t>Control zones should not exceed 100m</t>
    </r>
    <r>
      <rPr>
        <vertAlign val="superscript"/>
        <sz val="12"/>
        <color theme="1"/>
        <rFont val="Calibri"/>
        <family val="2"/>
        <scheme val="minor"/>
      </rPr>
      <t>2</t>
    </r>
  </si>
  <si>
    <t>Controls should provide the logic to modify the operation of the VAV box, FCU, Passive Displacement System coil temperature, Ceiling fan speed or other system employed, which will adjust thermal comfort in that zone.</t>
  </si>
  <si>
    <t>The strategies cover 
(a) at least 50% of regularly occupied functional spaces
(b) at least 90% of regularly occupied functional spaces</t>
  </si>
  <si>
    <t>Residential Buildings and Non Residential non Air-Conditioned functional spaces.</t>
  </si>
  <si>
    <t>A. Thermal comfort simulation: -0.5&lt;PMV&lt;0.5</t>
  </si>
  <si>
    <t>B. Effective cross ventilation: 70% of habitable areas to meet area weighted average wind velocity of 0.6m/s</t>
  </si>
  <si>
    <t>C. Prescriptive performance</t>
  </si>
  <si>
    <t>• Openings towards prevailing wind directions</t>
  </si>
  <si>
    <t>0.1 point for every 10%
Max 0.5 point</t>
  </si>
  <si>
    <r>
      <t xml:space="preserve">• Depth of Room vs Openings
</t>
    </r>
    <r>
      <rPr>
        <i/>
        <sz val="12"/>
        <color theme="1"/>
        <rFont val="Calibri"/>
        <family val="2"/>
        <scheme val="minor"/>
      </rPr>
      <t xml:space="preserve">A. Single sided ventilation:
the limiting depth(W) for effective ventilation is twice the floor-to-ceiling height (H) [W≤2H]
B. Cross Ventilation:
the limiting depth(W) for effective ventilation is five times the floor-to-ceiling height (H) [W≤5H]
C. Atria/ event space:
Atria to have an effective opening &gt;10% floor area:
Atria can be 1.5x the depth of room (A and B), or up to 2x depth where the use of fixed air movement technologies are employed (e.g. HVLS fans).
</t>
    </r>
    <r>
      <rPr>
        <sz val="12"/>
        <color theme="1"/>
        <rFont val="Calibri"/>
        <family val="2"/>
        <scheme val="minor"/>
      </rPr>
      <t xml:space="preserve">
(a) at least 50% of applicable spaces
(b) at least 70% of applicable spaces</t>
    </r>
  </si>
  <si>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</si>
  <si>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</si>
  <si>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</si>
  <si>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</si>
  <si>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t>1 point for (A)
2 points for (B)</t>
  </si>
  <si>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</si>
  <si>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</si>
  <si>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A/B</t>
  </si>
  <si>
    <t>0.5 points for (A)
1 point for (B)</t>
  </si>
  <si>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</si>
  <si>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</si>
  <si>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</si>
  <si>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</si>
  <si>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</si>
  <si>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r>
      <rPr>
        <b/>
        <sz val="12"/>
        <color theme="1"/>
        <rFont val="Calibri"/>
        <family val="2"/>
        <scheme val="minor"/>
      </rPr>
      <t>Designated Smoking Points</t>
    </r>
    <r>
      <rPr>
        <sz val="12"/>
        <color theme="1"/>
        <rFont val="Calibri"/>
        <family val="2"/>
        <scheme val="minor"/>
      </rPr>
      <t xml:space="preserve">
Provide Designated Smoking Points for smokers to use, to allow non-smokers to utilise outdoor spaces in a healthy manner.</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</si>
  <si>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</si>
  <si>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</si>
  <si>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</si>
  <si>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</si>
  <si>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</si>
  <si>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</si>
  <si>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</si>
  <si>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</si>
  <si>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</si>
  <si>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</si>
  <si>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</si>
  <si>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</si>
  <si>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</si>
  <si>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</si>
  <si>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t>
    </r>
  </si>
  <si>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</si>
  <si>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r>
      <rPr>
        <b/>
        <sz val="12"/>
        <color theme="1"/>
        <rFont val="Calibri"/>
        <family val="2"/>
        <scheme val="minor"/>
      </rPr>
      <t>Circadian Lighting System</t>
    </r>
    <r>
      <rPr>
        <sz val="12"/>
        <color theme="1"/>
        <rFont val="Calibri"/>
        <family val="2"/>
        <scheme val="minor"/>
      </rPr>
      <t xml:space="preserve">
Provision of dynamic lighting system
(A) for Task Lighting
(B) for All Lighting</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</si>
  <si>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</si>
  <si>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</si>
  <si>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</si>
  <si>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</si>
  <si>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</si>
  <si>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</si>
  <si>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</si>
  <si>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</si>
  <si>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</si>
  <si>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</si>
  <si>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</si>
  <si>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r>
      <rPr>
        <b/>
        <sz val="12"/>
        <color theme="1"/>
        <rFont val="Calibri"/>
        <family val="2"/>
        <scheme val="minor"/>
      </rPr>
      <t>Noise from external Noise Sources</t>
    </r>
    <r>
      <rPr>
        <sz val="12"/>
        <color theme="1"/>
        <rFont val="Calibri"/>
        <family val="2"/>
        <scheme val="minor"/>
      </rPr>
      <t xml:space="preserve"> (i.e. Land Traffic)
Applies to internal noise levels for closed façade condition only
(i.e. all normally operable windows and doors to outside are closed)
Internal noise levels to comply with SS553 Amendment 1 noise criteria, otherwise per AS2107:2016, BB93 or HTM08-01</t>
    </r>
  </si>
  <si>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</si>
  <si>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</si>
  <si>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</si>
  <si>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</si>
  <si>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</si>
  <si>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</si>
  <si>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</si>
  <si>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r>
      <t xml:space="preserve">Certification through BCA Universal Design Mark
(A) UD Mark Gold </t>
    </r>
    <r>
      <rPr>
        <sz val="12"/>
        <color theme="1"/>
        <rFont val="Calibri"/>
        <family val="2"/>
        <scheme val="minor"/>
      </rPr>
      <t xml:space="preserve">or </t>
    </r>
    <r>
      <rPr>
        <i/>
        <sz val="12"/>
        <color theme="1"/>
        <rFont val="Calibri"/>
        <family val="2"/>
        <scheme val="minor"/>
      </rPr>
      <t>UDi C Rating
(B) UD Mark Gold</t>
    </r>
    <r>
      <rPr>
        <i/>
        <vertAlign val="superscript"/>
        <sz val="12"/>
        <color theme="1"/>
        <rFont val="Calibri"/>
        <family val="2"/>
        <scheme val="minor"/>
      </rPr>
      <t>PLUS</t>
    </r>
    <r>
      <rPr>
        <i/>
        <sz val="12"/>
        <color theme="1"/>
        <rFont val="Calibri"/>
        <family val="2"/>
        <scheme val="minor"/>
      </rPr>
      <t xml:space="preserve"> </t>
    </r>
    <r>
      <rPr>
        <sz val="12"/>
        <color theme="1"/>
        <rFont val="Calibri"/>
        <family val="2"/>
        <scheme val="minor"/>
      </rPr>
      <t xml:space="preserve">or </t>
    </r>
    <r>
      <rPr>
        <i/>
        <sz val="12"/>
        <color theme="1"/>
        <rFont val="Calibri"/>
        <family val="2"/>
        <scheme val="minor"/>
      </rPr>
      <t xml:space="preserve">UDi A </t>
    </r>
    <r>
      <rPr>
        <sz val="12"/>
        <color theme="1"/>
        <rFont val="Calibri"/>
        <family val="2"/>
        <scheme val="minor"/>
      </rPr>
      <t xml:space="preserve">or </t>
    </r>
    <r>
      <rPr>
        <i/>
        <sz val="12"/>
        <color theme="1"/>
        <rFont val="Calibri"/>
        <family val="2"/>
        <scheme val="minor"/>
      </rPr>
      <t>B Rating</t>
    </r>
  </si>
  <si>
    <t>Sub-Total for HW3.1</t>
  </si>
  <si>
    <t>HW3.2</t>
  </si>
  <si>
    <t>Communal Spaces</t>
  </si>
  <si>
    <t>HW3.2a</t>
  </si>
  <si>
    <r>
      <rPr>
        <b/>
        <sz val="12"/>
        <color theme="1"/>
        <rFont val="Calibri"/>
        <family val="2"/>
        <scheme val="minor"/>
      </rPr>
      <t>Restorative and community Spaces</t>
    </r>
    <r>
      <rPr>
        <sz val="11"/>
        <color theme="1"/>
        <rFont val="Calibri"/>
        <family val="2"/>
        <scheme val="minor"/>
      </rPr>
      <t xml:space="preserve">
</t>
    </r>
  </si>
  <si>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</si>
  <si>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</si>
  <si>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</si>
  <si>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</si>
  <si>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</si>
  <si>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</si>
  <si>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Provision of proper and reasonable rest areas for Outsourced workers (e.g. security officers, cleaners) to rest, recuperate, and eat. Refer to the ‘Tripartite Advisory on Provision of Rest Areas for Outsourced Workers’ (Dec 2019):
(i) Locations that afford privacy and provides a pleasant environment and
(ii) Provision of amenities such as tables, chairs, water coolers, lockers.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</si>
  <si>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</si>
  <si>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</si>
  <si>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</si>
  <si>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</si>
  <si>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</si>
  <si>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</si>
  <si>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</si>
  <si>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</si>
  <si>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</si>
  <si>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</si>
  <si>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</si>
  <si>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</si>
  <si>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</si>
  <si>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</si>
  <si>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</si>
  <si>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</si>
  <si>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</si>
  <si>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</si>
  <si>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IN 1</t>
  </si>
  <si>
    <t>IN 1.1</t>
  </si>
  <si>
    <t>Digital Life Cycle</t>
  </si>
  <si>
    <t xml:space="preserve">PIM (example: BIM) developed in accordance with Singapore CDE Data Standard that align with the Principles of ISO 19650-2018 </t>
  </si>
  <si>
    <t xml:space="preserve">Use of spatial model co-ordination platform basing on PIM for spatial analysis including identifying: </t>
  </si>
  <si>
    <t>a. System clashes through an automatic model checking tool</t>
  </si>
  <si>
    <t>b. Spatial analysis for effective construction, maintenance and future alteration or replacement.</t>
  </si>
  <si>
    <t xml:space="preserve">Digital building commissioning, performance and defect co-ordination platform basing on PIM to track, co-ordinate and manage the commissioning of systems and the tracking of defects and their rectification  </t>
  </si>
  <si>
    <t>SUB-TOTAL FOR IN 1.1</t>
  </si>
  <si>
    <t>IN 1.2</t>
  </si>
  <si>
    <t>Common Data Environment for Operations and Maintenance</t>
  </si>
  <si>
    <r>
      <rPr>
        <b/>
        <u/>
        <sz val="12"/>
        <color theme="1"/>
        <rFont val="Calibri"/>
        <family val="2"/>
        <scheme val="minor"/>
      </rPr>
      <t xml:space="preserve">Prerequisite </t>
    </r>
    <r>
      <rPr>
        <sz val="12"/>
        <color theme="1"/>
        <rFont val="Calibri"/>
        <family val="2"/>
        <scheme val="minor"/>
      </rPr>
      <t xml:space="preserve">
Non-residential projects (New and Existing) that submit Green Mark application after 31 May 2023, </t>
    </r>
    <r>
      <rPr>
        <u/>
        <sz val="12"/>
        <color theme="1"/>
        <rFont val="Calibri"/>
        <family val="2"/>
        <scheme val="minor"/>
      </rPr>
      <t>must</t>
    </r>
    <r>
      <rPr>
        <sz val="12"/>
        <color theme="1"/>
        <rFont val="Calibri"/>
        <family val="2"/>
        <scheme val="minor"/>
      </rPr>
      <t xml:space="preserve"> score minimum 1 item from IN1.2 to attain the Intelligence Badge.</t>
    </r>
  </si>
  <si>
    <t>*</t>
  </si>
  <si>
    <t>Is the Green Mark application for the project after 31 May 2023?</t>
  </si>
  <si>
    <t>Performance Dashboard to monitor the different aspect of building assets’ performance and operations from a single dashboard built on top of the CDE.</t>
  </si>
  <si>
    <t xml:space="preserve">Data Management and Integration with a platform that connects and manages asset and facility data, operational data, and real-time equipment data extracted from different sub-systems based on an open protocol </t>
  </si>
  <si>
    <t>Data Accessibility and Security - information stored in the CDE platform can be accessed by facilities teams in a secured manner to facilitate operation and maintenance activities from anywhere and anytime.</t>
  </si>
  <si>
    <t>SUB-TOTAL FOR IN 1.2</t>
  </si>
  <si>
    <t>IN1.3</t>
  </si>
  <si>
    <t>Voluntary Disclosure of Building Energy Performance Data</t>
  </si>
  <si>
    <t xml:space="preserve">Share basic information – follow Common Energy Dashboard data requirements to share basic information and data. </t>
  </si>
  <si>
    <t>Share additional information – follow Common Energy Dashboard data requirements to share additional information and data.</t>
  </si>
  <si>
    <t>SUB-TOTAL FOR IN 1.3</t>
  </si>
  <si>
    <t>IN 2</t>
  </si>
  <si>
    <t>IN 2.1</t>
  </si>
  <si>
    <t>Asset Information Model</t>
  </si>
  <si>
    <t>Development and handover of an accurate spatial model of the building or asset which complete and fully up to date inclusive of renovations that would impact building services or layout alterations.</t>
  </si>
  <si>
    <t>Physical and virtual asset information tagging system aligned with common data environment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</si>
  <si>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</si>
  <si>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</si>
  <si>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</si>
  <si>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Digital Twins</t>
  </si>
  <si>
    <t>Asset Digital Twin – the digital twin of the building asset as a whole to analyse the building performance under various scenarios (design and retrofit as well as adaptation plans) as well as ensure predictive asset management and continuous optimisation of building systems as a whole.</t>
  </si>
  <si>
    <t>System Digital Twin – detailed model based on operational data of individual systems to deep dive into its performance, conduct virtual stress tests and detailed analytics.</t>
  </si>
  <si>
    <t xml:space="preserve">Process Digital Twin – To model processes and scenarios to find the optimum solution based on actual and simulated data. </t>
  </si>
  <si>
    <t>SUB-TOTAL FOR IN 2.2</t>
  </si>
  <si>
    <t>IN 3</t>
  </si>
  <si>
    <t>IN 3.1</t>
  </si>
  <si>
    <t>Real Time Performance</t>
  </si>
  <si>
    <t>Energy - Breakdown of energy consumption by system, such as air conditioning, lighting, ventilation, transportation, receptacle loads.  
Efficiency metrics tracking and analytics for real time optimisation.</t>
  </si>
  <si>
    <t>Health &amp; Comfort – Provision of permanent calibrated air quality monitoring system with zonal controls</t>
  </si>
  <si>
    <t>Space - Space utilisation and optimisation to adapt the building to cater for the occupancy, and to optimise the building services and spaces to adapt.</t>
  </si>
  <si>
    <t>SUB-TOTAL FOR IN 3.1</t>
  </si>
  <si>
    <t>IN 3.2</t>
  </si>
  <si>
    <t>User Experience</t>
  </si>
  <si>
    <r>
      <t xml:space="preserve">Proactive collection and use of data to understand, track and manage the user experience within the building to improve performance including:
</t>
    </r>
    <r>
      <rPr>
        <sz val="12"/>
        <color theme="1"/>
        <rFont val="Calibri"/>
        <family val="2"/>
      </rPr>
      <t xml:space="preserve">• </t>
    </r>
    <r>
      <rPr>
        <sz val="12"/>
        <color theme="1"/>
        <rFont val="Calibri"/>
        <family val="2"/>
        <scheme val="minor"/>
      </rPr>
      <t>Use patterns.
• Comfort (thermal, visual, aural and olfactory, including locational information)
• Service requests and time for resolutions
For the following groups:</t>
    </r>
  </si>
  <si>
    <t>Building Occupants</t>
  </si>
  <si>
    <t>Visitors</t>
  </si>
  <si>
    <t>SUB-TOTAL FOR IN 3.2</t>
  </si>
  <si>
    <t>IN 3.3</t>
  </si>
  <si>
    <t>Data Ethics</t>
  </si>
  <si>
    <t>A data ethics plan shall be detailed for the building that identifies the various opportunities for the collection, analysis and use of data as well as a risk register that looks at the following risks and how they will be managed and mitigated.</t>
  </si>
  <si>
    <t>• Personal Privacy
• Risks including data governance, monetarisation of data and data permissions</t>
  </si>
  <si>
    <t>• Workforce transitioning
• Transparency 
• Data bias and data quality</t>
  </si>
  <si>
    <t>SUB-TOTAL FOR IN 3.3</t>
  </si>
  <si>
    <t>INTELLIGENCE INNOVATION AND SMART PRODUCT</t>
  </si>
  <si>
    <t>Innovation</t>
  </si>
  <si>
    <r>
      <t xml:space="preserve">Where projects can demonstrate substantial performance to a specific Intelligence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Encourage the Use of Singapore Green Building Council certified smart building products or product with equivalent certification that allows integration with the Common Data Environment (CDE).</t>
    </r>
  </si>
  <si>
    <t>Innovation no. 2:</t>
  </si>
  <si>
    <t>Important Note - Please use embedded Maintainability Section Scoresheet below to generate scoring</t>
  </si>
  <si>
    <r>
      <rPr>
        <b/>
        <sz val="16"/>
        <color rgb="FF7030A0"/>
        <rFont val="Calibri"/>
        <family val="2"/>
        <scheme val="minor"/>
      </rPr>
      <t>1) Please ensure that this excel file is named as Green Mark 2021_Scoresheet (ENRB).xlsx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</si>
  <si>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t>CRITERIA FOR MAINTAINABILITY SECTION</t>
  </si>
  <si>
    <t>Points Scored from Embedded Scoresheet</t>
  </si>
  <si>
    <t>Manual input of Points</t>
  </si>
  <si>
    <t>Section 0 - General</t>
  </si>
  <si>
    <t>Section 1 - Architectural Exterior</t>
  </si>
  <si>
    <t>1.5</t>
  </si>
  <si>
    <t>1.6</t>
  </si>
  <si>
    <t>1.7</t>
  </si>
  <si>
    <t>Section 2 - Architectural Interior</t>
  </si>
  <si>
    <t>Section 3 - Mechanical</t>
  </si>
  <si>
    <t>Section 4 - Electrical</t>
  </si>
  <si>
    <t>Section 5 - Landscape</t>
  </si>
  <si>
    <t>Section 6 - Smart FM - Innovative Solutions</t>
  </si>
  <si>
    <t>Section 7 - Smart FM - Building Management System</t>
  </si>
  <si>
    <t>Section 8 - Smart FM - Facilities Management System</t>
  </si>
  <si>
    <t>Bonus Points</t>
  </si>
  <si>
    <t>Section 1 Bonus Points</t>
  </si>
  <si>
    <t>Section 5 Bonus Points</t>
  </si>
  <si>
    <t>TOTAL Maintainability Section Points Scored</t>
  </si>
  <si>
    <t>Maintainability Prorated Points</t>
  </si>
  <si>
    <t>Bonus scored</t>
  </si>
  <si>
    <t>TOTAL Maintainability Section Points Scored After Pro-rating</t>
  </si>
  <si>
    <t>w/o Bonus</t>
  </si>
  <si>
    <t>w Bonus</t>
  </si>
  <si>
    <t>Cleared Pre-submission Meeting?</t>
  </si>
  <si>
    <t>Total Number of Green Mark 2021 Points</t>
  </si>
  <si>
    <t>Attained Maintainability Badge?</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</si>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</sst>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bscript"/>
      <sz val="12"/>
      <color theme="1"/>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i/>
      <vertAlign val="superscript"/>
      <sz val="12"/>
      <color theme="1"/>
      <name val="Calibri"/>
      <family val="2"/>
      <scheme val="minor"/>
    </font>
    <font>
      <sz val="12"/>
      <color theme="0"/>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b/>
      <u/>
      <sz val="16"/>
      <color theme="1"/>
      <name val="Calibri"/>
      <family val="2"/>
      <scheme val="minor"/>
    </font>
    <font>
      <sz val="11"/>
      <color rgb="FF3F3F76"/>
      <name val="Calibri"/>
      <family val="2"/>
      <scheme val="minor"/>
    </font>
    <font>
      <b/>
      <sz val="16"/>
      <color rgb="FF9933FF"/>
      <name val="Calibri"/>
      <family val="2"/>
      <scheme val="minor"/>
    </font>
    <font>
      <b/>
      <sz val="16"/>
      <color rgb="FF7030A0"/>
      <name val="Calibri"/>
      <family val="2"/>
      <scheme val="minor"/>
    </font>
    <font>
      <b/>
      <u/>
      <sz val="16"/>
      <color rgb="FFFFCC99"/>
      <name val="Calibri"/>
      <family val="2"/>
      <scheme val="minor"/>
    </font>
    <font>
      <b/>
      <u/>
      <sz val="16"/>
      <color rgb="FF9933FF"/>
      <name val="Calibri"/>
      <family val="2"/>
      <scheme val="minor"/>
    </font>
    <font>
      <b/>
      <u/>
      <sz val="16"/>
      <color rgb="FF7030A0"/>
      <name val="Calibri"/>
      <family val="2"/>
      <scheme val="minor"/>
    </font>
    <font>
      <b/>
      <sz val="16"/>
      <color theme="5"/>
      <name val="Calibri"/>
      <family val="2"/>
      <scheme val="minor"/>
    </font>
  </fonts>
  <fills count="3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9966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CC99"/>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30" fillId="0" borderId="0"/>
    <xf numFmtId="0" fontId="42" fillId="34" borderId="34" applyNumberFormat="0" applyAlignment="0" applyProtection="0"/>
  </cellStyleXfs>
  <cellXfs count="553">
    <xf numFmtId="0" fontId="0" fillId="0" borderId="0" xfId="0"/>
    <xf numFmtId="0" fontId="4" fillId="0" borderId="0" xfId="0" applyFont="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11" borderId="1" xfId="0"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1"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1" fillId="8" borderId="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0" fillId="0" borderId="0" xfId="0" applyAlignment="1">
      <alignment horizontal="center"/>
    </xf>
    <xf numFmtId="0" fontId="10" fillId="7" borderId="1" xfId="0" applyFont="1" applyFill="1" applyBorder="1" applyAlignment="1">
      <alignment horizontal="left" vertical="center"/>
    </xf>
    <xf numFmtId="0" fontId="10" fillId="7" borderId="1" xfId="0" applyFont="1" applyFill="1" applyBorder="1" applyAlignment="1">
      <alignment horizontal="right" vertical="center"/>
    </xf>
    <xf numFmtId="0" fontId="32" fillId="7" borderId="1" xfId="0" applyFont="1" applyFill="1" applyBorder="1" applyAlignment="1">
      <alignment horizontal="right" vertical="center"/>
    </xf>
    <xf numFmtId="0" fontId="11" fillId="31" borderId="1" xfId="0" applyFont="1" applyFill="1" applyBorder="1" applyAlignment="1" applyProtection="1">
      <alignment horizontal="center" vertical="center"/>
      <protection locked="0"/>
    </xf>
    <xf numFmtId="0" fontId="0" fillId="0" borderId="1" xfId="0" applyBorder="1" applyProtection="1">
      <protection locked="0"/>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5" fillId="6" borderId="1" xfId="0" quotePrefix="1" applyFont="1" applyFill="1" applyBorder="1" applyAlignment="1">
      <alignment horizontal="center" vertical="center"/>
    </xf>
    <xf numFmtId="0" fontId="11" fillId="26" borderId="1" xfId="0" applyFont="1" applyFill="1" applyBorder="1" applyAlignment="1">
      <alignment horizontal="center" vertical="center"/>
    </xf>
    <xf numFmtId="0" fontId="11" fillId="26" borderId="1" xfId="0" applyFont="1" applyFill="1" applyBorder="1" applyAlignment="1">
      <alignment horizontal="center" vertical="center" wrapText="1"/>
    </xf>
    <xf numFmtId="164" fontId="11" fillId="26" borderId="1" xfId="0" applyNumberFormat="1" applyFont="1" applyFill="1" applyBorder="1" applyAlignment="1">
      <alignment horizontal="center" vertical="center"/>
    </xf>
    <xf numFmtId="0" fontId="5" fillId="25" borderId="1" xfId="0" applyFont="1" applyFill="1" applyBorder="1" applyAlignment="1">
      <alignment horizontal="center" vertical="center"/>
    </xf>
    <xf numFmtId="0" fontId="9" fillId="25" borderId="1" xfId="0" applyFont="1" applyFill="1" applyBorder="1" applyAlignment="1">
      <alignment vertical="center" wrapText="1"/>
    </xf>
    <xf numFmtId="0" fontId="9" fillId="25" borderId="1" xfId="0" applyFont="1" applyFill="1" applyBorder="1" applyAlignment="1">
      <alignment horizontal="left" vertical="center" wrapText="1"/>
    </xf>
    <xf numFmtId="0" fontId="4" fillId="25" borderId="1" xfId="0" applyFont="1" applyFill="1" applyBorder="1" applyAlignment="1">
      <alignment vertical="center"/>
    </xf>
    <xf numFmtId="164" fontId="4" fillId="25" borderId="1" xfId="0" applyNumberFormat="1" applyFont="1" applyFill="1" applyBorder="1" applyAlignment="1">
      <alignment vertical="center"/>
    </xf>
    <xf numFmtId="0" fontId="11" fillId="0" borderId="1" xfId="0" applyFont="1" applyBorder="1" applyAlignment="1">
      <alignment horizontal="center" vertical="center"/>
    </xf>
    <xf numFmtId="164" fontId="11" fillId="0" borderId="1" xfId="0" applyNumberFormat="1" applyFont="1" applyBorder="1" applyAlignment="1">
      <alignment horizontal="center" vertical="center" wrapText="1"/>
    </xf>
    <xf numFmtId="0" fontId="11" fillId="33" borderId="1" xfId="0" applyFont="1" applyFill="1" applyBorder="1" applyAlignment="1">
      <alignment horizontal="center" vertical="center"/>
    </xf>
    <xf numFmtId="0" fontId="12" fillId="33" borderId="1" xfId="0" applyFont="1" applyFill="1" applyBorder="1" applyAlignment="1">
      <alignment horizontal="center" vertical="center"/>
    </xf>
    <xf numFmtId="0" fontId="4" fillId="15" borderId="1" xfId="0" applyFont="1" applyFill="1" applyBorder="1" applyAlignment="1">
      <alignment horizontal="center" vertical="center"/>
    </xf>
    <xf numFmtId="164" fontId="11" fillId="15" borderId="1" xfId="0" applyNumberFormat="1" applyFont="1" applyFill="1" applyBorder="1" applyAlignment="1">
      <alignment horizontal="center" vertical="center" wrapText="1"/>
    </xf>
    <xf numFmtId="0" fontId="4" fillId="15" borderId="1" xfId="0" applyFont="1" applyFill="1" applyBorder="1" applyAlignment="1">
      <alignment vertical="center"/>
    </xf>
    <xf numFmtId="0" fontId="4" fillId="13" borderId="1" xfId="1" applyFont="1" applyFill="1" applyBorder="1" applyAlignment="1">
      <alignment vertical="center" wrapText="1"/>
    </xf>
    <xf numFmtId="0" fontId="4" fillId="13" borderId="1" xfId="1" applyFont="1" applyFill="1" applyBorder="1" applyAlignment="1">
      <alignment horizontal="center" vertical="center" wrapText="1"/>
    </xf>
    <xf numFmtId="0" fontId="4" fillId="0" borderId="1" xfId="1" applyFont="1" applyBorder="1" applyAlignment="1">
      <alignment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2" quotePrefix="1" applyFont="1" applyBorder="1" applyAlignment="1">
      <alignment horizontal="justify" vertical="center" wrapText="1"/>
    </xf>
    <xf numFmtId="0" fontId="4" fillId="0" borderId="1" xfId="2" applyFont="1" applyBorder="1" applyAlignment="1">
      <alignment horizontal="left" vertical="center" wrapText="1"/>
    </xf>
    <xf numFmtId="0" fontId="4" fillId="0" borderId="1" xfId="2" applyFont="1" applyBorder="1" applyAlignment="1">
      <alignment horizontal="justify" vertical="center" wrapText="1"/>
    </xf>
    <xf numFmtId="0" fontId="5" fillId="25" borderId="1" xfId="0" applyFont="1" applyFill="1" applyBorder="1" applyAlignment="1">
      <alignment vertical="center"/>
    </xf>
    <xf numFmtId="164" fontId="5" fillId="25" borderId="1" xfId="0" applyNumberFormat="1" applyFont="1" applyFill="1" applyBorder="1" applyAlignment="1">
      <alignment vertical="center"/>
    </xf>
    <xf numFmtId="0" fontId="5" fillId="25" borderId="1" xfId="0" applyFont="1" applyFill="1" applyBorder="1" applyAlignment="1">
      <alignment vertical="center" wrapText="1"/>
    </xf>
    <xf numFmtId="0" fontId="4" fillId="0" borderId="1" xfId="0" applyFont="1" applyBorder="1" applyAlignment="1" applyProtection="1">
      <alignment vertical="center"/>
      <protection locked="0"/>
    </xf>
    <xf numFmtId="164" fontId="5"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18" fillId="5" borderId="1" xfId="0" applyFont="1" applyFill="1" applyBorder="1" applyAlignment="1">
      <alignment horizontal="center" vertical="center" wrapText="1"/>
    </xf>
    <xf numFmtId="0" fontId="11" fillId="5" borderId="1" xfId="0" quotePrefix="1" applyFont="1" applyFill="1" applyBorder="1" applyAlignment="1">
      <alignment horizontal="center" vertical="center"/>
    </xf>
    <xf numFmtId="0" fontId="11" fillId="23" borderId="1" xfId="0" applyFont="1" applyFill="1" applyBorder="1" applyAlignment="1">
      <alignment horizontal="center" vertical="center"/>
    </xf>
    <xf numFmtId="0" fontId="11" fillId="23" borderId="5" xfId="0" applyFont="1" applyFill="1" applyBorder="1" applyAlignment="1">
      <alignment horizontal="center" vertical="center"/>
    </xf>
    <xf numFmtId="0" fontId="11" fillId="23" borderId="6" xfId="0" applyFont="1" applyFill="1" applyBorder="1" applyAlignment="1">
      <alignment vertical="center"/>
    </xf>
    <xf numFmtId="0" fontId="11" fillId="21" borderId="1" xfId="0" applyFont="1" applyFill="1" applyBorder="1" applyAlignment="1">
      <alignment horizontal="center" vertical="top"/>
    </xf>
    <xf numFmtId="0" fontId="11" fillId="21" borderId="1" xfId="0" applyFont="1" applyFill="1" applyBorder="1" applyAlignment="1">
      <alignment horizontal="center" vertical="center"/>
    </xf>
    <xf numFmtId="0" fontId="11" fillId="22" borderId="1" xfId="0" applyFont="1" applyFill="1" applyBorder="1" applyAlignment="1">
      <alignment horizontal="center" vertical="top"/>
    </xf>
    <xf numFmtId="0" fontId="12" fillId="22" borderId="1" xfId="0" applyFont="1" applyFill="1" applyBorder="1" applyAlignment="1">
      <alignment horizontal="center" vertical="center"/>
    </xf>
    <xf numFmtId="0" fontId="12" fillId="22" borderId="1" xfId="0" applyFont="1" applyFill="1" applyBorder="1" applyAlignment="1">
      <alignment horizontal="center" vertical="top"/>
    </xf>
    <xf numFmtId="0" fontId="4" fillId="24" borderId="1" xfId="0" applyFont="1" applyFill="1" applyBorder="1" applyAlignment="1">
      <alignment vertical="top"/>
    </xf>
    <xf numFmtId="0" fontId="25" fillId="0" borderId="18" xfId="0" applyFont="1" applyBorder="1" applyAlignment="1">
      <alignment horizontal="left" vertical="center" wrapText="1"/>
    </xf>
    <xf numFmtId="0" fontId="26" fillId="0" borderId="19" xfId="0" applyFont="1" applyBorder="1" applyAlignment="1">
      <alignment vertical="top" wrapText="1"/>
    </xf>
    <xf numFmtId="0" fontId="25" fillId="0" borderId="18" xfId="0" applyFont="1" applyBorder="1" applyAlignment="1">
      <alignment vertical="center" wrapText="1"/>
    </xf>
    <xf numFmtId="0" fontId="11" fillId="21" borderId="6" xfId="0" applyFont="1" applyFill="1" applyBorder="1" applyAlignment="1">
      <alignment horizontal="center" vertical="top"/>
    </xf>
    <xf numFmtId="0" fontId="11" fillId="22" borderId="6" xfId="0" applyFont="1" applyFill="1" applyBorder="1" applyAlignment="1">
      <alignment horizontal="center" vertical="top"/>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33" borderId="1" xfId="0" applyFont="1" applyFill="1" applyBorder="1" applyAlignment="1">
      <alignment horizontal="center" vertical="center" wrapText="1"/>
    </xf>
    <xf numFmtId="0" fontId="11" fillId="23" borderId="1" xfId="0" applyFont="1" applyFill="1" applyBorder="1" applyAlignment="1">
      <alignment vertical="center"/>
    </xf>
    <xf numFmtId="0" fontId="11" fillId="0" borderId="1" xfId="0" applyFont="1" applyBorder="1" applyAlignment="1">
      <alignment horizontal="center" vertical="top"/>
    </xf>
    <xf numFmtId="0" fontId="5" fillId="0" borderId="1" xfId="0" applyFont="1" applyBorder="1" applyAlignment="1">
      <alignment vertical="center" wrapText="1"/>
    </xf>
    <xf numFmtId="0" fontId="11" fillId="22"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0" borderId="1" xfId="0" applyBorder="1"/>
    <xf numFmtId="0" fontId="2" fillId="0" borderId="0" xfId="0" applyFont="1"/>
    <xf numFmtId="0" fontId="4" fillId="17" borderId="1" xfId="0" applyFont="1" applyFill="1" applyBorder="1" applyAlignment="1" applyProtection="1">
      <alignment horizontal="center" vertical="center"/>
      <protection locked="0"/>
    </xf>
    <xf numFmtId="0" fontId="4" fillId="0" borderId="1" xfId="0" applyFont="1" applyBorder="1" applyAlignment="1" applyProtection="1">
      <alignment vertical="top"/>
      <protection locked="0"/>
    </xf>
    <xf numFmtId="0" fontId="4" fillId="0" borderId="2" xfId="0" applyFont="1" applyBorder="1" applyAlignment="1" applyProtection="1">
      <alignment horizontal="center" vertical="top"/>
      <protection locked="0"/>
    </xf>
    <xf numFmtId="0" fontId="4" fillId="0" borderId="1" xfId="0" applyFont="1" applyBorder="1" applyAlignment="1" applyProtection="1">
      <alignment horizontal="center" vertical="top"/>
      <protection locked="0"/>
    </xf>
    <xf numFmtId="0" fontId="17" fillId="0" borderId="1" xfId="0" applyFont="1" applyBorder="1" applyAlignment="1" applyProtection="1">
      <alignment vertical="top" wrapText="1"/>
      <protection locked="0"/>
    </xf>
    <xf numFmtId="0" fontId="13"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xf>
    <xf numFmtId="0" fontId="10" fillId="16" borderId="1" xfId="0" applyFont="1" applyFill="1" applyBorder="1" applyAlignment="1">
      <alignment horizontal="center" vertical="center"/>
    </xf>
    <xf numFmtId="164" fontId="10" fillId="16" borderId="5" xfId="0" applyNumberFormat="1" applyFont="1" applyFill="1" applyBorder="1" applyAlignment="1">
      <alignment horizontal="center" vertical="center"/>
    </xf>
    <xf numFmtId="0" fontId="10" fillId="16" borderId="6" xfId="0" applyFont="1" applyFill="1" applyBorder="1" applyAlignment="1">
      <alignment vertical="center"/>
    </xf>
    <xf numFmtId="0" fontId="10" fillId="20" borderId="1" xfId="0" applyFont="1" applyFill="1" applyBorder="1" applyAlignment="1">
      <alignment horizontal="center" vertical="top"/>
    </xf>
    <xf numFmtId="0" fontId="10" fillId="20" borderId="1" xfId="0" applyFont="1" applyFill="1" applyBorder="1" applyAlignment="1">
      <alignment horizontal="center" vertical="center"/>
    </xf>
    <xf numFmtId="0" fontId="5" fillId="19" borderId="1" xfId="0" applyFont="1" applyFill="1" applyBorder="1" applyAlignment="1">
      <alignment horizontal="center" vertical="top"/>
    </xf>
    <xf numFmtId="0" fontId="5" fillId="19" borderId="1" xfId="0" applyFont="1" applyFill="1" applyBorder="1" applyAlignment="1">
      <alignment horizontal="center" vertical="center"/>
    </xf>
    <xf numFmtId="0" fontId="4" fillId="0" borderId="19" xfId="0" applyFont="1" applyBorder="1" applyAlignment="1">
      <alignment horizontal="left" vertical="top"/>
    </xf>
    <xf numFmtId="0" fontId="4" fillId="0" borderId="21" xfId="0" applyFont="1" applyBorder="1" applyAlignment="1">
      <alignment vertical="top"/>
    </xf>
    <xf numFmtId="0" fontId="0" fillId="33" borderId="1" xfId="0" applyFill="1" applyBorder="1" applyAlignment="1">
      <alignment horizontal="center" vertical="center"/>
    </xf>
    <xf numFmtId="0" fontId="2" fillId="0" borderId="1" xfId="0" applyFont="1" applyBorder="1" applyAlignment="1">
      <alignment horizontal="center" vertical="center"/>
    </xf>
    <xf numFmtId="0" fontId="4" fillId="5" borderId="1" xfId="2" applyFont="1" applyFill="1" applyBorder="1" applyAlignment="1">
      <alignment horizontal="center" vertical="center"/>
    </xf>
    <xf numFmtId="0" fontId="4" fillId="5" borderId="1" xfId="0" applyFont="1" applyFill="1" applyBorder="1" applyAlignment="1">
      <alignment horizontal="center" vertical="top"/>
    </xf>
    <xf numFmtId="0" fontId="4" fillId="18" borderId="16" xfId="0" applyFont="1" applyFill="1" applyBorder="1" applyAlignment="1">
      <alignment vertical="top"/>
    </xf>
    <xf numFmtId="0" fontId="5" fillId="18" borderId="17" xfId="0" applyFont="1" applyFill="1" applyBorder="1" applyAlignment="1">
      <alignment horizontal="center" vertical="top" wrapText="1"/>
    </xf>
    <xf numFmtId="0" fontId="4" fillId="0" borderId="23" xfId="0" applyFont="1" applyBorder="1" applyAlignment="1">
      <alignment vertical="top"/>
    </xf>
    <xf numFmtId="0" fontId="4" fillId="0" borderId="18" xfId="0" applyFont="1" applyBorder="1" applyAlignment="1">
      <alignment horizontal="left" vertical="top"/>
    </xf>
    <xf numFmtId="0" fontId="4" fillId="0" borderId="19" xfId="0" applyFont="1" applyBorder="1" applyAlignment="1">
      <alignment horizontal="center"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center" vertical="top"/>
    </xf>
    <xf numFmtId="0" fontId="4" fillId="19" borderId="1" xfId="0" applyFont="1" applyFill="1" applyBorder="1" applyAlignment="1">
      <alignment vertical="center"/>
    </xf>
    <xf numFmtId="0" fontId="4" fillId="19" borderId="1" xfId="0" applyFont="1" applyFill="1" applyBorder="1" applyAlignment="1">
      <alignment horizontal="center" vertical="center"/>
    </xf>
    <xf numFmtId="0" fontId="5" fillId="19" borderId="1" xfId="0" applyFont="1" applyFill="1" applyBorder="1" applyAlignment="1">
      <alignment vertical="center"/>
    </xf>
    <xf numFmtId="0" fontId="0" fillId="19" borderId="1" xfId="0" applyFill="1" applyBorder="1"/>
    <xf numFmtId="0" fontId="5" fillId="0" borderId="1" xfId="0" applyFont="1" applyBorder="1" applyAlignment="1">
      <alignment vertical="center"/>
    </xf>
    <xf numFmtId="0" fontId="5" fillId="18" borderId="17" xfId="0" applyFont="1" applyFill="1" applyBorder="1" applyAlignment="1">
      <alignment horizontal="left" vertical="top" wrapText="1"/>
    </xf>
    <xf numFmtId="0" fontId="22" fillId="0" borderId="21" xfId="0" applyFont="1" applyBorder="1" applyAlignment="1">
      <alignment horizontal="center" vertical="top"/>
    </xf>
    <xf numFmtId="2" fontId="5" fillId="0" borderId="1" xfId="0" applyNumberFormat="1" applyFont="1" applyBorder="1" applyAlignment="1">
      <alignment horizontal="center" vertical="center"/>
    </xf>
    <xf numFmtId="0" fontId="10" fillId="20" borderId="2" xfId="0" applyFont="1" applyFill="1" applyBorder="1" applyAlignment="1">
      <alignment horizontal="center" vertical="top"/>
    </xf>
    <xf numFmtId="0" fontId="4" fillId="5" borderId="3" xfId="2" applyFont="1" applyFill="1" applyBorder="1" applyAlignment="1">
      <alignment horizontal="center" vertical="center"/>
    </xf>
    <xf numFmtId="0" fontId="10" fillId="16" borderId="5" xfId="0" applyFont="1" applyFill="1" applyBorder="1" applyAlignment="1">
      <alignment horizontal="center" vertical="center"/>
    </xf>
    <xf numFmtId="0" fontId="4" fillId="0" borderId="10" xfId="0" applyFont="1" applyBorder="1" applyAlignment="1">
      <alignment horizontal="center" vertical="top"/>
    </xf>
    <xf numFmtId="0" fontId="5" fillId="0" borderId="1" xfId="0" applyFont="1" applyBorder="1" applyAlignment="1" applyProtection="1">
      <alignment horizontal="center" vertical="top"/>
      <protection locked="0"/>
    </xf>
    <xf numFmtId="0" fontId="14"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xf>
    <xf numFmtId="0" fontId="10" fillId="14" borderId="1" xfId="0" applyFont="1" applyFill="1" applyBorder="1" applyAlignment="1">
      <alignment horizontal="center" vertical="center"/>
    </xf>
    <xf numFmtId="0" fontId="10" fillId="14" borderId="1" xfId="0" applyFont="1" applyFill="1" applyBorder="1" applyAlignment="1">
      <alignment horizontal="center" vertical="center" wrapText="1"/>
    </xf>
    <xf numFmtId="0" fontId="5" fillId="9" borderId="1" xfId="0" applyFont="1" applyFill="1" applyBorder="1" applyAlignment="1">
      <alignment horizontal="center" vertical="center"/>
    </xf>
    <xf numFmtId="0" fontId="9" fillId="9" borderId="7" xfId="0" applyFont="1" applyFill="1" applyBorder="1" applyAlignment="1">
      <alignment vertical="center" wrapText="1"/>
    </xf>
    <xf numFmtId="0" fontId="9" fillId="9" borderId="5" xfId="0" applyFont="1" applyFill="1" applyBorder="1" applyAlignment="1">
      <alignment vertical="center" wrapText="1"/>
    </xf>
    <xf numFmtId="0" fontId="9" fillId="9" borderId="5" xfId="0" applyFont="1" applyFill="1" applyBorder="1" applyAlignment="1">
      <alignment horizontal="left" vertical="center" wrapText="1"/>
    </xf>
    <xf numFmtId="0" fontId="4" fillId="9" borderId="5" xfId="0" applyFont="1" applyFill="1" applyBorder="1" applyAlignment="1">
      <alignment vertical="center"/>
    </xf>
    <xf numFmtId="0" fontId="4" fillId="9" borderId="6" xfId="0" applyFont="1" applyFill="1" applyBorder="1" applyAlignment="1">
      <alignment vertical="center"/>
    </xf>
    <xf numFmtId="0" fontId="5" fillId="10" borderId="1" xfId="0" applyFont="1" applyFill="1" applyBorder="1" applyAlignment="1">
      <alignment horizontal="center" vertical="center"/>
    </xf>
    <xf numFmtId="0" fontId="11" fillId="10" borderId="1" xfId="0" applyFont="1" applyFill="1" applyBorder="1" applyAlignment="1">
      <alignment vertical="center" wrapText="1"/>
    </xf>
    <xf numFmtId="0" fontId="11" fillId="10" borderId="6" xfId="0" applyFont="1" applyFill="1" applyBorder="1" applyAlignment="1">
      <alignment vertical="center" wrapText="1"/>
    </xf>
    <xf numFmtId="0" fontId="11" fillId="10" borderId="8" xfId="0" applyFont="1" applyFill="1" applyBorder="1" applyAlignment="1">
      <alignment horizontal="left" vertical="center" wrapText="1"/>
    </xf>
    <xf numFmtId="0" fontId="5" fillId="10" borderId="1" xfId="1" applyFont="1" applyFill="1" applyBorder="1" applyAlignment="1">
      <alignment horizontal="center" vertical="center"/>
    </xf>
    <xf numFmtId="0" fontId="4" fillId="10" borderId="1" xfId="0" applyFont="1" applyFill="1" applyBorder="1" applyAlignment="1">
      <alignment vertical="center"/>
    </xf>
    <xf numFmtId="0" fontId="4" fillId="12" borderId="1" xfId="0" applyFont="1" applyFill="1" applyBorder="1" applyAlignment="1">
      <alignment horizontal="center" vertical="center"/>
    </xf>
    <xf numFmtId="0" fontId="4" fillId="12" borderId="1" xfId="0" applyFont="1" applyFill="1" applyBorder="1" applyAlignment="1">
      <alignment vertical="center"/>
    </xf>
    <xf numFmtId="49" fontId="5" fillId="10" borderId="1" xfId="1" applyNumberFormat="1" applyFont="1" applyFill="1" applyBorder="1" applyAlignment="1">
      <alignment horizontal="center" vertical="center"/>
    </xf>
    <xf numFmtId="0" fontId="5" fillId="10" borderId="1" xfId="1" applyFont="1" applyFill="1" applyBorder="1" applyAlignment="1">
      <alignment vertical="center" wrapText="1"/>
    </xf>
    <xf numFmtId="0" fontId="5" fillId="10" borderId="6" xfId="1" applyFont="1" applyFill="1" applyBorder="1" applyAlignment="1">
      <alignment vertical="center" wrapText="1"/>
    </xf>
    <xf numFmtId="0" fontId="5" fillId="10" borderId="6" xfId="1" applyFont="1" applyFill="1" applyBorder="1" applyAlignment="1">
      <alignment horizontal="left" vertical="center" wrapText="1"/>
    </xf>
    <xf numFmtId="0" fontId="4" fillId="13" borderId="7" xfId="1" applyFont="1" applyFill="1" applyBorder="1" applyAlignment="1">
      <alignment vertical="center" wrapText="1"/>
    </xf>
    <xf numFmtId="0" fontId="4" fillId="33" borderId="1" xfId="1" applyFont="1" applyFill="1" applyBorder="1" applyAlignment="1">
      <alignment vertical="center" wrapText="1"/>
    </xf>
    <xf numFmtId="0" fontId="4" fillId="0" borderId="7" xfId="1" applyFont="1" applyBorder="1" applyAlignment="1">
      <alignment vertical="center" wrapText="1"/>
    </xf>
    <xf numFmtId="1" fontId="11" fillId="0" borderId="1" xfId="1" applyNumberFormat="1" applyFont="1" applyBorder="1" applyAlignment="1">
      <alignment horizontal="center" vertical="center" wrapText="1"/>
    </xf>
    <xf numFmtId="49" fontId="4" fillId="12" borderId="3" xfId="1" applyNumberFormat="1" applyFont="1" applyFill="1" applyBorder="1" applyAlignment="1">
      <alignment horizontal="center" vertical="center"/>
    </xf>
    <xf numFmtId="0" fontId="4" fillId="12" borderId="8" xfId="0" applyFont="1" applyFill="1" applyBorder="1" applyAlignment="1">
      <alignment horizontal="center" vertical="center"/>
    </xf>
    <xf numFmtId="0" fontId="5" fillId="9" borderId="11" xfId="0" applyFont="1" applyFill="1" applyBorder="1" applyAlignment="1">
      <alignment vertical="center"/>
    </xf>
    <xf numFmtId="0" fontId="5" fillId="9" borderId="5" xfId="0" applyFont="1" applyFill="1" applyBorder="1" applyAlignment="1">
      <alignment vertical="center"/>
    </xf>
    <xf numFmtId="0" fontId="5" fillId="9" borderId="5" xfId="0" applyFont="1" applyFill="1" applyBorder="1" applyAlignment="1">
      <alignment horizontal="left" vertical="center"/>
    </xf>
    <xf numFmtId="0" fontId="5" fillId="9" borderId="12" xfId="0" applyFont="1" applyFill="1" applyBorder="1" applyAlignment="1">
      <alignment vertical="center" wrapText="1"/>
    </xf>
    <xf numFmtId="0" fontId="5" fillId="9" borderId="6" xfId="0" applyFont="1" applyFill="1" applyBorder="1" applyAlignment="1">
      <alignment vertical="center" wrapText="1"/>
    </xf>
    <xf numFmtId="0" fontId="5" fillId="10" borderId="1" xfId="0" applyFont="1" applyFill="1" applyBorder="1" applyAlignment="1">
      <alignment vertical="center" wrapText="1"/>
    </xf>
    <xf numFmtId="0" fontId="5" fillId="10" borderId="8" xfId="0" applyFont="1" applyFill="1" applyBorder="1" applyAlignment="1">
      <alignment vertical="center" wrapText="1"/>
    </xf>
    <xf numFmtId="0" fontId="5" fillId="10" borderId="8" xfId="0" applyFont="1" applyFill="1" applyBorder="1" applyAlignment="1">
      <alignment horizontal="left" vertical="center" wrapText="1"/>
    </xf>
    <xf numFmtId="0" fontId="4" fillId="12" borderId="0" xfId="0" applyFont="1" applyFill="1" applyAlignment="1">
      <alignment vertical="center"/>
    </xf>
    <xf numFmtId="0" fontId="4" fillId="12" borderId="6" xfId="0" applyFont="1" applyFill="1" applyBorder="1" applyAlignment="1">
      <alignment vertical="center"/>
    </xf>
    <xf numFmtId="0" fontId="5" fillId="10" borderId="6" xfId="0" applyFont="1" applyFill="1" applyBorder="1" applyAlignment="1">
      <alignment vertical="center" wrapText="1"/>
    </xf>
    <xf numFmtId="0" fontId="5" fillId="10" borderId="6" xfId="0" applyFont="1" applyFill="1" applyBorder="1" applyAlignment="1">
      <alignment horizontal="left" vertical="center" wrapText="1"/>
    </xf>
    <xf numFmtId="0" fontId="4" fillId="0" borderId="3" xfId="0" applyFont="1" applyBorder="1" applyAlignment="1">
      <alignment vertical="center" wrapText="1"/>
    </xf>
    <xf numFmtId="0" fontId="4" fillId="13" borderId="2" xfId="1" applyFont="1" applyFill="1" applyBorder="1" applyAlignment="1">
      <alignment horizontal="center" vertical="center" wrapText="1"/>
    </xf>
    <xf numFmtId="0" fontId="5" fillId="9" borderId="12" xfId="0" applyFont="1" applyFill="1" applyBorder="1" applyAlignment="1">
      <alignment vertical="center"/>
    </xf>
    <xf numFmtId="0" fontId="5" fillId="9" borderId="12" xfId="0" applyFont="1" applyFill="1" applyBorder="1" applyAlignment="1">
      <alignment horizontal="left" vertical="center"/>
    </xf>
    <xf numFmtId="0" fontId="4" fillId="10" borderId="6" xfId="0" applyFont="1" applyFill="1" applyBorder="1" applyAlignment="1">
      <alignment vertical="center"/>
    </xf>
    <xf numFmtId="0" fontId="4" fillId="33"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10" fillId="14" borderId="9" xfId="0" applyFont="1" applyFill="1" applyBorder="1" applyAlignment="1">
      <alignment horizontal="center" vertical="center"/>
    </xf>
    <xf numFmtId="0" fontId="5" fillId="14" borderId="9" xfId="0" applyFont="1" applyFill="1" applyBorder="1" applyAlignment="1">
      <alignment horizontal="center" vertical="center"/>
    </xf>
    <xf numFmtId="0" fontId="5" fillId="9" borderId="1" xfId="2" applyFont="1" applyFill="1" applyBorder="1" applyAlignment="1">
      <alignment horizontal="center" vertical="center"/>
    </xf>
    <xf numFmtId="0" fontId="5" fillId="9" borderId="5" xfId="2" applyFont="1" applyFill="1" applyBorder="1" applyAlignment="1">
      <alignment horizontal="left" vertical="center"/>
    </xf>
    <xf numFmtId="0" fontId="5" fillId="9" borderId="7" xfId="2" applyFont="1" applyFill="1" applyBorder="1" applyAlignment="1">
      <alignment horizontal="center" vertical="center" wrapText="1"/>
    </xf>
    <xf numFmtId="0" fontId="5" fillId="10" borderId="1" xfId="2" applyFont="1" applyFill="1" applyBorder="1" applyAlignment="1">
      <alignment horizontal="center" vertical="center"/>
    </xf>
    <xf numFmtId="0" fontId="5" fillId="10" borderId="1" xfId="2" applyFont="1" applyFill="1" applyBorder="1" applyAlignment="1">
      <alignment vertical="center" wrapText="1"/>
    </xf>
    <xf numFmtId="0" fontId="5" fillId="10" borderId="3" xfId="2" applyFont="1" applyFill="1" applyBorder="1" applyAlignment="1">
      <alignment vertical="center" wrapText="1"/>
    </xf>
    <xf numFmtId="0" fontId="4" fillId="10" borderId="3" xfId="0" applyFont="1" applyFill="1" applyBorder="1" applyAlignment="1">
      <alignment vertical="center"/>
    </xf>
    <xf numFmtId="0" fontId="4" fillId="0" borderId="7" xfId="2" applyFont="1" applyBorder="1" applyAlignment="1">
      <alignment vertical="center" wrapText="1"/>
    </xf>
    <xf numFmtId="0" fontId="4" fillId="33" borderId="1" xfId="2" applyFont="1" applyFill="1" applyBorder="1" applyAlignment="1">
      <alignment vertical="center" wrapText="1"/>
    </xf>
    <xf numFmtId="0" fontId="4" fillId="0" borderId="1" xfId="2" applyFont="1" applyBorder="1" applyAlignment="1">
      <alignment vertical="center" wrapText="1"/>
    </xf>
    <xf numFmtId="0" fontId="4" fillId="0" borderId="7" xfId="2" applyFont="1" applyBorder="1" applyAlignment="1">
      <alignment horizontal="center" vertical="center" wrapText="1"/>
    </xf>
    <xf numFmtId="0" fontId="4" fillId="12" borderId="1" xfId="2" applyFont="1" applyFill="1" applyBorder="1" applyAlignment="1">
      <alignment horizontal="center" vertical="center"/>
    </xf>
    <xf numFmtId="0" fontId="5" fillId="10" borderId="1" xfId="2" applyFont="1" applyFill="1" applyBorder="1" applyAlignment="1">
      <alignment horizontal="center" vertical="center" wrapText="1"/>
    </xf>
    <xf numFmtId="0" fontId="4" fillId="0" borderId="3" xfId="2" quotePrefix="1" applyFont="1" applyBorder="1" applyAlignment="1">
      <alignment horizontal="justify" vertical="center" wrapText="1"/>
    </xf>
    <xf numFmtId="0" fontId="4" fillId="12" borderId="9" xfId="0" applyFont="1" applyFill="1" applyBorder="1" applyAlignment="1">
      <alignment vertical="center"/>
    </xf>
    <xf numFmtId="0" fontId="5" fillId="9" borderId="1" xfId="2" applyFont="1" applyFill="1" applyBorder="1" applyAlignment="1">
      <alignment vertical="center"/>
    </xf>
    <xf numFmtId="0" fontId="5" fillId="9" borderId="6" xfId="2" applyFont="1" applyFill="1" applyBorder="1" applyAlignment="1">
      <alignment vertical="center"/>
    </xf>
    <xf numFmtId="0" fontId="11" fillId="10" borderId="1" xfId="2" applyFont="1" applyFill="1" applyBorder="1" applyAlignment="1">
      <alignment horizontal="center" vertical="center" wrapText="1"/>
    </xf>
    <xf numFmtId="0" fontId="4" fillId="0" borderId="2" xfId="2" applyFont="1" applyBorder="1" applyAlignment="1">
      <alignment vertical="center" wrapText="1"/>
    </xf>
    <xf numFmtId="0" fontId="11" fillId="0" borderId="2" xfId="0" applyFont="1" applyBorder="1" applyAlignment="1">
      <alignment horizontal="center" vertical="center"/>
    </xf>
    <xf numFmtId="0" fontId="5" fillId="10" borderId="3" xfId="2" applyFont="1" applyFill="1" applyBorder="1" applyAlignment="1">
      <alignment horizontal="center" vertical="center"/>
    </xf>
    <xf numFmtId="0" fontId="5" fillId="10" borderId="3" xfId="2" applyFont="1" applyFill="1" applyBorder="1" applyAlignment="1">
      <alignment horizontal="justify" vertical="center" wrapText="1"/>
    </xf>
    <xf numFmtId="0" fontId="5" fillId="10" borderId="3" xfId="2" applyFont="1" applyFill="1" applyBorder="1" applyAlignment="1">
      <alignment horizontal="center" vertical="center" wrapText="1"/>
    </xf>
    <xf numFmtId="0" fontId="4" fillId="10" borderId="3" xfId="2" applyFont="1" applyFill="1" applyBorder="1" applyAlignment="1">
      <alignment horizontal="center" vertical="center"/>
    </xf>
    <xf numFmtId="0" fontId="4" fillId="10" borderId="3" xfId="2" applyFont="1" applyFill="1" applyBorder="1" applyAlignment="1">
      <alignment vertical="center" wrapText="1"/>
    </xf>
    <xf numFmtId="0" fontId="4" fillId="10" borderId="1" xfId="2" applyFont="1" applyFill="1" applyBorder="1" applyAlignment="1">
      <alignment horizontal="center" vertical="center"/>
    </xf>
    <xf numFmtId="0" fontId="4" fillId="10" borderId="1" xfId="2" applyFont="1" applyFill="1" applyBorder="1" applyAlignment="1">
      <alignment vertical="center" wrapText="1"/>
    </xf>
    <xf numFmtId="0" fontId="11" fillId="10" borderId="1" xfId="2" applyFont="1" applyFill="1" applyBorder="1" applyAlignment="1">
      <alignment horizontal="justify" vertical="center" wrapText="1"/>
    </xf>
    <xf numFmtId="1" fontId="11" fillId="11" borderId="1" xfId="1" applyNumberFormat="1"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11" fillId="11"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1" borderId="1" xfId="0" applyNumberFormat="1" applyFont="1" applyFill="1" applyBorder="1" applyAlignment="1" applyProtection="1">
      <alignment horizontal="center" vertical="center" wrapText="1"/>
      <protection locked="0"/>
    </xf>
    <xf numFmtId="0" fontId="18" fillId="30" borderId="1" xfId="0" applyFont="1" applyFill="1" applyBorder="1" applyAlignment="1">
      <alignment vertical="center"/>
    </xf>
    <xf numFmtId="0" fontId="11" fillId="32" borderId="1" xfId="0" applyFont="1" applyFill="1" applyBorder="1" applyAlignment="1">
      <alignment vertical="center"/>
    </xf>
    <xf numFmtId="0" fontId="10" fillId="32" borderId="1" xfId="0" applyFont="1" applyFill="1" applyBorder="1" applyAlignment="1">
      <alignment vertical="center"/>
    </xf>
    <xf numFmtId="0" fontId="4" fillId="0" borderId="1" xfId="0" applyFont="1" applyBorder="1"/>
    <xf numFmtId="0" fontId="4" fillId="0" borderId="1" xfId="0" quotePrefix="1" applyFont="1" applyBorder="1" applyAlignment="1">
      <alignment vertical="center" wrapText="1"/>
    </xf>
    <xf numFmtId="1" fontId="11" fillId="31" borderId="1" xfId="1" applyNumberFormat="1" applyFont="1" applyFill="1" applyBorder="1" applyAlignment="1" applyProtection="1">
      <alignment horizontal="center" vertical="center" wrapText="1"/>
      <protection locked="0"/>
    </xf>
    <xf numFmtId="0" fontId="3" fillId="0" borderId="0" xfId="0" applyFont="1"/>
    <xf numFmtId="0" fontId="7" fillId="0" borderId="0" xfId="0" applyFont="1"/>
    <xf numFmtId="0" fontId="8" fillId="3" borderId="1" xfId="0" applyFont="1" applyFill="1" applyBorder="1" applyAlignment="1">
      <alignment horizontal="center" vertical="center"/>
    </xf>
    <xf numFmtId="0" fontId="7" fillId="0" borderId="1" xfId="0" applyFont="1" applyBorder="1" applyAlignment="1">
      <alignment horizont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2" fontId="7" fillId="0" borderId="1" xfId="0" applyNumberFormat="1" applyFont="1" applyBorder="1" applyAlignment="1">
      <alignment horizontal="center" vertical="center"/>
    </xf>
    <xf numFmtId="2" fontId="7" fillId="0" borderId="1" xfId="0" applyNumberFormat="1" applyFont="1" applyBorder="1" applyAlignment="1">
      <alignment horizontal="center"/>
    </xf>
    <xf numFmtId="0" fontId="34" fillId="29" borderId="15" xfId="0" applyFont="1" applyFill="1" applyBorder="1" applyAlignment="1">
      <alignment horizontal="left"/>
    </xf>
    <xf numFmtId="0" fontId="34" fillId="29" borderId="0" xfId="0" applyFont="1" applyFill="1" applyAlignment="1">
      <alignment horizontal="left"/>
    </xf>
    <xf numFmtId="0" fontId="34" fillId="29" borderId="27" xfId="0" applyFont="1" applyFill="1" applyBorder="1" applyAlignment="1">
      <alignment horizontal="left"/>
    </xf>
    <xf numFmtId="0" fontId="34" fillId="29" borderId="11" xfId="0" applyFont="1" applyFill="1" applyBorder="1" applyAlignment="1">
      <alignment horizontal="center" wrapText="1"/>
    </xf>
    <xf numFmtId="0" fontId="34" fillId="29" borderId="12" xfId="0" applyFont="1" applyFill="1" applyBorder="1" applyAlignment="1">
      <alignment horizontal="center"/>
    </xf>
    <xf numFmtId="0" fontId="34" fillId="29" borderId="8" xfId="0" applyFont="1" applyFill="1" applyBorder="1" applyAlignment="1">
      <alignment horizontal="center"/>
    </xf>
    <xf numFmtId="0" fontId="36" fillId="0" borderId="1" xfId="0" applyFont="1" applyBorder="1"/>
    <xf numFmtId="0" fontId="36" fillId="0" borderId="1" xfId="0" applyFont="1" applyBorder="1" applyAlignment="1">
      <alignment vertical="center"/>
    </xf>
    <xf numFmtId="0" fontId="36" fillId="0" borderId="1" xfId="0" applyFont="1" applyBorder="1" applyAlignment="1" applyProtection="1">
      <alignment horizontal="justify" vertical="center" wrapText="1"/>
      <protection locked="0"/>
    </xf>
    <xf numFmtId="3" fontId="39" fillId="0" borderId="1" xfId="0" applyNumberFormat="1" applyFont="1" applyBorder="1" applyAlignment="1" applyProtection="1">
      <alignment horizontal="justify" vertical="center" wrapText="1"/>
      <protection locked="0"/>
    </xf>
    <xf numFmtId="0" fontId="39" fillId="0" borderId="1" xfId="0" applyFont="1" applyBorder="1" applyAlignment="1" applyProtection="1">
      <alignment vertical="center" wrapText="1"/>
      <protection locked="0"/>
    </xf>
    <xf numFmtId="0" fontId="39" fillId="0" borderId="1" xfId="0" applyFont="1" applyBorder="1" applyAlignment="1" applyProtection="1">
      <alignment horizontal="left" vertical="center" wrapText="1"/>
      <protection locked="0"/>
    </xf>
    <xf numFmtId="2" fontId="40" fillId="0" borderId="1" xfId="0" applyNumberFormat="1" applyFont="1" applyBorder="1" applyAlignment="1" applyProtection="1">
      <alignment horizontal="left" vertical="center" wrapText="1"/>
      <protection locked="0"/>
    </xf>
    <xf numFmtId="165" fontId="39" fillId="0" borderId="1" xfId="0" applyNumberFormat="1" applyFont="1" applyBorder="1" applyAlignment="1" applyProtection="1">
      <alignment horizontal="left" vertical="center" wrapText="1"/>
      <protection locked="0"/>
    </xf>
    <xf numFmtId="164" fontId="39"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0" fillId="0" borderId="0" xfId="0" applyProtection="1">
      <protection locked="0"/>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0" fillId="0" borderId="1" xfId="0" applyBorder="1" applyAlignment="1">
      <alignment horizontal="center" vertical="center"/>
    </xf>
    <xf numFmtId="0" fontId="4" fillId="0" borderId="4" xfId="2"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2" applyFont="1" applyBorder="1" applyAlignment="1">
      <alignment horizontal="center" vertical="center"/>
    </xf>
    <xf numFmtId="49" fontId="4" fillId="13" borderId="1" xfId="1" applyNumberFormat="1" applyFont="1" applyFill="1" applyBorder="1" applyAlignment="1">
      <alignment horizontal="center" vertical="center"/>
    </xf>
    <xf numFmtId="0" fontId="5" fillId="0" borderId="1" xfId="0" applyFont="1" applyBorder="1" applyAlignment="1">
      <alignment horizontal="center" vertical="top"/>
    </xf>
    <xf numFmtId="0" fontId="4" fillId="0" borderId="3" xfId="0" applyFont="1" applyBorder="1" applyAlignment="1">
      <alignment horizontal="center" vertical="center"/>
    </xf>
    <xf numFmtId="0" fontId="4" fillId="0" borderId="1" xfId="0" applyFont="1" applyBorder="1" applyAlignment="1">
      <alignment horizontal="center" vertical="top"/>
    </xf>
    <xf numFmtId="0" fontId="5" fillId="0" borderId="1" xfId="0" applyFont="1" applyBorder="1" applyAlignment="1">
      <alignment horizontal="center" vertical="center"/>
    </xf>
    <xf numFmtId="0" fontId="10" fillId="20" borderId="1" xfId="0" applyFont="1" applyFill="1" applyBorder="1" applyAlignment="1">
      <alignment horizontal="left" vertical="top" wrapText="1"/>
    </xf>
    <xf numFmtId="0" fontId="11" fillId="22" borderId="1" xfId="0" applyFont="1" applyFill="1" applyBorder="1" applyAlignment="1">
      <alignment horizontal="left" vertical="top" wrapText="1"/>
    </xf>
    <xf numFmtId="0" fontId="4" fillId="33"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2" applyFont="1" applyBorder="1" applyAlignment="1">
      <alignment horizontal="center" vertical="center"/>
    </xf>
    <xf numFmtId="0" fontId="35" fillId="0" borderId="0" xfId="0" applyFont="1" applyProtection="1">
      <protection locked="0"/>
    </xf>
    <xf numFmtId="0" fontId="37" fillId="0" borderId="0" xfId="0" applyFont="1" applyProtection="1">
      <protection locked="0"/>
    </xf>
    <xf numFmtId="0" fontId="33" fillId="0" borderId="0" xfId="0" applyFont="1" applyProtection="1">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2" fillId="0" borderId="0" xfId="0" applyFont="1" applyProtection="1">
      <protection locked="0"/>
    </xf>
    <xf numFmtId="0" fontId="5" fillId="2" borderId="1" xfId="0" applyFont="1" applyFill="1" applyBorder="1" applyAlignment="1" applyProtection="1">
      <alignment horizontal="center" vertical="center" wrapText="1"/>
      <protection locked="0"/>
    </xf>
    <xf numFmtId="0" fontId="18" fillId="30" borderId="1" xfId="0" applyFont="1" applyFill="1" applyBorder="1" applyAlignment="1" applyProtection="1">
      <alignment vertical="center"/>
      <protection locked="0"/>
    </xf>
    <xf numFmtId="0" fontId="0" fillId="0" borderId="0" xfId="0" applyAlignment="1" applyProtection="1">
      <alignment horizontal="center" vertical="center"/>
      <protection locked="0"/>
    </xf>
    <xf numFmtId="0" fontId="4" fillId="0" borderId="0" xfId="0" applyFont="1" applyProtection="1">
      <protection locked="0"/>
    </xf>
    <xf numFmtId="0" fontId="11" fillId="11" borderId="1" xfId="0" applyFont="1" applyFill="1" applyBorder="1" applyAlignment="1">
      <alignment horizontal="center" vertical="center"/>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0" fillId="19" borderId="0" xfId="0" applyFill="1" applyProtection="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0" fontId="4" fillId="0" borderId="1" xfId="0" applyFont="1" applyBorder="1" applyAlignment="1" applyProtection="1">
      <alignment vertical="top" wrapText="1"/>
      <protection locked="0"/>
    </xf>
    <xf numFmtId="0" fontId="2" fillId="0" borderId="1" xfId="0" applyFont="1" applyBorder="1" applyAlignment="1">
      <alignment horizontal="center"/>
    </xf>
    <xf numFmtId="0" fontId="15" fillId="0" borderId="1" xfId="0" applyFont="1" applyBorder="1" applyAlignment="1">
      <alignment horizontal="center"/>
    </xf>
    <xf numFmtId="0" fontId="15" fillId="15" borderId="1" xfId="0" applyFont="1" applyFill="1" applyBorder="1" applyAlignment="1">
      <alignment horizontal="center" wrapText="1"/>
    </xf>
    <xf numFmtId="0" fontId="0" fillId="0" borderId="1" xfId="0" applyBorder="1" applyAlignment="1">
      <alignment horizontal="center"/>
    </xf>
    <xf numFmtId="2" fontId="10" fillId="2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32" fillId="7" borderId="2" xfId="0" applyFont="1" applyFill="1" applyBorder="1" applyAlignment="1">
      <alignment horizontal="right" vertical="center"/>
    </xf>
    <xf numFmtId="2" fontId="12" fillId="13" borderId="1" xfId="4" applyNumberFormat="1" applyFont="1" applyFill="1" applyBorder="1" applyAlignment="1" applyProtection="1">
      <alignment horizontal="center" vertical="center" wrapText="1"/>
    </xf>
    <xf numFmtId="0" fontId="4" fillId="34" borderId="1" xfId="4" applyFont="1" applyBorder="1" applyAlignment="1" applyProtection="1">
      <alignment horizontal="center" vertical="center"/>
      <protection locked="0"/>
    </xf>
    <xf numFmtId="2" fontId="4" fillId="34" borderId="1" xfId="4" applyNumberFormat="1" applyFont="1" applyBorder="1" applyAlignment="1" applyProtection="1">
      <alignment horizontal="center" vertical="center"/>
      <protection locked="0"/>
    </xf>
    <xf numFmtId="0" fontId="0" fillId="0" borderId="0" xfId="0" applyAlignment="1">
      <alignment wrapText="1"/>
    </xf>
    <xf numFmtId="0" fontId="4" fillId="0" borderId="0" xfId="0" applyFont="1" applyAlignment="1" applyProtection="1">
      <alignment wrapText="1"/>
      <protection locked="0"/>
    </xf>
    <xf numFmtId="2" fontId="12" fillId="0" borderId="1" xfId="4" applyNumberFormat="1" applyFont="1" applyFill="1" applyBorder="1" applyAlignment="1" applyProtection="1">
      <alignment horizontal="center" vertical="center" wrapText="1"/>
    </xf>
    <xf numFmtId="2" fontId="4" fillId="0" borderId="0" xfId="0" applyNumberFormat="1" applyFont="1" applyAlignment="1">
      <alignment horizontal="center"/>
    </xf>
    <xf numFmtId="0" fontId="4" fillId="0" borderId="0" xfId="0" applyFont="1" applyAlignment="1">
      <alignment horizontal="center"/>
    </xf>
    <xf numFmtId="2" fontId="4" fillId="15" borderId="0" xfId="0" applyNumberFormat="1" applyFont="1" applyFill="1" applyAlignment="1">
      <alignment horizontal="center"/>
    </xf>
    <xf numFmtId="0" fontId="6" fillId="8" borderId="1" xfId="0" applyFont="1" applyFill="1" applyBorder="1" applyAlignment="1" applyProtection="1">
      <alignment horizontal="center" vertical="center"/>
      <protection locked="0"/>
    </xf>
    <xf numFmtId="0" fontId="0" fillId="0" borderId="1" xfId="0" applyBorder="1" applyAlignment="1" applyProtection="1">
      <alignment vertical="top"/>
      <protection locked="0"/>
    </xf>
    <xf numFmtId="0" fontId="21" fillId="0" borderId="1" xfId="0" applyFont="1" applyBorder="1" applyAlignment="1">
      <alignment horizontal="center" vertical="center" wrapText="1"/>
    </xf>
    <xf numFmtId="0" fontId="21" fillId="0" borderId="1" xfId="0" applyFont="1" applyBorder="1" applyAlignment="1" applyProtection="1">
      <alignment vertical="center" wrapText="1"/>
      <protection locked="0"/>
    </xf>
    <xf numFmtId="0" fontId="12" fillId="0" borderId="1" xfId="0" applyFont="1" applyBorder="1" applyAlignment="1" applyProtection="1">
      <alignment horizontal="center" vertical="center"/>
      <protection locked="0"/>
    </xf>
    <xf numFmtId="1" fontId="12" fillId="0" borderId="1" xfId="1" applyNumberFormat="1" applyFont="1" applyBorder="1" applyAlignment="1" applyProtection="1">
      <alignment horizontal="center" vertical="center" wrapText="1"/>
      <protection locked="0"/>
    </xf>
    <xf numFmtId="2" fontId="5" fillId="3" borderId="1" xfId="0" applyNumberFormat="1" applyFont="1" applyFill="1" applyBorder="1" applyAlignment="1">
      <alignment horizontal="center" vertical="center" wrapText="1"/>
    </xf>
    <xf numFmtId="2" fontId="10" fillId="14" borderId="1" xfId="0" applyNumberFormat="1" applyFont="1" applyFill="1" applyBorder="1" applyAlignment="1">
      <alignment horizontal="center" vertical="center"/>
    </xf>
    <xf numFmtId="2" fontId="4" fillId="9" borderId="5" xfId="0" applyNumberFormat="1" applyFont="1" applyFill="1" applyBorder="1" applyAlignment="1">
      <alignment vertical="center"/>
    </xf>
    <xf numFmtId="2" fontId="4" fillId="10" borderId="1" xfId="0" applyNumberFormat="1" applyFont="1" applyFill="1" applyBorder="1" applyAlignment="1">
      <alignment vertical="center"/>
    </xf>
    <xf numFmtId="2" fontId="11" fillId="0" borderId="1" xfId="0" applyNumberFormat="1" applyFont="1" applyBorder="1" applyAlignment="1">
      <alignment horizontal="center" vertical="center" wrapText="1"/>
    </xf>
    <xf numFmtId="2" fontId="11" fillId="12" borderId="2" xfId="0" applyNumberFormat="1" applyFont="1" applyFill="1" applyBorder="1" applyAlignment="1">
      <alignment horizontal="center" vertical="center" wrapText="1"/>
    </xf>
    <xf numFmtId="2" fontId="5" fillId="10" borderId="1" xfId="0" applyNumberFormat="1" applyFont="1" applyFill="1" applyBorder="1" applyAlignment="1">
      <alignment horizontal="center" vertical="center"/>
    </xf>
    <xf numFmtId="2" fontId="4" fillId="0" borderId="1" xfId="0" applyNumberFormat="1" applyFont="1" applyBorder="1" applyAlignment="1">
      <alignment vertical="center"/>
    </xf>
    <xf numFmtId="2" fontId="5" fillId="9" borderId="5" xfId="0" applyNumberFormat="1" applyFont="1" applyFill="1" applyBorder="1" applyAlignment="1">
      <alignment vertical="center" wrapText="1"/>
    </xf>
    <xf numFmtId="2" fontId="4" fillId="10" borderId="7" xfId="0" applyNumberFormat="1" applyFont="1" applyFill="1" applyBorder="1" applyAlignment="1">
      <alignment vertical="center"/>
    </xf>
    <xf numFmtId="2" fontId="11" fillId="0" borderId="13" xfId="0" applyNumberFormat="1" applyFont="1" applyBorder="1" applyAlignment="1">
      <alignment horizontal="center" vertical="center" wrapText="1"/>
    </xf>
    <xf numFmtId="2" fontId="11" fillId="12" borderId="1" xfId="0" applyNumberFormat="1" applyFont="1" applyFill="1" applyBorder="1" applyAlignment="1">
      <alignment horizontal="center" vertical="center" wrapText="1"/>
    </xf>
    <xf numFmtId="2" fontId="5" fillId="9" borderId="12" xfId="0" applyNumberFormat="1" applyFont="1" applyFill="1" applyBorder="1" applyAlignment="1">
      <alignment vertical="center" wrapText="1"/>
    </xf>
    <xf numFmtId="2" fontId="4" fillId="10" borderId="11" xfId="0" applyNumberFormat="1" applyFont="1" applyFill="1" applyBorder="1" applyAlignment="1">
      <alignment vertical="center"/>
    </xf>
    <xf numFmtId="2" fontId="4" fillId="0" borderId="1" xfId="2" applyNumberFormat="1" applyFont="1" applyBorder="1" applyAlignment="1">
      <alignment horizontal="center" vertical="center" wrapText="1"/>
    </xf>
    <xf numFmtId="2" fontId="10" fillId="14" borderId="9" xfId="0" applyNumberFormat="1" applyFont="1" applyFill="1" applyBorder="1" applyAlignment="1">
      <alignment horizontal="center" vertical="center"/>
    </xf>
    <xf numFmtId="2" fontId="5" fillId="9" borderId="5" xfId="2" applyNumberFormat="1" applyFont="1" applyFill="1" applyBorder="1" applyAlignment="1">
      <alignment horizontal="center" vertical="center" wrapText="1"/>
    </xf>
    <xf numFmtId="2" fontId="4" fillId="10" borderId="3" xfId="2" applyNumberFormat="1" applyFont="1" applyFill="1" applyBorder="1" applyAlignment="1">
      <alignment horizontal="center" vertical="center" wrapText="1"/>
    </xf>
    <xf numFmtId="2" fontId="4" fillId="0" borderId="1" xfId="2" applyNumberFormat="1" applyFont="1" applyBorder="1" applyAlignment="1">
      <alignment vertical="center" wrapText="1"/>
    </xf>
    <xf numFmtId="2" fontId="5" fillId="12" borderId="1" xfId="0" applyNumberFormat="1" applyFont="1" applyFill="1" applyBorder="1" applyAlignment="1">
      <alignment horizontal="center" vertical="center"/>
    </xf>
    <xf numFmtId="2" fontId="5" fillId="10" borderId="1" xfId="2" applyNumberFormat="1" applyFont="1" applyFill="1" applyBorder="1" applyAlignment="1">
      <alignment horizontal="center" vertical="center" wrapText="1"/>
    </xf>
    <xf numFmtId="2" fontId="4" fillId="9" borderId="5" xfId="2" applyNumberFormat="1" applyFont="1" applyFill="1" applyBorder="1" applyAlignment="1">
      <alignment horizontal="center" vertical="center"/>
    </xf>
    <xf numFmtId="2" fontId="4" fillId="10" borderId="3" xfId="2" applyNumberFormat="1" applyFont="1" applyFill="1" applyBorder="1" applyAlignment="1">
      <alignment horizontal="center" vertical="center"/>
    </xf>
    <xf numFmtId="2" fontId="4" fillId="10" borderId="6" xfId="0" applyNumberFormat="1" applyFont="1" applyFill="1" applyBorder="1" applyAlignment="1">
      <alignment vertical="center"/>
    </xf>
    <xf numFmtId="2" fontId="13" fillId="4" borderId="1" xfId="0" applyNumberFormat="1"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20" borderId="1" xfId="0" applyNumberFormat="1" applyFont="1" applyFill="1" applyBorder="1" applyAlignment="1">
      <alignment horizontal="center" vertical="top"/>
    </xf>
    <xf numFmtId="2" fontId="4" fillId="0" borderId="1" xfId="0" applyNumberFormat="1" applyFont="1" applyBorder="1" applyAlignment="1">
      <alignment horizontal="center" vertical="top"/>
    </xf>
    <xf numFmtId="2" fontId="5" fillId="19" borderId="1" xfId="0" applyNumberFormat="1" applyFont="1" applyFill="1" applyBorder="1" applyAlignment="1">
      <alignment horizontal="center" vertical="top"/>
    </xf>
    <xf numFmtId="2" fontId="2" fillId="0" borderId="1" xfId="0" applyNumberFormat="1" applyFont="1" applyBorder="1" applyAlignment="1">
      <alignment horizontal="center" vertical="center"/>
    </xf>
    <xf numFmtId="2" fontId="5" fillId="5" borderId="1" xfId="0" applyNumberFormat="1" applyFont="1" applyFill="1" applyBorder="1" applyAlignment="1">
      <alignment horizontal="center" vertical="top"/>
    </xf>
    <xf numFmtId="2" fontId="10" fillId="16" borderId="6" xfId="0" applyNumberFormat="1" applyFont="1" applyFill="1" applyBorder="1" applyAlignment="1">
      <alignment horizontal="center" vertical="center"/>
    </xf>
    <xf numFmtId="2" fontId="4" fillId="19" borderId="1" xfId="0" applyNumberFormat="1" applyFont="1" applyFill="1" applyBorder="1" applyAlignment="1">
      <alignment vertical="center"/>
    </xf>
    <xf numFmtId="2" fontId="4" fillId="0" borderId="1" xfId="0" applyNumberFormat="1" applyFont="1" applyBorder="1" applyAlignment="1">
      <alignment vertical="center" wrapText="1"/>
    </xf>
    <xf numFmtId="2" fontId="5" fillId="0" borderId="1" xfId="0" applyNumberFormat="1" applyFont="1" applyBorder="1" applyAlignment="1">
      <alignment horizontal="center" vertical="center" wrapText="1"/>
    </xf>
    <xf numFmtId="2" fontId="18" fillId="5" borderId="1" xfId="0" applyNumberFormat="1" applyFont="1" applyFill="1" applyBorder="1" applyAlignment="1">
      <alignment horizontal="center" vertical="center" wrapText="1"/>
    </xf>
    <xf numFmtId="2" fontId="11" fillId="23" borderId="5" xfId="0" applyNumberFormat="1" applyFont="1" applyFill="1" applyBorder="1" applyAlignment="1">
      <alignment horizontal="center" vertical="center"/>
    </xf>
    <xf numFmtId="2" fontId="11" fillId="21" borderId="1" xfId="0" applyNumberFormat="1" applyFont="1" applyFill="1" applyBorder="1" applyAlignment="1">
      <alignment horizontal="center" vertical="center"/>
    </xf>
    <xf numFmtId="2" fontId="11" fillId="22" borderId="1" xfId="0" applyNumberFormat="1" applyFont="1" applyFill="1" applyBorder="1" applyAlignment="1">
      <alignment horizontal="center" vertical="center"/>
    </xf>
    <xf numFmtId="2" fontId="5" fillId="24" borderId="1" xfId="0" applyNumberFormat="1" applyFont="1" applyFill="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2" fontId="11" fillId="23" borderId="1" xfId="0" applyNumberFormat="1" applyFont="1" applyFill="1" applyBorder="1" applyAlignment="1">
      <alignment horizontal="center" vertical="center"/>
    </xf>
    <xf numFmtId="0" fontId="33" fillId="0" borderId="1" xfId="0" applyFont="1" applyBorder="1" applyAlignment="1">
      <alignment horizontal="left" vertical="center" wrapText="1"/>
    </xf>
    <xf numFmtId="0" fontId="34" fillId="0" borderId="1" xfId="0" applyFont="1" applyBorder="1" applyAlignment="1" applyProtection="1">
      <alignment horizontal="center"/>
      <protection locked="0"/>
    </xf>
    <xf numFmtId="0" fontId="36" fillId="0" borderId="3" xfId="0" applyFont="1" applyBorder="1" applyAlignment="1">
      <alignment horizontal="left" vertical="center"/>
    </xf>
    <xf numFmtId="0" fontId="36" fillId="0" borderId="1" xfId="0" applyFont="1" applyBorder="1" applyAlignment="1">
      <alignment horizontal="left" vertical="center"/>
    </xf>
    <xf numFmtId="0" fontId="33" fillId="0" borderId="1" xfId="0" applyFont="1" applyBorder="1" applyAlignment="1">
      <alignment horizontal="left" vertical="top" wrapText="1"/>
    </xf>
    <xf numFmtId="0" fontId="40" fillId="0" borderId="1" xfId="0" applyFont="1" applyBorder="1" applyAlignment="1">
      <alignment horizontal="left" vertical="center" wrapText="1"/>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3" fillId="2" borderId="1" xfId="0" applyFont="1" applyFill="1" applyBorder="1" applyAlignment="1">
      <alignment horizontal="center"/>
    </xf>
    <xf numFmtId="0" fontId="11" fillId="32" borderId="1" xfId="0" applyFont="1" applyFill="1" applyBorder="1" applyAlignment="1">
      <alignment horizontal="left" vertical="center"/>
    </xf>
    <xf numFmtId="0" fontId="13" fillId="30"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18"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5" fillId="12" borderId="7" xfId="2" applyFont="1" applyFill="1" applyBorder="1" applyAlignment="1">
      <alignment horizontal="right" vertical="center" wrapText="1"/>
    </xf>
    <xf numFmtId="0" fontId="5" fillId="12" borderId="5" xfId="2" applyFont="1" applyFill="1" applyBorder="1" applyAlignment="1">
      <alignment horizontal="right" vertical="center" wrapText="1"/>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5" fillId="9" borderId="7" xfId="2" applyFont="1" applyFill="1" applyBorder="1" applyAlignment="1">
      <alignment horizontal="left" vertical="center"/>
    </xf>
    <xf numFmtId="0" fontId="5" fillId="9" borderId="6" xfId="2" applyFont="1" applyFill="1" applyBorder="1" applyAlignment="1">
      <alignment horizontal="left" vertical="center"/>
    </xf>
    <xf numFmtId="0" fontId="4" fillId="0" borderId="3" xfId="2"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4" fillId="13" borderId="2" xfId="1" applyNumberFormat="1" applyFont="1" applyFill="1" applyBorder="1" applyAlignment="1">
      <alignment horizontal="center" vertical="center"/>
    </xf>
    <xf numFmtId="49" fontId="4" fillId="13" borderId="10" xfId="1" applyNumberFormat="1" applyFont="1" applyFill="1" applyBorder="1" applyAlignment="1">
      <alignment horizontal="center" vertical="center"/>
    </xf>
    <xf numFmtId="49" fontId="4" fillId="13" borderId="1" xfId="1" applyNumberFormat="1" applyFont="1" applyFill="1" applyBorder="1" applyAlignment="1">
      <alignment horizontal="center" vertical="center"/>
    </xf>
    <xf numFmtId="0" fontId="4" fillId="13" borderId="2" xfId="1" applyFont="1" applyFill="1" applyBorder="1" applyAlignment="1">
      <alignment horizontal="left" vertical="center" wrapText="1"/>
    </xf>
    <xf numFmtId="0" fontId="4" fillId="13" borderId="3" xfId="1" applyFont="1" applyFill="1" applyBorder="1" applyAlignment="1">
      <alignment horizontal="left" vertical="center" wrapText="1"/>
    </xf>
    <xf numFmtId="0" fontId="10" fillId="14" borderId="7" xfId="0" applyFont="1" applyFill="1" applyBorder="1" applyAlignment="1">
      <alignment horizontal="left" vertical="center"/>
    </xf>
    <xf numFmtId="0" fontId="10" fillId="14" borderId="5" xfId="0" applyFont="1" applyFill="1" applyBorder="1" applyAlignment="1">
      <alignment horizontal="left" vertical="center"/>
    </xf>
    <xf numFmtId="0" fontId="10" fillId="14" borderId="6" xfId="0" applyFont="1" applyFill="1" applyBorder="1" applyAlignment="1">
      <alignment horizontal="left" vertical="center"/>
    </xf>
    <xf numFmtId="0" fontId="5" fillId="12" borderId="6" xfId="2" applyFont="1" applyFill="1" applyBorder="1" applyAlignment="1">
      <alignment horizontal="right" vertical="center" wrapText="1"/>
    </xf>
    <xf numFmtId="0" fontId="4" fillId="0" borderId="4" xfId="2" applyFont="1" applyBorder="1" applyAlignment="1">
      <alignment horizontal="center" vertical="center"/>
    </xf>
    <xf numFmtId="0" fontId="4" fillId="0" borderId="15"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2" fontId="5" fillId="0" borderId="7" xfId="0" applyNumberFormat="1" applyFont="1" applyBorder="1" applyAlignment="1">
      <alignment horizontal="center" vertical="center"/>
    </xf>
    <xf numFmtId="0" fontId="10" fillId="1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0" fontId="5" fillId="12" borderId="1" xfId="2" applyFont="1" applyFill="1" applyBorder="1" applyAlignment="1">
      <alignment horizontal="right" vertical="center" wrapText="1"/>
    </xf>
    <xf numFmtId="0" fontId="0" fillId="15" borderId="1"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0" fillId="20" borderId="5" xfId="0" applyFont="1" applyFill="1" applyBorder="1" applyAlignment="1">
      <alignment horizontal="left" vertical="top"/>
    </xf>
    <xf numFmtId="0" fontId="10" fillId="20" borderId="6" xfId="0" applyFont="1" applyFill="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19" borderId="5" xfId="0" applyFont="1" applyFill="1" applyBorder="1" applyAlignment="1">
      <alignment horizontal="left" vertical="top"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0" fillId="16" borderId="7" xfId="0" applyFont="1" applyFill="1" applyBorder="1" applyAlignment="1">
      <alignment horizontal="left" vertical="top"/>
    </xf>
    <xf numFmtId="0" fontId="10" fillId="16" borderId="5" xfId="0" applyFont="1" applyFill="1" applyBorder="1" applyAlignment="1">
      <alignment horizontal="left" vertical="top"/>
    </xf>
    <xf numFmtId="0" fontId="4" fillId="0" borderId="1" xfId="0" applyFont="1" applyBorder="1" applyAlignment="1">
      <alignment horizontal="left" vertical="top" wrapText="1"/>
    </xf>
    <xf numFmtId="0" fontId="5" fillId="5" borderId="7" xfId="2" applyFont="1" applyFill="1" applyBorder="1" applyAlignment="1">
      <alignment horizontal="right" vertical="center" wrapText="1"/>
    </xf>
    <xf numFmtId="0" fontId="5" fillId="5" borderId="5" xfId="2" applyFont="1" applyFill="1" applyBorder="1" applyAlignment="1">
      <alignment horizontal="right" vertical="center" wrapText="1"/>
    </xf>
    <xf numFmtId="0" fontId="5" fillId="5" borderId="6" xfId="2" applyFont="1" applyFill="1" applyBorder="1" applyAlignment="1">
      <alignment horizontal="right" vertical="center" wrapText="1"/>
    </xf>
    <xf numFmtId="0" fontId="10" fillId="20" borderId="1" xfId="0" applyFont="1" applyFill="1" applyBorder="1" applyAlignment="1">
      <alignment horizontal="left" vertical="top" wrapText="1"/>
    </xf>
    <xf numFmtId="0" fontId="5"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center" wrapText="1"/>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21" fillId="0" borderId="0" xfId="0" applyFont="1" applyAlignment="1">
      <alignment horizontal="left" vertical="top" wrapText="1"/>
    </xf>
    <xf numFmtId="0" fontId="5" fillId="0" borderId="7" xfId="0" applyFont="1" applyBorder="1" applyAlignment="1">
      <alignment horizontal="center"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10" fillId="20" borderId="7" xfId="0" applyFont="1" applyFill="1" applyBorder="1" applyAlignment="1">
      <alignment horizontal="left" vertical="top"/>
    </xf>
    <xf numFmtId="0" fontId="5" fillId="33" borderId="7" xfId="0" applyFont="1" applyFill="1" applyBorder="1" applyAlignment="1">
      <alignment horizontal="center" vertical="center"/>
    </xf>
    <xf numFmtId="0" fontId="4" fillId="0" borderId="24" xfId="0" applyFont="1" applyBorder="1" applyAlignment="1">
      <alignment horizontal="center" vertical="top" wrapText="1"/>
    </xf>
    <xf numFmtId="0" fontId="5" fillId="0" borderId="1" xfId="0" applyFont="1" applyBorder="1" applyAlignment="1">
      <alignment horizontal="center" vertical="top"/>
    </xf>
    <xf numFmtId="0" fontId="4" fillId="0" borderId="25" xfId="0" applyFont="1" applyBorder="1" applyAlignment="1">
      <alignment horizontal="center" vertical="top" wrapText="1"/>
    </xf>
    <xf numFmtId="0" fontId="4" fillId="0" borderId="22" xfId="0" applyFont="1" applyBorder="1" applyAlignment="1">
      <alignment horizontal="center" vertical="top"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33" borderId="2" xfId="0" applyFont="1" applyFill="1" applyBorder="1" applyAlignment="1">
      <alignment horizontal="center" vertical="center"/>
    </xf>
    <xf numFmtId="0" fontId="4" fillId="33" borderId="10" xfId="0" applyFont="1" applyFill="1" applyBorder="1" applyAlignment="1">
      <alignment horizontal="center" vertical="center"/>
    </xf>
    <xf numFmtId="0" fontId="4" fillId="33"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top"/>
    </xf>
    <xf numFmtId="0" fontId="4" fillId="17" borderId="2" xfId="0" applyFont="1" applyFill="1" applyBorder="1" applyAlignment="1" applyProtection="1">
      <alignment horizontal="center" vertical="center"/>
      <protection locked="0"/>
    </xf>
    <xf numFmtId="0" fontId="4" fillId="17" borderId="1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2" fontId="5" fillId="0" borderId="10" xfId="0" applyNumberFormat="1" applyFont="1" applyBorder="1" applyAlignment="1">
      <alignment horizontal="center" vertical="center"/>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8" xfId="0" applyFont="1" applyBorder="1" applyAlignment="1">
      <alignment horizontal="left" vertical="top" wrapText="1"/>
    </xf>
    <xf numFmtId="2" fontId="5" fillId="0" borderId="2"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0" borderId="5" xfId="0" applyFont="1" applyBorder="1" applyAlignment="1">
      <alignment horizontal="left" vertical="top"/>
    </xf>
    <xf numFmtId="0" fontId="5" fillId="19" borderId="9" xfId="0" applyFont="1" applyFill="1" applyBorder="1" applyAlignment="1">
      <alignment horizontal="left" vertical="top"/>
    </xf>
    <xf numFmtId="0" fontId="5" fillId="19" borderId="2" xfId="0" applyFont="1" applyFill="1" applyBorder="1" applyAlignment="1">
      <alignment horizontal="left" vertical="top"/>
    </xf>
    <xf numFmtId="0" fontId="5" fillId="19" borderId="1" xfId="0" applyFont="1" applyFill="1" applyBorder="1" applyAlignment="1">
      <alignment horizontal="left" vertical="top"/>
    </xf>
    <xf numFmtId="0" fontId="4" fillId="0" borderId="10" xfId="0" applyFont="1" applyBorder="1" applyAlignment="1">
      <alignment horizontal="center" vertical="center" wrapText="1"/>
    </xf>
    <xf numFmtId="0" fontId="5" fillId="18" borderId="16" xfId="0" applyFont="1" applyFill="1" applyBorder="1" applyAlignment="1">
      <alignment horizontal="left" vertical="top"/>
    </xf>
    <xf numFmtId="0" fontId="5" fillId="18" borderId="17" xfId="0" applyFont="1" applyFill="1" applyBorder="1" applyAlignment="1">
      <alignment horizontal="left" vertical="top"/>
    </xf>
    <xf numFmtId="0" fontId="5" fillId="0" borderId="1" xfId="0" applyFont="1" applyBorder="1" applyAlignment="1" applyProtection="1">
      <alignment horizontal="center" vertical="top"/>
      <protection locked="0"/>
    </xf>
    <xf numFmtId="0" fontId="5" fillId="33" borderId="1"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1" fillId="21" borderId="1" xfId="0" applyFont="1" applyFill="1" applyBorder="1" applyAlignment="1">
      <alignment horizontal="left" vertical="top" wrapText="1"/>
    </xf>
    <xf numFmtId="0" fontId="11" fillId="21" borderId="1" xfId="0" applyFont="1" applyFill="1" applyBorder="1" applyAlignment="1">
      <alignment horizontal="left" vertical="top"/>
    </xf>
    <xf numFmtId="0" fontId="11" fillId="22" borderId="1" xfId="0" applyFont="1" applyFill="1" applyBorder="1" applyAlignment="1">
      <alignment horizontal="left" vertical="top" wrapText="1"/>
    </xf>
    <xf numFmtId="0" fontId="5" fillId="24" borderId="1" xfId="0" applyFont="1" applyFill="1" applyBorder="1" applyAlignment="1">
      <alignment horizontal="right" vertical="center"/>
    </xf>
    <xf numFmtId="0" fontId="21" fillId="0" borderId="1" xfId="0" applyFont="1" applyBorder="1" applyAlignment="1">
      <alignment horizontal="left" vertical="top" wrapText="1"/>
    </xf>
    <xf numFmtId="0" fontId="11" fillId="22" borderId="1" xfId="0" applyFont="1" applyFill="1" applyBorder="1" applyAlignment="1">
      <alignment horizontal="left" vertical="center" wrapText="1"/>
    </xf>
    <xf numFmtId="0" fontId="11" fillId="23" borderId="1" xfId="0" applyFont="1" applyFill="1" applyBorder="1" applyAlignment="1">
      <alignment horizontal="left" vertical="top"/>
    </xf>
    <xf numFmtId="0" fontId="4" fillId="33" borderId="1" xfId="0" applyFont="1" applyFill="1" applyBorder="1" applyAlignment="1">
      <alignment horizontal="center" vertical="center"/>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11" fillId="22" borderId="5" xfId="0" applyFont="1" applyFill="1" applyBorder="1" applyAlignment="1">
      <alignment horizontal="left" vertical="top" wrapText="1"/>
    </xf>
    <xf numFmtId="0" fontId="17"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5" fillId="0" borderId="1" xfId="0" applyFont="1" applyBorder="1" applyAlignment="1">
      <alignment horizontal="left" vertical="top" wrapText="1"/>
    </xf>
    <xf numFmtId="0" fontId="12" fillId="0" borderId="1" xfId="0" applyFont="1" applyBorder="1" applyAlignment="1">
      <alignment horizontal="left" vertical="top" wrapText="1"/>
    </xf>
    <xf numFmtId="0" fontId="24" fillId="5" borderId="7"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6" xfId="0" applyFont="1" applyFill="1" applyBorder="1" applyAlignment="1">
      <alignment horizontal="center" vertical="center"/>
    </xf>
    <xf numFmtId="0" fontId="11" fillId="23" borderId="7" xfId="0" applyFont="1" applyFill="1" applyBorder="1" applyAlignment="1">
      <alignment horizontal="left" vertical="top"/>
    </xf>
    <xf numFmtId="0" fontId="11" fillId="23" borderId="5" xfId="0" applyFont="1" applyFill="1" applyBorder="1" applyAlignment="1">
      <alignment horizontal="left" vertical="top"/>
    </xf>
    <xf numFmtId="0" fontId="11" fillId="21" borderId="5" xfId="0" applyFont="1" applyFill="1" applyBorder="1" applyAlignment="1">
      <alignment horizontal="left" vertical="top"/>
    </xf>
    <xf numFmtId="0" fontId="11" fillId="21" borderId="6" xfId="0" applyFont="1" applyFill="1" applyBorder="1" applyAlignment="1">
      <alignment horizontal="left" vertical="top"/>
    </xf>
    <xf numFmtId="0" fontId="11" fillId="22" borderId="1" xfId="0" applyFont="1" applyFill="1" applyBorder="1" applyAlignment="1">
      <alignment horizontal="left" vertical="top"/>
    </xf>
    <xf numFmtId="0" fontId="11" fillId="21" borderId="5" xfId="0" applyFont="1" applyFill="1" applyBorder="1" applyAlignment="1">
      <alignment horizontal="left" vertical="top" wrapText="1"/>
    </xf>
    <xf numFmtId="0" fontId="11" fillId="21" borderId="6" xfId="0" applyFont="1" applyFill="1" applyBorder="1" applyAlignment="1">
      <alignment horizontal="left" vertical="top" wrapText="1"/>
    </xf>
    <xf numFmtId="0" fontId="4" fillId="0" borderId="4" xfId="0" applyFont="1" applyBorder="1" applyAlignment="1">
      <alignment horizontal="center" vertical="top"/>
    </xf>
    <xf numFmtId="0" fontId="4" fillId="0" borderId="15" xfId="0" applyFont="1" applyBorder="1" applyAlignment="1">
      <alignment horizontal="center" vertical="top"/>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5" fillId="17" borderId="16" xfId="0" applyFont="1" applyFill="1" applyBorder="1" applyAlignment="1">
      <alignment horizontal="center" vertical="top" wrapText="1"/>
    </xf>
    <xf numFmtId="0" fontId="5" fillId="17" borderId="17" xfId="0" applyFont="1" applyFill="1" applyBorder="1" applyAlignment="1">
      <alignment horizontal="center" vertical="top" wrapText="1"/>
    </xf>
    <xf numFmtId="0" fontId="29" fillId="0" borderId="18" xfId="0" applyFont="1" applyBorder="1" applyAlignment="1">
      <alignment horizontal="left" vertical="top" wrapText="1"/>
    </xf>
    <xf numFmtId="0" fontId="29" fillId="0" borderId="19" xfId="0" applyFont="1" applyBorder="1" applyAlignment="1">
      <alignment horizontal="left" vertical="top" wrapText="1"/>
    </xf>
    <xf numFmtId="0" fontId="28" fillId="0" borderId="20" xfId="0" applyFont="1" applyBorder="1" applyAlignment="1">
      <alignment horizontal="left" vertical="top" wrapText="1"/>
    </xf>
    <xf numFmtId="0" fontId="28" fillId="0" borderId="21" xfId="0" applyFont="1" applyBorder="1" applyAlignment="1">
      <alignment horizontal="left" vertical="top" wrapText="1"/>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26" xfId="0" applyFont="1" applyBorder="1" applyAlignment="1">
      <alignment horizontal="center" vertical="top" wrapText="1"/>
    </xf>
    <xf numFmtId="0" fontId="11" fillId="26" borderId="1" xfId="0" applyFont="1" applyFill="1" applyBorder="1" applyAlignment="1">
      <alignment horizontal="left" vertical="center" wrapText="1"/>
    </xf>
    <xf numFmtId="0" fontId="5" fillId="15" borderId="1" xfId="2" applyFont="1" applyFill="1" applyBorder="1" applyAlignment="1">
      <alignment horizontal="right" vertical="center" wrapText="1"/>
    </xf>
    <xf numFmtId="0" fontId="4" fillId="0" borderId="1" xfId="2" applyFont="1" applyBorder="1" applyAlignment="1">
      <alignment horizontal="center" vertical="center"/>
    </xf>
    <xf numFmtId="0" fontId="4" fillId="0" borderId="1" xfId="0" applyFont="1" applyBorder="1" applyAlignment="1">
      <alignment horizontal="left" vertical="center" wrapText="1"/>
    </xf>
    <xf numFmtId="0" fontId="24" fillId="6" borderId="1" xfId="0" applyFont="1" applyFill="1" applyBorder="1" applyAlignment="1">
      <alignment horizontal="center" vertical="center"/>
    </xf>
    <xf numFmtId="2" fontId="4" fillId="0" borderId="1" xfId="0" applyNumberFormat="1" applyFont="1" applyBorder="1" applyAlignment="1">
      <alignment horizontal="center"/>
    </xf>
    <xf numFmtId="0" fontId="0" fillId="0" borderId="1" xfId="0" applyBorder="1" applyAlignment="1">
      <alignment horizontal="center"/>
    </xf>
    <xf numFmtId="0" fontId="41" fillId="0" borderId="28" xfId="0" applyFont="1" applyBorder="1" applyAlignment="1">
      <alignment horizontal="center" vertical="top" wrapText="1"/>
    </xf>
    <xf numFmtId="0" fontId="41" fillId="0" borderId="29" xfId="0" applyFont="1" applyBorder="1" applyAlignment="1">
      <alignment horizontal="center" vertical="top" wrapText="1"/>
    </xf>
    <xf numFmtId="0" fontId="41" fillId="0" borderId="30" xfId="0" applyFont="1" applyBorder="1" applyAlignment="1">
      <alignment horizontal="center" vertical="top" wrapText="1"/>
    </xf>
    <xf numFmtId="0" fontId="5" fillId="28" borderId="7" xfId="0" applyFont="1" applyFill="1" applyBorder="1" applyAlignment="1">
      <alignment horizontal="left" vertical="center"/>
    </xf>
    <xf numFmtId="0" fontId="5" fillId="28" borderId="6" xfId="0" applyFont="1" applyFill="1" applyBorder="1" applyAlignment="1">
      <alignment horizontal="left" vertical="center"/>
    </xf>
    <xf numFmtId="0" fontId="5" fillId="28" borderId="1" xfId="0" applyFont="1" applyFill="1" applyBorder="1" applyAlignment="1">
      <alignment horizontal="center" vertical="center"/>
    </xf>
    <xf numFmtId="0" fontId="10" fillId="27" borderId="1" xfId="0" applyFont="1" applyFill="1" applyBorder="1" applyAlignment="1">
      <alignment horizontal="left" vertical="center"/>
    </xf>
    <xf numFmtId="0" fontId="10" fillId="27" borderId="1" xfId="0" applyFont="1" applyFill="1" applyBorder="1" applyAlignment="1">
      <alignment horizontal="center" vertical="center" wrapText="1"/>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0" fontId="9" fillId="2" borderId="1" xfId="0" applyFont="1" applyFill="1" applyBorder="1" applyAlignment="1">
      <alignment horizontal="center" vertical="center" wrapText="1"/>
    </xf>
    <xf numFmtId="2" fontId="8" fillId="7"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41" fillId="0" borderId="24" xfId="0" applyFont="1" applyBorder="1" applyAlignment="1">
      <alignment horizontal="center" vertical="top" wrapText="1"/>
    </xf>
    <xf numFmtId="0" fontId="41" fillId="0" borderId="0" xfId="0" applyFont="1" applyAlignment="1">
      <alignment horizontal="center" vertical="top" wrapText="1"/>
    </xf>
    <xf numFmtId="0" fontId="41" fillId="0" borderId="35" xfId="0" applyFont="1" applyBorder="1" applyAlignment="1">
      <alignment horizontal="center" vertical="top" wrapText="1"/>
    </xf>
    <xf numFmtId="0" fontId="43" fillId="0" borderId="31" xfId="0" applyFont="1" applyBorder="1" applyAlignment="1">
      <alignment horizontal="left" vertical="top" wrapText="1"/>
    </xf>
    <xf numFmtId="0" fontId="46" fillId="0" borderId="32" xfId="0" applyFont="1" applyBorder="1" applyAlignment="1">
      <alignment horizontal="left" vertical="top" wrapText="1"/>
    </xf>
    <xf numFmtId="0" fontId="46" fillId="0" borderId="33" xfId="0" applyFont="1" applyBorder="1" applyAlignment="1">
      <alignment horizontal="left" vertical="top" wrapText="1"/>
    </xf>
    <xf numFmtId="2" fontId="4" fillId="34" borderId="1" xfId="4" applyNumberFormat="1" applyFont="1" applyBorder="1" applyAlignment="1" applyProtection="1">
      <alignment horizontal="center" vertical="center"/>
      <protection locked="0"/>
    </xf>
    <xf numFmtId="2"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2" fontId="4" fillId="0" borderId="1" xfId="0" applyNumberFormat="1" applyFont="1" applyBorder="1" applyAlignment="1">
      <alignment horizontal="center" vertical="center" wrapText="1"/>
    </xf>
    <xf numFmtId="2" fontId="12" fillId="0" borderId="7" xfId="0" applyNumberFormat="1" applyFont="1" applyBorder="1" applyAlignment="1">
      <alignment horizontal="center" vertical="center"/>
    </xf>
    <xf numFmtId="2" fontId="12" fillId="0" borderId="5" xfId="0" applyNumberFormat="1" applyFont="1" applyBorder="1" applyAlignment="1">
      <alignment horizontal="center" vertical="center"/>
    </xf>
    <xf numFmtId="2" fontId="12" fillId="0" borderId="6" xfId="0" applyNumberFormat="1" applyFont="1" applyBorder="1" applyAlignment="1">
      <alignment horizontal="center" vertical="center"/>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2" fontId="11" fillId="0" borderId="1" xfId="0" applyNumberFormat="1" applyFont="1" applyBorder="1" applyAlignment="1">
      <alignment horizontal="center" vertical="center"/>
    </xf>
    <xf numFmtId="166" fontId="12" fillId="0" borderId="1" xfId="0" applyNumberFormat="1" applyFont="1" applyBorder="1" applyAlignment="1">
      <alignment horizontal="center" vertical="center"/>
    </xf>
    <xf numFmtId="2" fontId="10" fillId="27" borderId="1" xfId="0" applyNumberFormat="1" applyFont="1" applyFill="1" applyBorder="1" applyAlignment="1">
      <alignment horizontal="center" vertical="center" wrapText="1"/>
    </xf>
    <xf numFmtId="2" fontId="5" fillId="28" borderId="1" xfId="0" applyNumberFormat="1" applyFont="1" applyFill="1" applyBorder="1" applyAlignment="1">
      <alignment horizontal="center" vertical="center"/>
    </xf>
    <xf numFmtId="2" fontId="12" fillId="0" borderId="1" xfId="0" applyNumberFormat="1" applyFont="1" applyBorder="1" applyAlignment="1">
      <alignment horizontal="center" vertical="center" wrapText="1"/>
    </xf>
    <xf numFmtId="0" fontId="12" fillId="0" borderId="7" xfId="0" applyFont="1" applyBorder="1" applyAlignment="1">
      <alignment horizontal="center" vertical="center"/>
    </xf>
    <xf numFmtId="0" fontId="12" fillId="0" borderId="6" xfId="0" applyFont="1" applyBorder="1" applyAlignment="1">
      <alignment horizontal="center" vertical="center"/>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1">
    <dxf>
      <fill>
        <patternFill>
          <bgColor rgb="FFFF0000"/>
        </patternFill>
      </fill>
    </dxf>
  </dxfs>
  <tableStyles count="0" defaultTableStyle="TableStyleMedium2" defaultPivotStyle="PivotStyleLight16"/>
  <colors>
    <mruColors>
      <color rgb="FF0A0064"/>
      <color rgb="FF9966FF"/>
      <color rgb="FFCCCCFF"/>
      <color rgb="FF9933FF"/>
      <color rgb="FFFFFFCC"/>
      <color rgb="FFFFFF99"/>
      <color rgb="FFFFFF66"/>
      <color rgb="FF66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1159910"/>
          <a:ext cx="1070056" cy="107132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349154</xdr:rowOff>
    </xdr:from>
    <xdr:ext cx="6191247" cy="342786"/>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2684775" y="831007"/>
          <a:ext cx="6191247"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Scoresheet!</a:t>
          </a:r>
          <a:endParaRPr lang="en-SG" sz="1600" b="1">
            <a:solidFill>
              <a:srgbClr val="7030A0"/>
            </a:solidFill>
          </a:endParaRPr>
        </a:p>
      </xdr:txBody>
    </xdr:sp>
    <xdr:clientData/>
  </xdr:oneCellAnchor>
  <xdr:twoCellAnchor>
    <xdr:from>
      <xdr:col>1</xdr:col>
      <xdr:colOff>381000</xdr:colOff>
      <xdr:row>2</xdr:row>
      <xdr:rowOff>520547</xdr:rowOff>
    </xdr:from>
    <xdr:to>
      <xdr:col>1</xdr:col>
      <xdr:colOff>2135687</xdr:colOff>
      <xdr:row>2</xdr:row>
      <xdr:rowOff>520547</xdr:rowOff>
    </xdr:to>
    <xdr:cxnSp macro="">
      <xdr:nvCxnSpPr>
        <xdr:cNvPr id="2" name="Straight Arrow Connector 3">
          <a:extLst>
            <a:ext uri="{FF2B5EF4-FFF2-40B4-BE49-F238E27FC236}">
              <a16:creationId xmlns:a16="http://schemas.microsoft.com/office/drawing/2014/main" id="{00000000-0008-0000-0700-000002000000}"/>
            </a:ext>
          </a:extLst>
        </xdr:cNvPr>
        <xdr:cNvCxnSpPr>
          <a:stCxn id="3" idx="1"/>
        </xdr:cNvCxnSpPr>
      </xdr:nvCxnSpPr>
      <xdr:spPr>
        <a:xfrm flipH="1">
          <a:off x="933450" y="996797"/>
          <a:ext cx="1754687" cy="0"/>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57150</xdr:rowOff>
        </xdr:from>
        <xdr:to>
          <xdr:col>1</xdr:col>
          <xdr:colOff>342900</xdr:colOff>
          <xdr:row>2</xdr:row>
          <xdr:rowOff>1047750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ENRB)"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Green%20Mark%202021_Scoresheet%20(EN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0. General"/>
      <sheetName val="1. Arch Ext"/>
      <sheetName val="2. Arch Int"/>
      <sheetName val="3. Mech"/>
      <sheetName val="4. Elect"/>
      <sheetName val="5. Landscape"/>
      <sheetName val="6. Innovative Solutions"/>
      <sheetName val="7. BMS"/>
      <sheetName val="8. FMS"/>
    </sheetNames>
    <sheetDataSet>
      <sheetData sheetId="0">
        <row r="6">
          <cell r="E6">
            <v>8.5</v>
          </cell>
          <cell r="F6">
            <v>0</v>
          </cell>
          <cell r="L6">
            <v>10.5</v>
          </cell>
          <cell r="M6">
            <v>0</v>
          </cell>
        </row>
        <row r="7">
          <cell r="B7" t="str">
            <v>General Project Requirement</v>
          </cell>
          <cell r="E7">
            <v>8.5</v>
          </cell>
          <cell r="F7">
            <v>0</v>
          </cell>
          <cell r="I7" t="str">
            <v>Softscape</v>
          </cell>
          <cell r="L7">
            <v>2</v>
          </cell>
          <cell r="M7">
            <v>0</v>
          </cell>
        </row>
        <row r="8">
          <cell r="E8">
            <v>14.5</v>
          </cell>
          <cell r="F8">
            <v>0</v>
          </cell>
          <cell r="I8" t="str">
            <v>Hardscape</v>
          </cell>
          <cell r="L8">
            <v>2.5</v>
          </cell>
          <cell r="M8">
            <v>0</v>
          </cell>
        </row>
        <row r="9">
          <cell r="A9" t="str">
            <v>Part A - General Façade</v>
          </cell>
          <cell r="E9">
            <v>2</v>
          </cell>
          <cell r="F9">
            <v>0</v>
          </cell>
          <cell r="I9" t="str">
            <v>Vertical Greenery</v>
          </cell>
          <cell r="L9">
            <v>0.5</v>
          </cell>
          <cell r="M9">
            <v>0</v>
          </cell>
        </row>
        <row r="10">
          <cell r="B10" t="str">
            <v>General Façade</v>
          </cell>
          <cell r="E10">
            <v>2</v>
          </cell>
          <cell r="F10">
            <v>0</v>
          </cell>
          <cell r="I10" t="str">
            <v>Roof, Sky Terraces, Planter boxes on building edge/façade</v>
          </cell>
          <cell r="L10">
            <v>3</v>
          </cell>
          <cell r="M10">
            <v>0</v>
          </cell>
        </row>
        <row r="11">
          <cell r="A11" t="str">
            <v>Part B - Façade System</v>
          </cell>
          <cell r="E11">
            <v>4</v>
          </cell>
          <cell r="F11">
            <v>0</v>
          </cell>
          <cell r="I11" t="str">
            <v>Standalone Structures</v>
          </cell>
          <cell r="L11">
            <v>2.5</v>
          </cell>
          <cell r="M11">
            <v>0</v>
          </cell>
        </row>
        <row r="12">
          <cell r="B12" t="str">
            <v>Cladding system: Tile/ Stone/ Metal/ Others</v>
          </cell>
          <cell r="E12">
            <v>4</v>
          </cell>
          <cell r="F12">
            <v>0</v>
          </cell>
          <cell r="L12">
            <v>11</v>
          </cell>
          <cell r="M12">
            <v>0</v>
          </cell>
        </row>
        <row r="13">
          <cell r="B13" t="str">
            <v>Curtain Wall: Glazing/ Others</v>
          </cell>
          <cell r="I13" t="str">
            <v>Cybersecurity</v>
          </cell>
          <cell r="L13">
            <v>1</v>
          </cell>
          <cell r="M13">
            <v>0</v>
          </cell>
        </row>
        <row r="14">
          <cell r="B14" t="str">
            <v>Masonry and Lightweight Concrete Panels</v>
          </cell>
          <cell r="I14" t="str">
            <v>Adoption of Smart FM solutions</v>
          </cell>
          <cell r="L14">
            <v>10</v>
          </cell>
          <cell r="M14">
            <v>0</v>
          </cell>
        </row>
        <row r="15">
          <cell r="A15" t="str">
            <v>Part C - Others</v>
          </cell>
          <cell r="E15">
            <v>8.5</v>
          </cell>
          <cell r="F15">
            <v>0</v>
          </cell>
          <cell r="L15">
            <v>10.5</v>
          </cell>
          <cell r="M15">
            <v>0</v>
          </cell>
        </row>
        <row r="16">
          <cell r="B16" t="str">
            <v>Façade Features/ considerations</v>
          </cell>
          <cell r="E16">
            <v>3.5</v>
          </cell>
          <cell r="F16">
            <v>0</v>
          </cell>
          <cell r="I16" t="str">
            <v>Central Computer</v>
          </cell>
          <cell r="L16">
            <v>2</v>
          </cell>
          <cell r="M16">
            <v>0</v>
          </cell>
        </row>
        <row r="17">
          <cell r="B17" t="str">
            <v>Entrance lobby</v>
          </cell>
          <cell r="E17">
            <v>3</v>
          </cell>
          <cell r="F17">
            <v>0</v>
          </cell>
          <cell r="I17" t="str">
            <v>Software Integration</v>
          </cell>
          <cell r="L17">
            <v>4</v>
          </cell>
          <cell r="M17">
            <v>0</v>
          </cell>
        </row>
        <row r="18">
          <cell r="B18" t="str">
            <v>Roof</v>
          </cell>
          <cell r="E18">
            <v>2</v>
          </cell>
          <cell r="F18">
            <v>0</v>
          </cell>
          <cell r="I18" t="str">
            <v>Controllers</v>
          </cell>
          <cell r="L18">
            <v>2.5</v>
          </cell>
          <cell r="M18">
            <v>0</v>
          </cell>
        </row>
        <row r="19">
          <cell r="E19">
            <v>19</v>
          </cell>
          <cell r="F19">
            <v>0</v>
          </cell>
          <cell r="I19" t="str">
            <v>Integration with M&amp;E systems</v>
          </cell>
          <cell r="L19">
            <v>2</v>
          </cell>
          <cell r="M19">
            <v>0</v>
          </cell>
        </row>
        <row r="20">
          <cell r="B20" t="str">
            <v>Floors</v>
          </cell>
          <cell r="E20">
            <v>2.5</v>
          </cell>
          <cell r="F20">
            <v>0</v>
          </cell>
          <cell r="L20">
            <v>12.5</v>
          </cell>
          <cell r="M20">
            <v>0</v>
          </cell>
        </row>
        <row r="21">
          <cell r="B21" t="str">
            <v>Walls and Partitions</v>
          </cell>
          <cell r="E21">
            <v>1</v>
          </cell>
          <cell r="F21">
            <v>0</v>
          </cell>
          <cell r="H21" t="str">
            <v>Part A - Asset Management</v>
          </cell>
          <cell r="L21">
            <v>3</v>
          </cell>
          <cell r="M21">
            <v>0</v>
          </cell>
        </row>
        <row r="22">
          <cell r="B22" t="str">
            <v>Ceiling</v>
          </cell>
          <cell r="E22">
            <v>4.5</v>
          </cell>
          <cell r="F22">
            <v>0</v>
          </cell>
          <cell r="I22" t="str">
            <v>Failure Analysis</v>
          </cell>
          <cell r="L22">
            <v>1.5</v>
          </cell>
          <cell r="M22">
            <v>0</v>
          </cell>
        </row>
        <row r="23">
          <cell r="B23" t="str">
            <v>Wet Rooms and Storage</v>
          </cell>
          <cell r="E23">
            <v>8</v>
          </cell>
          <cell r="F23">
            <v>0</v>
          </cell>
          <cell r="I23" t="str">
            <v>Life Cycle Management</v>
          </cell>
          <cell r="L23">
            <v>1.5</v>
          </cell>
          <cell r="M23">
            <v>0</v>
          </cell>
        </row>
        <row r="24">
          <cell r="B24" t="str">
            <v>Basements</v>
          </cell>
          <cell r="E24">
            <v>1</v>
          </cell>
          <cell r="F24">
            <v>0</v>
          </cell>
          <cell r="H24" t="str">
            <v>Part B - Operations Management and Supply Chain Management</v>
          </cell>
          <cell r="L24">
            <v>9.5</v>
          </cell>
          <cell r="M24">
            <v>0</v>
          </cell>
        </row>
        <row r="25">
          <cell r="B25" t="str">
            <v>Loading Bay/ Back of House Service Areas</v>
          </cell>
          <cell r="E25">
            <v>2</v>
          </cell>
          <cell r="F25">
            <v>0</v>
          </cell>
          <cell r="I25" t="str">
            <v>Service Management</v>
          </cell>
          <cell r="L25">
            <v>2.5</v>
          </cell>
          <cell r="M25">
            <v>0</v>
          </cell>
        </row>
        <row r="26">
          <cell r="E26">
            <v>26.5</v>
          </cell>
          <cell r="F26">
            <v>0</v>
          </cell>
          <cell r="I26" t="str">
            <v>Maintenance Management</v>
          </cell>
          <cell r="L26">
            <v>1.5</v>
          </cell>
          <cell r="M26">
            <v>0</v>
          </cell>
        </row>
        <row r="27">
          <cell r="A27" t="str">
            <v>Part A - Cooling Systems</v>
          </cell>
          <cell r="E27">
            <v>13.5</v>
          </cell>
          <cell r="F27">
            <v>0</v>
          </cell>
          <cell r="I27" t="str">
            <v>Other General Services</v>
          </cell>
          <cell r="L27">
            <v>1</v>
          </cell>
          <cell r="M27">
            <v>0</v>
          </cell>
        </row>
        <row r="28">
          <cell r="B28" t="str">
            <v>Chiller Plant</v>
          </cell>
          <cell r="E28">
            <v>13.5</v>
          </cell>
          <cell r="F28">
            <v>0</v>
          </cell>
          <cell r="I28" t="str">
            <v>Supply Chain Management</v>
          </cell>
          <cell r="L28">
            <v>4.5</v>
          </cell>
          <cell r="M28">
            <v>0</v>
          </cell>
        </row>
        <row r="29">
          <cell r="B29" t="str">
            <v>VRF</v>
          </cell>
          <cell r="E29">
            <v>1.5</v>
          </cell>
          <cell r="F29">
            <v>0</v>
          </cell>
        </row>
        <row r="30">
          <cell r="A30" t="str">
            <v>Part B - Other systems</v>
          </cell>
          <cell r="E30">
            <v>13</v>
          </cell>
          <cell r="F30">
            <v>0</v>
          </cell>
          <cell r="L30">
            <v>2</v>
          </cell>
          <cell r="M30">
            <v>0</v>
          </cell>
        </row>
        <row r="31">
          <cell r="B31" t="str">
            <v>Air Distribution System</v>
          </cell>
          <cell r="E31">
            <v>8</v>
          </cell>
          <cell r="F31">
            <v>0</v>
          </cell>
          <cell r="L31">
            <v>1</v>
          </cell>
          <cell r="M31">
            <v>0</v>
          </cell>
        </row>
        <row r="32">
          <cell r="B32" t="str">
            <v>Domestic Water Supply</v>
          </cell>
          <cell r="E32">
            <v>0.5</v>
          </cell>
          <cell r="F32">
            <v>0</v>
          </cell>
        </row>
        <row r="33">
          <cell r="B33" t="str">
            <v>Sanitary System</v>
          </cell>
          <cell r="E33">
            <v>1.5</v>
          </cell>
          <cell r="F33">
            <v>0</v>
          </cell>
        </row>
        <row r="34">
          <cell r="B34" t="str">
            <v>Fire Protection System</v>
          </cell>
          <cell r="E34">
            <v>3</v>
          </cell>
          <cell r="F34">
            <v>0</v>
          </cell>
        </row>
        <row r="35">
          <cell r="E35">
            <v>11</v>
          </cell>
          <cell r="F35">
            <v>0</v>
          </cell>
        </row>
        <row r="36">
          <cell r="B36" t="str">
            <v>Lighting System</v>
          </cell>
          <cell r="E36">
            <v>2.5</v>
          </cell>
          <cell r="F36">
            <v>0</v>
          </cell>
          <cell r="K36">
            <v>0</v>
          </cell>
          <cell r="N36">
            <v>0</v>
          </cell>
        </row>
        <row r="37">
          <cell r="B37" t="str">
            <v>Power Distribution System</v>
          </cell>
          <cell r="E37">
            <v>2.5</v>
          </cell>
          <cell r="F37">
            <v>0</v>
          </cell>
          <cell r="K37">
            <v>124</v>
          </cell>
        </row>
        <row r="38">
          <cell r="B38" t="str">
            <v>Extra Low Voltage System</v>
          </cell>
          <cell r="E38">
            <v>3.5</v>
          </cell>
          <cell r="F38">
            <v>0</v>
          </cell>
          <cell r="K38">
            <v>0</v>
          </cell>
        </row>
        <row r="39">
          <cell r="B39" t="str">
            <v>Lightning Protection System</v>
          </cell>
          <cell r="E39">
            <v>1</v>
          </cell>
          <cell r="F39">
            <v>0</v>
          </cell>
          <cell r="K39">
            <v>0</v>
          </cell>
          <cell r="M39">
            <v>0</v>
          </cell>
        </row>
        <row r="40">
          <cell r="B40" t="str">
            <v>Vertical Transportation System</v>
          </cell>
          <cell r="E40">
            <v>1.5</v>
          </cell>
          <cell r="F40">
            <v>0</v>
          </cell>
        </row>
        <row r="43">
          <cell r="M43">
            <v>0</v>
          </cell>
        </row>
        <row r="45">
          <cell r="M45" t="str">
            <v/>
          </cell>
        </row>
        <row r="49">
          <cell r="M49"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0. General"/>
      <sheetName val="1. Arch Ext"/>
      <sheetName val="2. Arch Int"/>
      <sheetName val="3. Mech"/>
      <sheetName val="4. Elect"/>
      <sheetName val="5. Landscape"/>
      <sheetName val="6. Innovative Solutions"/>
      <sheetName val="7. BMS"/>
      <sheetName val="8. FMS"/>
    </sheetNames>
    <sheetDataSet>
      <sheetData sheetId="0">
        <row r="6">
          <cell r="F6">
            <v>0</v>
          </cell>
          <cell r="M6">
            <v>0</v>
          </cell>
        </row>
        <row r="7">
          <cell r="F7">
            <v>0</v>
          </cell>
          <cell r="M7">
            <v>0</v>
          </cell>
        </row>
        <row r="8">
          <cell r="F8">
            <v>0</v>
          </cell>
          <cell r="M8">
            <v>0</v>
          </cell>
        </row>
        <row r="9">
          <cell r="F9">
            <v>0</v>
          </cell>
          <cell r="M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F16">
            <v>0</v>
          </cell>
          <cell r="M16">
            <v>0</v>
          </cell>
        </row>
        <row r="17">
          <cell r="F17">
            <v>0</v>
          </cell>
          <cell r="M17">
            <v>0</v>
          </cell>
        </row>
        <row r="18">
          <cell r="F18">
            <v>0</v>
          </cell>
          <cell r="M18">
            <v>0</v>
          </cell>
        </row>
        <row r="19">
          <cell r="F19">
            <v>0</v>
          </cell>
          <cell r="M19">
            <v>0</v>
          </cell>
        </row>
        <row r="20">
          <cell r="F20">
            <v>0</v>
          </cell>
          <cell r="M20">
            <v>0</v>
          </cell>
        </row>
        <row r="21">
          <cell r="F21">
            <v>0</v>
          </cell>
          <cell r="M21">
            <v>0</v>
          </cell>
        </row>
        <row r="22">
          <cell r="F22">
            <v>0</v>
          </cell>
          <cell r="M22">
            <v>0</v>
          </cell>
        </row>
        <row r="23">
          <cell r="F23">
            <v>0</v>
          </cell>
          <cell r="M23">
            <v>0</v>
          </cell>
        </row>
        <row r="24">
          <cell r="F24">
            <v>0</v>
          </cell>
          <cell r="M24">
            <v>0</v>
          </cell>
        </row>
        <row r="25">
          <cell r="F25">
            <v>0</v>
          </cell>
          <cell r="M25">
            <v>0</v>
          </cell>
        </row>
        <row r="26">
          <cell r="F26">
            <v>0</v>
          </cell>
          <cell r="M26">
            <v>0</v>
          </cell>
        </row>
        <row r="27">
          <cell r="F27">
            <v>0</v>
          </cell>
          <cell r="M27">
            <v>0</v>
          </cell>
        </row>
        <row r="28">
          <cell r="F28">
            <v>0</v>
          </cell>
          <cell r="M28">
            <v>0</v>
          </cell>
        </row>
        <row r="29">
          <cell r="F29">
            <v>0</v>
          </cell>
        </row>
        <row r="30">
          <cell r="F30">
            <v>0</v>
          </cell>
          <cell r="M30">
            <v>0</v>
          </cell>
        </row>
        <row r="31">
          <cell r="F31">
            <v>0</v>
          </cell>
          <cell r="M31">
            <v>0</v>
          </cell>
        </row>
        <row r="32">
          <cell r="F32">
            <v>0</v>
          </cell>
        </row>
        <row r="33">
          <cell r="F33">
            <v>0</v>
          </cell>
        </row>
        <row r="34">
          <cell r="F34">
            <v>0</v>
          </cell>
        </row>
        <row r="35">
          <cell r="F35">
            <v>0</v>
          </cell>
        </row>
        <row r="36">
          <cell r="F36">
            <v>0</v>
          </cell>
          <cell r="K36">
            <v>0</v>
          </cell>
          <cell r="N36">
            <v>0</v>
          </cell>
        </row>
        <row r="37">
          <cell r="F37">
            <v>0</v>
          </cell>
        </row>
        <row r="38">
          <cell r="F38">
            <v>0</v>
          </cell>
          <cell r="K38">
            <v>0</v>
          </cell>
        </row>
        <row r="39">
          <cell r="F39">
            <v>0</v>
          </cell>
          <cell r="K39">
            <v>0</v>
          </cell>
          <cell r="M39">
            <v>0</v>
          </cell>
        </row>
        <row r="40">
          <cell r="F40">
            <v>0</v>
          </cell>
        </row>
        <row r="43">
          <cell r="M43">
            <v>0</v>
          </cell>
        </row>
        <row r="49">
          <cell r="M49"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5"/>
  <sheetViews>
    <sheetView zoomScaleNormal="100" workbookViewId="0">
      <selection activeCell="F6" sqref="F6"/>
    </sheetView>
  </sheetViews>
  <sheetFormatPr defaultColWidth="8.81640625" defaultRowHeight="14.5" x14ac:dyDescent="0.35"/>
  <cols>
    <col min="1" max="1" width="33.81640625" style="262" customWidth="1"/>
    <col min="2" max="2" width="11.81640625" style="239" customWidth="1"/>
    <col min="3" max="3" width="63" style="239" customWidth="1"/>
    <col min="4" max="6" width="8.81640625" style="239"/>
    <col min="7" max="7" width="63" style="260" hidden="1" customWidth="1"/>
    <col min="8" max="16384" width="8.81640625" style="239"/>
  </cols>
  <sheetData>
    <row r="2" spans="1:7" s="258" customFormat="1" ht="20" x14ac:dyDescent="0.4">
      <c r="A2" s="342"/>
      <c r="B2" s="342"/>
      <c r="C2" s="342"/>
    </row>
    <row r="3" spans="1:7" s="258" customFormat="1" ht="20" x14ac:dyDescent="0.4">
      <c r="A3" s="223"/>
      <c r="B3" s="224"/>
      <c r="C3" s="225"/>
    </row>
    <row r="4" spans="1:7" s="258" customFormat="1" ht="20" x14ac:dyDescent="0.4">
      <c r="A4" s="223" t="s">
        <v>0</v>
      </c>
      <c r="B4" s="224"/>
      <c r="C4" s="225"/>
    </row>
    <row r="5" spans="1:7" s="258" customFormat="1" ht="20" x14ac:dyDescent="0.4">
      <c r="A5" s="223"/>
      <c r="B5" s="224"/>
      <c r="C5" s="225"/>
    </row>
    <row r="6" spans="1:7" s="258" customFormat="1" ht="31.5" customHeight="1" x14ac:dyDescent="0.4">
      <c r="A6" s="226"/>
      <c r="B6" s="227"/>
      <c r="C6" s="228"/>
    </row>
    <row r="7" spans="1:7" ht="20.149999999999999" customHeight="1" x14ac:dyDescent="0.35">
      <c r="A7" s="343" t="s">
        <v>1</v>
      </c>
      <c r="B7" s="343"/>
      <c r="C7" s="343"/>
      <c r="G7" s="259" t="s">
        <v>2</v>
      </c>
    </row>
    <row r="8" spans="1:7" ht="20.149999999999999" customHeight="1" x14ac:dyDescent="0.35">
      <c r="A8" s="341" t="s">
        <v>3</v>
      </c>
      <c r="B8" s="341"/>
      <c r="C8" s="231"/>
    </row>
    <row r="9" spans="1:7" ht="20.149999999999999" customHeight="1" x14ac:dyDescent="0.35">
      <c r="A9" s="341" t="s">
        <v>4</v>
      </c>
      <c r="B9" s="341"/>
      <c r="C9" s="231"/>
    </row>
    <row r="10" spans="1:7" ht="20.149999999999999" customHeight="1" x14ac:dyDescent="0.35">
      <c r="A10" s="341" t="s">
        <v>5</v>
      </c>
      <c r="B10" s="341"/>
      <c r="C10" s="231"/>
      <c r="G10" s="261" t="s">
        <v>6</v>
      </c>
    </row>
    <row r="11" spans="1:7" ht="20.149999999999999" customHeight="1" x14ac:dyDescent="0.35">
      <c r="A11" s="341" t="s">
        <v>7</v>
      </c>
      <c r="B11" s="341"/>
      <c r="C11" s="232"/>
      <c r="G11" s="261"/>
    </row>
    <row r="12" spans="1:7" ht="20.149999999999999" customHeight="1" x14ac:dyDescent="0.35">
      <c r="A12" s="341" t="s">
        <v>8</v>
      </c>
      <c r="B12" s="341"/>
      <c r="C12" s="232"/>
      <c r="G12" s="261"/>
    </row>
    <row r="13" spans="1:7" ht="20.149999999999999" customHeight="1" x14ac:dyDescent="0.35">
      <c r="A13" s="341" t="s">
        <v>9</v>
      </c>
      <c r="B13" s="341"/>
      <c r="C13" s="232"/>
      <c r="G13" s="261"/>
    </row>
    <row r="14" spans="1:7" ht="20.149999999999999" customHeight="1" x14ac:dyDescent="0.35">
      <c r="A14" s="344"/>
      <c r="B14" s="344"/>
      <c r="C14" s="229"/>
      <c r="G14" s="261"/>
    </row>
    <row r="15" spans="1:7" ht="20.149999999999999" customHeight="1" x14ac:dyDescent="0.35">
      <c r="A15" s="344" t="s">
        <v>10</v>
      </c>
      <c r="B15" s="344"/>
      <c r="C15" s="230"/>
      <c r="G15" s="261"/>
    </row>
    <row r="16" spans="1:7" ht="20.149999999999999" customHeight="1" x14ac:dyDescent="0.35">
      <c r="A16" s="341" t="s">
        <v>11</v>
      </c>
      <c r="B16" s="341"/>
      <c r="C16" s="233"/>
      <c r="G16" s="261" t="s">
        <v>12</v>
      </c>
    </row>
    <row r="17" spans="1:3" ht="20.149999999999999" customHeight="1" x14ac:dyDescent="0.35">
      <c r="A17" s="341" t="s">
        <v>13</v>
      </c>
      <c r="B17" s="341"/>
      <c r="C17" s="234"/>
    </row>
    <row r="18" spans="1:3" ht="20.149999999999999" customHeight="1" x14ac:dyDescent="0.35">
      <c r="A18" s="341" t="s">
        <v>14</v>
      </c>
      <c r="B18" s="341"/>
      <c r="C18" s="233"/>
    </row>
    <row r="19" spans="1:3" ht="20.149999999999999" customHeight="1" x14ac:dyDescent="0.35">
      <c r="A19" s="341" t="s">
        <v>15</v>
      </c>
      <c r="B19" s="341"/>
      <c r="C19" s="235"/>
    </row>
    <row r="20" spans="1:3" ht="20.149999999999999" customHeight="1" x14ac:dyDescent="0.35">
      <c r="A20" s="346" t="s">
        <v>16</v>
      </c>
      <c r="B20" s="346"/>
      <c r="C20" s="236"/>
    </row>
    <row r="21" spans="1:3" ht="20.149999999999999" customHeight="1" x14ac:dyDescent="0.35">
      <c r="A21" s="346" t="s">
        <v>17</v>
      </c>
      <c r="B21" s="346"/>
      <c r="C21" s="237"/>
    </row>
    <row r="22" spans="1:3" ht="20.149999999999999" customHeight="1" x14ac:dyDescent="0.35">
      <c r="A22" s="346" t="s">
        <v>18</v>
      </c>
      <c r="B22" s="346"/>
      <c r="C22" s="238"/>
    </row>
    <row r="23" spans="1:3" ht="20.149999999999999" customHeight="1" x14ac:dyDescent="0.35">
      <c r="A23" s="341" t="s">
        <v>19</v>
      </c>
      <c r="B23" s="341"/>
      <c r="C23" s="18"/>
    </row>
    <row r="24" spans="1:3" x14ac:dyDescent="0.35">
      <c r="A24" s="341"/>
      <c r="B24" s="341"/>
      <c r="C24" s="18"/>
    </row>
    <row r="25" spans="1:3" ht="103.5" customHeight="1" x14ac:dyDescent="0.35">
      <c r="A25" s="345" t="s">
        <v>20</v>
      </c>
      <c r="B25" s="345"/>
      <c r="C25" s="293"/>
    </row>
  </sheetData>
  <sheetProtection algorithmName="SHA-512" hashValue="1KVsUt2gVkDaza44nH0zpRxaCrEdkJATSpO9gxs7T/VXFOQ7BEdlXWUr+LflegfwOdXPAV01cpiyIYQaeAUSMQ==" saltValue="PWb2uweAeaHkV7hbCiWlkQ==" spinCount="100000" sheet="1" formatCells="0" selectLockedCells="1"/>
  <mergeCells count="20">
    <mergeCell ref="A24:B24"/>
    <mergeCell ref="A25:B25"/>
    <mergeCell ref="A22:B22"/>
    <mergeCell ref="A23:B23"/>
    <mergeCell ref="A17:B17"/>
    <mergeCell ref="A18:B18"/>
    <mergeCell ref="A19:B19"/>
    <mergeCell ref="A20:B20"/>
    <mergeCell ref="A21:B21"/>
    <mergeCell ref="A16:B16"/>
    <mergeCell ref="A2:C2"/>
    <mergeCell ref="A7:C7"/>
    <mergeCell ref="A8:B8"/>
    <mergeCell ref="A9:B9"/>
    <mergeCell ref="A10:B10"/>
    <mergeCell ref="A11:B11"/>
    <mergeCell ref="A12:B12"/>
    <mergeCell ref="A13:B13"/>
    <mergeCell ref="A14:B14"/>
    <mergeCell ref="A15:B15"/>
  </mergeCell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workbookViewId="0">
      <selection activeCell="B2" sqref="B2"/>
    </sheetView>
  </sheetViews>
  <sheetFormatPr defaultColWidth="9.1796875" defaultRowHeight="14.5" x14ac:dyDescent="0.35"/>
  <cols>
    <col min="1" max="1" width="29.81640625" style="239" customWidth="1"/>
    <col min="2" max="2" width="26.26953125" style="239" customWidth="1"/>
    <col min="3" max="3" width="26.1796875" style="239" customWidth="1"/>
    <col min="4" max="5" width="23.54296875" style="239" customWidth="1"/>
    <col min="6" max="16384" width="9.1796875" style="239"/>
  </cols>
  <sheetData>
    <row r="1" spans="1:5" ht="31" x14ac:dyDescent="0.7">
      <c r="A1" s="212" t="s">
        <v>21</v>
      </c>
      <c r="B1"/>
      <c r="C1"/>
      <c r="D1"/>
    </row>
    <row r="2" spans="1:5" x14ac:dyDescent="0.35">
      <c r="A2" s="80" t="s">
        <v>22</v>
      </c>
    </row>
    <row r="3" spans="1:5" x14ac:dyDescent="0.35">
      <c r="A3" s="80" t="s">
        <v>23</v>
      </c>
    </row>
    <row r="4" spans="1:5" x14ac:dyDescent="0.35">
      <c r="A4" s="80" t="s">
        <v>24</v>
      </c>
    </row>
    <row r="5" spans="1:5" x14ac:dyDescent="0.35">
      <c r="A5"/>
      <c r="B5"/>
      <c r="C5"/>
      <c r="D5"/>
    </row>
    <row r="6" spans="1:5" ht="31" x14ac:dyDescent="0.7">
      <c r="A6"/>
      <c r="B6" s="349" t="s">
        <v>25</v>
      </c>
      <c r="C6" s="349"/>
      <c r="D6" s="349"/>
      <c r="E6" s="349"/>
    </row>
    <row r="7" spans="1:5" ht="18.5" x14ac:dyDescent="0.45">
      <c r="A7" s="213"/>
      <c r="B7" s="240" t="s">
        <v>26</v>
      </c>
      <c r="C7" s="240" t="s">
        <v>27</v>
      </c>
      <c r="D7" s="240" t="s">
        <v>28</v>
      </c>
      <c r="E7" s="240" t="s">
        <v>29</v>
      </c>
    </row>
    <row r="8" spans="1:5" ht="18.5" x14ac:dyDescent="0.45">
      <c r="A8" s="214" t="s">
        <v>30</v>
      </c>
      <c r="B8" s="215">
        <v>15</v>
      </c>
      <c r="C8" s="222">
        <f>'4. Resilience'!F2</f>
        <v>0</v>
      </c>
      <c r="D8" s="292" t="str">
        <f>IF(C8&gt;=10, "Y","")</f>
        <v/>
      </c>
      <c r="E8" s="18"/>
    </row>
    <row r="9" spans="1:5" ht="18.5" x14ac:dyDescent="0.45">
      <c r="A9" s="216" t="s">
        <v>31</v>
      </c>
      <c r="B9" s="215">
        <v>15</v>
      </c>
      <c r="C9" s="222">
        <f>'5. Whole Life Carbon'!H2</f>
        <v>0</v>
      </c>
      <c r="D9" s="292" t="str">
        <f>IF(C9&gt;=10, "Y","")</f>
        <v/>
      </c>
      <c r="E9" s="18"/>
    </row>
    <row r="10" spans="1:5" ht="18.5" x14ac:dyDescent="0.45">
      <c r="A10" s="217" t="s">
        <v>32</v>
      </c>
      <c r="B10" s="215">
        <v>15</v>
      </c>
      <c r="C10" s="222">
        <f>'6. Health&amp;Wellbeing'!H2</f>
        <v>0</v>
      </c>
      <c r="D10" s="292" t="str">
        <f>IF(C10&gt;=10, "Y","")</f>
        <v/>
      </c>
      <c r="E10" s="18"/>
    </row>
    <row r="11" spans="1:5" ht="18.5" x14ac:dyDescent="0.45">
      <c r="A11" s="218" t="s">
        <v>33</v>
      </c>
      <c r="B11" s="215">
        <v>15</v>
      </c>
      <c r="C11" s="222">
        <f>'7. Intelligence'!F2</f>
        <v>0</v>
      </c>
      <c r="D11" s="292" t="str">
        <f>IF(AND('7. Intelligence'!C13="N",'2. Summary'!C11&gt;9.99),"Y",IF(AND('7. Intelligence'!C13="Y",'2. Summary'!C11&gt;9.99,'7. Intelligence'!F17&gt;0.1),"Y",""))</f>
        <v/>
      </c>
      <c r="E11" s="18"/>
    </row>
    <row r="12" spans="1:5" ht="18.5" x14ac:dyDescent="0.45">
      <c r="A12" s="241" t="s">
        <v>34</v>
      </c>
      <c r="B12" s="215">
        <v>15</v>
      </c>
      <c r="C12" s="222">
        <f>D32</f>
        <v>0</v>
      </c>
      <c r="D12" s="292" t="str">
        <f>IF('8. Maintainability'!C76="Yes","Y","")</f>
        <v/>
      </c>
      <c r="E12" s="18"/>
    </row>
    <row r="13" spans="1:5" ht="18.5" x14ac:dyDescent="0.45">
      <c r="A13" s="219" t="s">
        <v>35</v>
      </c>
      <c r="B13" s="240">
        <v>75</v>
      </c>
      <c r="C13" s="222">
        <f>SUM(C8:C12)</f>
        <v>0</v>
      </c>
      <c r="D13" s="79"/>
      <c r="E13" s="18"/>
    </row>
    <row r="14" spans="1:5" x14ac:dyDescent="0.35">
      <c r="A14"/>
      <c r="B14"/>
      <c r="C14"/>
      <c r="D14"/>
    </row>
    <row r="15" spans="1:5" x14ac:dyDescent="0.35">
      <c r="A15"/>
      <c r="B15"/>
      <c r="C15"/>
      <c r="D15"/>
    </row>
    <row r="16" spans="1:5" x14ac:dyDescent="0.35">
      <c r="A16"/>
      <c r="B16"/>
      <c r="C16"/>
      <c r="D16"/>
    </row>
    <row r="17" spans="1:4" ht="18.5" x14ac:dyDescent="0.45">
      <c r="A17" s="347" t="s">
        <v>36</v>
      </c>
      <c r="B17" s="347"/>
      <c r="C17" s="240" t="s">
        <v>26</v>
      </c>
      <c r="D17" s="240" t="s">
        <v>27</v>
      </c>
    </row>
    <row r="18" spans="1:4" ht="18.5" x14ac:dyDescent="0.45">
      <c r="A18" s="214" t="s">
        <v>37</v>
      </c>
      <c r="B18" s="214" t="s">
        <v>38</v>
      </c>
      <c r="C18" s="215">
        <v>5</v>
      </c>
      <c r="D18" s="222">
        <f>'4. Resilience'!F3</f>
        <v>0</v>
      </c>
    </row>
    <row r="19" spans="1:4" ht="18.5" x14ac:dyDescent="0.45">
      <c r="A19" s="214" t="s">
        <v>39</v>
      </c>
      <c r="B19" s="214" t="s">
        <v>40</v>
      </c>
      <c r="C19" s="215">
        <v>5</v>
      </c>
      <c r="D19" s="222">
        <f>'4. Resilience'!F28</f>
        <v>0</v>
      </c>
    </row>
    <row r="20" spans="1:4" ht="18.5" x14ac:dyDescent="0.45">
      <c r="A20" s="214" t="s">
        <v>41</v>
      </c>
      <c r="B20" s="214" t="s">
        <v>42</v>
      </c>
      <c r="C20" s="215">
        <v>5</v>
      </c>
      <c r="D20" s="222">
        <f>'4. Resilience'!F54</f>
        <v>0</v>
      </c>
    </row>
    <row r="21" spans="1:4" ht="18.5" x14ac:dyDescent="0.45">
      <c r="A21" s="216" t="s">
        <v>43</v>
      </c>
      <c r="B21" s="216" t="s">
        <v>44</v>
      </c>
      <c r="C21" s="215">
        <v>5</v>
      </c>
      <c r="D21" s="222">
        <f>'5. Whole Life Carbon'!H3</f>
        <v>0</v>
      </c>
    </row>
    <row r="22" spans="1:4" ht="18.5" x14ac:dyDescent="0.45">
      <c r="A22" s="216" t="s">
        <v>45</v>
      </c>
      <c r="B22" s="216" t="s">
        <v>46</v>
      </c>
      <c r="C22" s="215">
        <v>5</v>
      </c>
      <c r="D22" s="222">
        <f>'5. Whole Life Carbon'!H30</f>
        <v>0</v>
      </c>
    </row>
    <row r="23" spans="1:4" ht="18.5" x14ac:dyDescent="0.45">
      <c r="A23" s="216" t="s">
        <v>47</v>
      </c>
      <c r="B23" s="216" t="s">
        <v>48</v>
      </c>
      <c r="C23" s="215">
        <v>5</v>
      </c>
      <c r="D23" s="222">
        <f>'5. Whole Life Carbon'!H69</f>
        <v>0</v>
      </c>
    </row>
    <row r="24" spans="1:4" ht="18.5" x14ac:dyDescent="0.45">
      <c r="A24" s="217" t="s">
        <v>49</v>
      </c>
      <c r="B24" s="217" t="s">
        <v>50</v>
      </c>
      <c r="C24" s="215">
        <v>5</v>
      </c>
      <c r="D24" s="222">
        <f>'6. Health&amp;Wellbeing'!H3</f>
        <v>0</v>
      </c>
    </row>
    <row r="25" spans="1:4" ht="18.5" x14ac:dyDescent="0.45">
      <c r="A25" s="217" t="s">
        <v>51</v>
      </c>
      <c r="B25" s="217" t="s">
        <v>52</v>
      </c>
      <c r="C25" s="215">
        <v>5</v>
      </c>
      <c r="D25" s="222">
        <f>'6. Health&amp;Wellbeing'!H45</f>
        <v>0</v>
      </c>
    </row>
    <row r="26" spans="1:4" ht="18.5" x14ac:dyDescent="0.45">
      <c r="A26" s="217" t="s">
        <v>53</v>
      </c>
      <c r="B26" s="217" t="s">
        <v>54</v>
      </c>
      <c r="C26" s="215">
        <v>5</v>
      </c>
      <c r="D26" s="222">
        <f>'6. Health&amp;Wellbeing'!H70</f>
        <v>0</v>
      </c>
    </row>
    <row r="27" spans="1:4" ht="18.5" x14ac:dyDescent="0.45">
      <c r="A27" s="218" t="s">
        <v>55</v>
      </c>
      <c r="B27" s="218" t="s">
        <v>56</v>
      </c>
      <c r="C27" s="215">
        <v>5</v>
      </c>
      <c r="D27" s="222">
        <f>'7. Intelligence'!F3</f>
        <v>0</v>
      </c>
    </row>
    <row r="28" spans="1:4" ht="18.5" x14ac:dyDescent="0.45">
      <c r="A28" s="218" t="s">
        <v>57</v>
      </c>
      <c r="B28" s="218" t="s">
        <v>58</v>
      </c>
      <c r="C28" s="215">
        <v>5</v>
      </c>
      <c r="D28" s="222">
        <f>'7. Intelligence'!F22</f>
        <v>0</v>
      </c>
    </row>
    <row r="29" spans="1:4" ht="18.5" x14ac:dyDescent="0.45">
      <c r="A29" s="218" t="s">
        <v>59</v>
      </c>
      <c r="B29" s="218" t="s">
        <v>60</v>
      </c>
      <c r="C29" s="215">
        <v>5</v>
      </c>
      <c r="D29" s="222">
        <f>'7. Intelligence'!F33</f>
        <v>0</v>
      </c>
    </row>
    <row r="30" spans="1:4" x14ac:dyDescent="0.35">
      <c r="A30"/>
      <c r="B30"/>
      <c r="C30"/>
      <c r="D30"/>
    </row>
    <row r="31" spans="1:4" ht="37" x14ac:dyDescent="0.35">
      <c r="A31" s="348" t="s">
        <v>34</v>
      </c>
      <c r="B31" s="220" t="s">
        <v>61</v>
      </c>
      <c r="C31" s="220" t="s">
        <v>62</v>
      </c>
      <c r="D31" s="220" t="s">
        <v>63</v>
      </c>
    </row>
    <row r="32" spans="1:4" ht="18.75" customHeight="1" x14ac:dyDescent="0.45">
      <c r="A32" s="348"/>
      <c r="B32" s="221">
        <f>'8. Maintainability'!C7</f>
        <v>124</v>
      </c>
      <c r="C32" s="222">
        <f>IF(AND('8. Maintainability'!E73=0,'8. Maintainability'!G73=""),0,IF('8. Maintainability'!E73=0,'8. Maintainability'!G73,'8. Maintainability'!E73))</f>
        <v>0</v>
      </c>
      <c r="D32" s="222">
        <f>IF('8. Maintainability'!C75="",0,'8. Maintainability'!C75)</f>
        <v>0</v>
      </c>
    </row>
  </sheetData>
  <sheetProtection algorithmName="SHA-512" hashValue="oj8Pp8Sfigj/Gp2HBXByJmKM6dndW6CSdBdV0N9aQP3OBz8ERWsyUv8AVk3oGbrVSEYWL6oihl1p60yokMeKHw==" saltValue="H1em+Cqf7RGvPRg2k+jUaQ==" spinCount="100000" sheet="1" formatCells="0" selectLockedCells="1"/>
  <mergeCells count="3">
    <mergeCell ref="A17:B17"/>
    <mergeCell ref="A31:A32"/>
    <mergeCell ref="B6:E6"/>
  </mergeCell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zoomScaleNormal="100" workbookViewId="0">
      <selection activeCell="C16" sqref="C16"/>
    </sheetView>
  </sheetViews>
  <sheetFormatPr defaultColWidth="8.7265625" defaultRowHeight="14.5" x14ac:dyDescent="0.35"/>
  <cols>
    <col min="1" max="1" width="8.7265625" style="239" customWidth="1"/>
    <col min="2" max="2" width="65.7265625" style="239" customWidth="1"/>
    <col min="3" max="4" width="10.7265625" style="239" customWidth="1"/>
    <col min="5" max="5" width="27.453125" style="239" customWidth="1"/>
    <col min="6" max="6" width="8.7265625" style="239"/>
    <col min="7" max="7" width="15.54296875" style="239" customWidth="1"/>
    <col min="8" max="8" width="17.26953125" style="239" customWidth="1"/>
    <col min="9" max="16384" width="8.7265625" style="239"/>
  </cols>
  <sheetData>
    <row r="1" spans="1:5" ht="31" x14ac:dyDescent="0.35">
      <c r="A1" s="352" t="s">
        <v>64</v>
      </c>
      <c r="B1" s="352"/>
      <c r="C1" s="264" t="s">
        <v>65</v>
      </c>
      <c r="D1" s="19" t="s">
        <v>66</v>
      </c>
      <c r="E1" s="19" t="s">
        <v>67</v>
      </c>
    </row>
    <row r="2" spans="1:5" ht="21" x14ac:dyDescent="0.35">
      <c r="A2" s="351" t="s">
        <v>68</v>
      </c>
      <c r="B2" s="351"/>
      <c r="C2" s="265"/>
      <c r="D2" s="206"/>
      <c r="E2" s="206"/>
    </row>
    <row r="3" spans="1:5" ht="15.5" x14ac:dyDescent="0.35">
      <c r="A3" s="79"/>
      <c r="B3" s="7" t="s">
        <v>69</v>
      </c>
      <c r="C3" s="17"/>
      <c r="D3" s="32" t="s">
        <v>70</v>
      </c>
      <c r="E3" s="296"/>
    </row>
    <row r="4" spans="1:5" ht="15.5" x14ac:dyDescent="0.35">
      <c r="A4" s="350" t="s">
        <v>71</v>
      </c>
      <c r="B4" s="350"/>
      <c r="C4" s="207"/>
      <c r="D4" s="207"/>
      <c r="E4" s="207"/>
    </row>
    <row r="5" spans="1:5" ht="15.5" x14ac:dyDescent="0.35">
      <c r="A5" s="79"/>
      <c r="B5" s="7" t="s">
        <v>72</v>
      </c>
      <c r="C5" s="17"/>
      <c r="D5" s="32" t="s">
        <v>73</v>
      </c>
      <c r="E5" s="296"/>
    </row>
    <row r="6" spans="1:5" ht="15.5" x14ac:dyDescent="0.35">
      <c r="A6" s="350" t="s">
        <v>74</v>
      </c>
      <c r="B6" s="350"/>
      <c r="C6" s="208"/>
      <c r="D6" s="208"/>
      <c r="E6" s="208"/>
    </row>
    <row r="7" spans="1:5" ht="15.5" x14ac:dyDescent="0.35">
      <c r="A7" s="242" t="s">
        <v>75</v>
      </c>
      <c r="B7" s="209" t="s">
        <v>76</v>
      </c>
      <c r="C7" s="17"/>
      <c r="D7" s="32" t="s">
        <v>73</v>
      </c>
      <c r="E7" s="296"/>
    </row>
    <row r="8" spans="1:5" ht="15.5" x14ac:dyDescent="0.35">
      <c r="A8" s="242" t="s">
        <v>77</v>
      </c>
      <c r="B8" s="8" t="s">
        <v>78</v>
      </c>
      <c r="C8" s="17"/>
      <c r="D8" s="32" t="s">
        <v>79</v>
      </c>
      <c r="E8" s="296"/>
    </row>
    <row r="9" spans="1:5" ht="15.5" x14ac:dyDescent="0.35">
      <c r="A9" s="353" t="s">
        <v>80</v>
      </c>
      <c r="B9" s="8" t="s">
        <v>81</v>
      </c>
      <c r="C9" s="17"/>
      <c r="D9" s="32" t="s">
        <v>73</v>
      </c>
      <c r="E9" s="296"/>
    </row>
    <row r="10" spans="1:5" ht="15.5" x14ac:dyDescent="0.35">
      <c r="A10" s="353"/>
      <c r="B10" s="8" t="s">
        <v>82</v>
      </c>
      <c r="C10" s="32"/>
      <c r="D10" s="32"/>
      <c r="E10" s="296"/>
    </row>
    <row r="11" spans="1:5" ht="15.5" x14ac:dyDescent="0.35">
      <c r="A11" s="353"/>
      <c r="B11" s="8" t="s">
        <v>83</v>
      </c>
      <c r="C11" s="17"/>
      <c r="D11" s="32" t="s">
        <v>73</v>
      </c>
      <c r="E11" s="296"/>
    </row>
    <row r="12" spans="1:5" ht="15.5" x14ac:dyDescent="0.35">
      <c r="A12" s="353"/>
      <c r="B12" s="8" t="s">
        <v>84</v>
      </c>
      <c r="C12" s="17"/>
      <c r="D12" s="32" t="s">
        <v>73</v>
      </c>
      <c r="E12" s="296"/>
    </row>
    <row r="13" spans="1:5" ht="15.5" x14ac:dyDescent="0.35">
      <c r="A13" s="242" t="s">
        <v>85</v>
      </c>
      <c r="B13" s="8" t="s">
        <v>86</v>
      </c>
      <c r="C13" s="17"/>
      <c r="D13" s="32" t="s">
        <v>73</v>
      </c>
      <c r="E13" s="296"/>
    </row>
    <row r="14" spans="1:5" ht="15.5" x14ac:dyDescent="0.35">
      <c r="A14" s="242" t="s">
        <v>87</v>
      </c>
      <c r="B14" s="8" t="s">
        <v>88</v>
      </c>
      <c r="C14" s="17"/>
      <c r="D14" s="147" t="s">
        <v>79</v>
      </c>
      <c r="E14" s="297"/>
    </row>
    <row r="15" spans="1:5" ht="15.5" x14ac:dyDescent="0.35">
      <c r="A15" s="353" t="s">
        <v>89</v>
      </c>
      <c r="B15" s="8" t="s">
        <v>90</v>
      </c>
      <c r="C15" s="79"/>
      <c r="D15" s="79"/>
      <c r="E15" s="18"/>
    </row>
    <row r="16" spans="1:5" ht="46.5" x14ac:dyDescent="0.35">
      <c r="A16" s="353"/>
      <c r="B16" s="9" t="s">
        <v>91</v>
      </c>
      <c r="C16" s="17"/>
      <c r="D16" s="32" t="s">
        <v>70</v>
      </c>
      <c r="E16" s="296"/>
    </row>
    <row r="17" spans="1:5" ht="15.5" x14ac:dyDescent="0.35">
      <c r="A17" s="353"/>
      <c r="B17" s="210" t="s">
        <v>92</v>
      </c>
      <c r="C17" s="17"/>
      <c r="D17" s="32" t="s">
        <v>70</v>
      </c>
      <c r="E17" s="296"/>
    </row>
    <row r="18" spans="1:5" ht="31" x14ac:dyDescent="0.35">
      <c r="A18" s="353"/>
      <c r="B18" s="9" t="s">
        <v>93</v>
      </c>
      <c r="C18" s="17"/>
      <c r="D18" s="32" t="s">
        <v>70</v>
      </c>
      <c r="E18" s="296"/>
    </row>
    <row r="19" spans="1:5" ht="46.5" x14ac:dyDescent="0.35">
      <c r="A19" s="353"/>
      <c r="B19" s="9" t="s">
        <v>94</v>
      </c>
      <c r="C19" s="17"/>
      <c r="D19" s="32" t="s">
        <v>70</v>
      </c>
      <c r="E19" s="296"/>
    </row>
    <row r="20" spans="1:5" ht="31" x14ac:dyDescent="0.35">
      <c r="A20" s="242" t="s">
        <v>95</v>
      </c>
      <c r="B20" s="9" t="s">
        <v>96</v>
      </c>
      <c r="C20" s="211"/>
      <c r="D20" s="32" t="s">
        <v>73</v>
      </c>
      <c r="E20" s="296"/>
    </row>
    <row r="21" spans="1:5" ht="31" x14ac:dyDescent="0.35">
      <c r="A21" s="242" t="s">
        <v>97</v>
      </c>
      <c r="B21" s="9" t="s">
        <v>98</v>
      </c>
      <c r="C21" s="211"/>
      <c r="D21" s="32" t="s">
        <v>73</v>
      </c>
      <c r="E21" s="296"/>
    </row>
    <row r="22" spans="1:5" ht="15.5" x14ac:dyDescent="0.35">
      <c r="A22" s="350" t="s">
        <v>99</v>
      </c>
      <c r="B22" s="350"/>
      <c r="C22" s="208"/>
      <c r="D22" s="208"/>
      <c r="E22" s="208"/>
    </row>
    <row r="23" spans="1:5" ht="15.5" x14ac:dyDescent="0.35">
      <c r="A23" s="242" t="s">
        <v>75</v>
      </c>
      <c r="B23" s="44" t="s">
        <v>100</v>
      </c>
      <c r="C23" s="211"/>
      <c r="D23" s="32" t="s">
        <v>73</v>
      </c>
      <c r="E23" s="296"/>
    </row>
    <row r="24" spans="1:5" ht="15.5" x14ac:dyDescent="0.35">
      <c r="A24" s="242" t="s">
        <v>77</v>
      </c>
      <c r="B24" s="44" t="s">
        <v>101</v>
      </c>
      <c r="C24" s="211"/>
      <c r="D24" s="32" t="s">
        <v>73</v>
      </c>
      <c r="E24" s="296"/>
    </row>
  </sheetData>
  <sheetProtection algorithmName="SHA-512" hashValue="4Cjd2CsSVGD7sNWCNle5Xvj1qaS25QvPDy95GzlVhT0Fin5qjDen2raumEcZoUXkA/3aKW7zeDYyECiuPArpPg==" saltValue="KiEOULNTBAFjAva1Qx5lpg==" spinCount="100000" sheet="1" formatCells="0" selectLockedCells="1"/>
  <mergeCells count="7">
    <mergeCell ref="A6:B6"/>
    <mergeCell ref="A4:B4"/>
    <mergeCell ref="A2:B2"/>
    <mergeCell ref="A1:B1"/>
    <mergeCell ref="A22:B22"/>
    <mergeCell ref="A9:A12"/>
    <mergeCell ref="A15:A19"/>
  </mergeCells>
  <dataValidations count="4">
    <dataValidation type="decimal" allowBlank="1" showInputMessage="1" showErrorMessage="1" sqref="C14 C8" xr:uid="{00000000-0002-0000-0200-000000000000}">
      <formula1>0</formula1>
      <formula2>100</formula2>
    </dataValidation>
    <dataValidation type="list" allowBlank="1" showInputMessage="1" showErrorMessage="1" sqref="C3 C16:C19" xr:uid="{00000000-0002-0000-0200-000001000000}">
      <formula1>"Y,N"</formula1>
    </dataValidation>
    <dataValidation type="decimal" allowBlank="1" showInputMessage="1" showErrorMessage="1" sqref="C5 C7 C9:C13" xr:uid="{00000000-0002-0000-0200-000002000000}">
      <formula1>0</formula1>
      <formula2>1000</formula2>
    </dataValidation>
    <dataValidation type="decimal" allowBlank="1" showInputMessage="1" showErrorMessage="1" sqref="C20:C21 C23:C24" xr:uid="{00000000-0002-0000-0200-000003000000}">
      <formula1>0</formula1>
      <formula2>10000</formula2>
    </dataValidation>
  </dataValidations>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tabSelected="1" zoomScaleNormal="100" zoomScalePageLayoutView="55" workbookViewId="0">
      <selection activeCell="C6" sqref="C6"/>
    </sheetView>
  </sheetViews>
  <sheetFormatPr defaultColWidth="8.7265625" defaultRowHeight="15.5" x14ac:dyDescent="0.35"/>
  <cols>
    <col min="1" max="1" width="8.26953125" style="267" customWidth="1"/>
    <col min="2" max="2" width="65.7265625" style="239" customWidth="1"/>
    <col min="3" max="4" width="10.7265625" style="239" customWidth="1"/>
    <col min="5" max="5" width="19.1796875" style="239" customWidth="1"/>
    <col min="6" max="6" width="10.7265625" style="239" customWidth="1"/>
    <col min="7" max="7" width="30.7265625" style="239" customWidth="1"/>
    <col min="8" max="8" width="8.7265625" style="239"/>
    <col min="9" max="9" width="10.7265625" style="239" customWidth="1"/>
    <col min="10" max="11" width="15.7265625" style="239" customWidth="1"/>
    <col min="12" max="12" width="50.7265625" style="239" customWidth="1"/>
    <col min="13" max="16384" width="8.7265625" style="239"/>
  </cols>
  <sheetData>
    <row r="1" spans="1:11" ht="31" x14ac:dyDescent="0.35">
      <c r="A1" s="2"/>
      <c r="B1" s="3" t="s">
        <v>102</v>
      </c>
      <c r="C1" s="19" t="s">
        <v>65</v>
      </c>
      <c r="D1" s="19" t="s">
        <v>66</v>
      </c>
      <c r="E1" s="20" t="s">
        <v>103</v>
      </c>
      <c r="F1" s="19" t="s">
        <v>104</v>
      </c>
      <c r="G1" s="3" t="s">
        <v>67</v>
      </c>
    </row>
    <row r="2" spans="1:11" ht="21" x14ac:dyDescent="0.35">
      <c r="A2" s="356" t="s">
        <v>30</v>
      </c>
      <c r="B2" s="357"/>
      <c r="C2" s="357"/>
      <c r="D2" s="358"/>
      <c r="E2" s="122">
        <v>15</v>
      </c>
      <c r="F2" s="298">
        <f>MIN(SUM(F3,F28,F54,F66), 15)</f>
        <v>0</v>
      </c>
      <c r="G2" s="123" t="s">
        <v>105</v>
      </c>
      <c r="H2" s="354"/>
      <c r="I2" s="355"/>
      <c r="J2" s="355"/>
      <c r="K2" s="355"/>
    </row>
    <row r="3" spans="1:11" x14ac:dyDescent="0.35">
      <c r="A3" s="124" t="s">
        <v>106</v>
      </c>
      <c r="B3" s="384" t="s">
        <v>107</v>
      </c>
      <c r="C3" s="384"/>
      <c r="D3" s="384"/>
      <c r="E3" s="125">
        <v>5</v>
      </c>
      <c r="F3" s="299">
        <f>MIN(SUM(F27,F23,F20,F16,F8),5)</f>
        <v>0</v>
      </c>
      <c r="G3" s="124"/>
      <c r="H3" s="354"/>
      <c r="I3" s="355"/>
      <c r="J3" s="355"/>
      <c r="K3" s="355"/>
    </row>
    <row r="4" spans="1:11" x14ac:dyDescent="0.35">
      <c r="A4" s="126" t="s">
        <v>108</v>
      </c>
      <c r="B4" s="127" t="s">
        <v>109</v>
      </c>
      <c r="C4" s="128"/>
      <c r="D4" s="129"/>
      <c r="E4" s="130"/>
      <c r="F4" s="300"/>
      <c r="G4" s="131"/>
      <c r="H4" s="354"/>
      <c r="I4" s="355"/>
      <c r="J4" s="355"/>
      <c r="K4" s="355"/>
    </row>
    <row r="5" spans="1:11" x14ac:dyDescent="0.35">
      <c r="A5" s="132" t="s">
        <v>110</v>
      </c>
      <c r="B5" s="133" t="s">
        <v>111</v>
      </c>
      <c r="C5" s="134"/>
      <c r="D5" s="135"/>
      <c r="E5" s="136"/>
      <c r="F5" s="301"/>
      <c r="G5" s="137"/>
      <c r="H5" s="354"/>
      <c r="I5" s="355"/>
      <c r="J5" s="355"/>
      <c r="K5" s="355"/>
    </row>
    <row r="6" spans="1:11" ht="31" x14ac:dyDescent="0.35">
      <c r="A6" s="6" t="s">
        <v>75</v>
      </c>
      <c r="B6" s="7" t="s">
        <v>112</v>
      </c>
      <c r="C6" s="4"/>
      <c r="D6" s="32" t="s">
        <v>70</v>
      </c>
      <c r="E6" s="244" t="s">
        <v>113</v>
      </c>
      <c r="F6" s="302">
        <f>IF(C6="Y",1,0)</f>
        <v>0</v>
      </c>
      <c r="G6" s="51"/>
      <c r="H6" s="354"/>
      <c r="I6" s="355"/>
      <c r="J6" s="355"/>
      <c r="K6" s="355"/>
    </row>
    <row r="7" spans="1:11" ht="46.5" x14ac:dyDescent="0.35">
      <c r="A7" s="6" t="s">
        <v>77</v>
      </c>
      <c r="B7" s="7" t="s">
        <v>114</v>
      </c>
      <c r="C7" s="4"/>
      <c r="D7" s="32" t="s">
        <v>70</v>
      </c>
      <c r="E7" s="246" t="s">
        <v>113</v>
      </c>
      <c r="F7" s="302">
        <f>IF((C7="Y")*AND(C6="Y"),1,0)</f>
        <v>0</v>
      </c>
      <c r="G7" s="51"/>
      <c r="H7" s="354"/>
      <c r="I7" s="355"/>
      <c r="J7" s="355"/>
      <c r="K7" s="355"/>
    </row>
    <row r="8" spans="1:11" x14ac:dyDescent="0.35">
      <c r="A8" s="138"/>
      <c r="B8" s="359" t="s">
        <v>115</v>
      </c>
      <c r="C8" s="360"/>
      <c r="D8" s="360"/>
      <c r="E8" s="360"/>
      <c r="F8" s="303">
        <f>MIN((F6+F7),2)</f>
        <v>0</v>
      </c>
      <c r="G8" s="139"/>
      <c r="H8" s="354"/>
      <c r="I8" s="355"/>
      <c r="J8" s="355"/>
      <c r="K8" s="355"/>
    </row>
    <row r="9" spans="1:11" x14ac:dyDescent="0.35">
      <c r="A9" s="140" t="s">
        <v>116</v>
      </c>
      <c r="B9" s="141" t="s">
        <v>117</v>
      </c>
      <c r="C9" s="142"/>
      <c r="D9" s="143"/>
      <c r="E9" s="136"/>
      <c r="F9" s="304"/>
      <c r="G9" s="137"/>
      <c r="H9" s="354"/>
      <c r="I9" s="355"/>
      <c r="J9" s="355"/>
      <c r="K9" s="355"/>
    </row>
    <row r="10" spans="1:11" ht="31" x14ac:dyDescent="0.35">
      <c r="A10" s="368" t="s">
        <v>75</v>
      </c>
      <c r="B10" s="144" t="s">
        <v>118</v>
      </c>
      <c r="C10" s="145"/>
      <c r="D10" s="41"/>
      <c r="E10" s="39"/>
      <c r="F10" s="305"/>
      <c r="G10" s="200"/>
      <c r="H10" s="354"/>
      <c r="I10" s="355"/>
      <c r="J10" s="355"/>
      <c r="K10" s="355"/>
    </row>
    <row r="11" spans="1:11" x14ac:dyDescent="0.35">
      <c r="A11" s="369"/>
      <c r="B11" s="146" t="s">
        <v>119</v>
      </c>
      <c r="C11" s="4"/>
      <c r="D11" s="32" t="s">
        <v>70</v>
      </c>
      <c r="E11" s="246" t="s">
        <v>113</v>
      </c>
      <c r="F11" s="302">
        <f>IF(C11="Y",1,0)</f>
        <v>0</v>
      </c>
      <c r="G11" s="200"/>
      <c r="H11" s="354"/>
      <c r="I11" s="355"/>
      <c r="J11" s="355"/>
      <c r="K11" s="355"/>
    </row>
    <row r="12" spans="1:11" x14ac:dyDescent="0.35">
      <c r="A12" s="369"/>
      <c r="B12" s="146" t="s">
        <v>120</v>
      </c>
      <c r="C12" s="4"/>
      <c r="D12" s="32" t="s">
        <v>70</v>
      </c>
      <c r="E12" s="246" t="s">
        <v>113</v>
      </c>
      <c r="F12" s="302">
        <f>IF(C12="Y",1,0)</f>
        <v>0</v>
      </c>
      <c r="G12" s="200"/>
      <c r="H12" s="354"/>
      <c r="I12" s="355"/>
      <c r="J12" s="355"/>
      <c r="K12" s="355"/>
    </row>
    <row r="13" spans="1:11" x14ac:dyDescent="0.35">
      <c r="A13" s="369"/>
      <c r="B13" s="146" t="s">
        <v>121</v>
      </c>
      <c r="C13" s="4"/>
      <c r="D13" s="32" t="s">
        <v>70</v>
      </c>
      <c r="E13" s="246" t="s">
        <v>113</v>
      </c>
      <c r="F13" s="302">
        <f>IF(C13="Y",1,0)</f>
        <v>0</v>
      </c>
      <c r="G13" s="200"/>
      <c r="H13" s="354"/>
      <c r="I13" s="355"/>
      <c r="J13" s="355"/>
      <c r="K13" s="355"/>
    </row>
    <row r="14" spans="1:11" ht="24.75" customHeight="1" x14ac:dyDescent="0.35">
      <c r="A14" s="370" t="s">
        <v>77</v>
      </c>
      <c r="B14" s="371" t="s">
        <v>122</v>
      </c>
      <c r="C14" s="4"/>
      <c r="D14" s="32" t="s">
        <v>70</v>
      </c>
      <c r="E14" s="385" t="s">
        <v>123</v>
      </c>
      <c r="F14" s="387">
        <f>IF(C15&gt;=90,1,IF(C14="Y",0.5,0))</f>
        <v>0</v>
      </c>
      <c r="G14" s="200"/>
      <c r="H14" s="354"/>
      <c r="I14" s="355"/>
      <c r="J14" s="355"/>
      <c r="K14" s="355"/>
    </row>
    <row r="15" spans="1:11" ht="23.25" customHeight="1" x14ac:dyDescent="0.35">
      <c r="A15" s="370"/>
      <c r="B15" s="372"/>
      <c r="C15" s="199"/>
      <c r="D15" s="147" t="s">
        <v>79</v>
      </c>
      <c r="E15" s="386"/>
      <c r="F15" s="388"/>
      <c r="G15" s="51"/>
      <c r="H15" s="354"/>
      <c r="I15" s="355"/>
      <c r="J15" s="355"/>
      <c r="K15" s="355"/>
    </row>
    <row r="16" spans="1:11" x14ac:dyDescent="0.35">
      <c r="A16" s="148"/>
      <c r="B16" s="359" t="s">
        <v>124</v>
      </c>
      <c r="C16" s="360"/>
      <c r="D16" s="360"/>
      <c r="E16" s="376"/>
      <c r="F16" s="303">
        <f>MIN(SUM(F11:F15),3)</f>
        <v>0</v>
      </c>
      <c r="G16" s="149"/>
      <c r="H16" s="354"/>
      <c r="I16" s="355"/>
      <c r="J16" s="355"/>
      <c r="K16" s="355"/>
    </row>
    <row r="17" spans="1:11" x14ac:dyDescent="0.35">
      <c r="A17" s="126" t="s">
        <v>125</v>
      </c>
      <c r="B17" s="150" t="s">
        <v>126</v>
      </c>
      <c r="C17" s="151"/>
      <c r="D17" s="152"/>
      <c r="E17" s="153"/>
      <c r="F17" s="306"/>
      <c r="G17" s="154"/>
      <c r="H17" s="354"/>
      <c r="I17" s="355"/>
      <c r="J17" s="355"/>
      <c r="K17" s="355"/>
    </row>
    <row r="18" spans="1:11" x14ac:dyDescent="0.35">
      <c r="A18" s="132" t="s">
        <v>127</v>
      </c>
      <c r="B18" s="155" t="s">
        <v>128</v>
      </c>
      <c r="C18" s="156"/>
      <c r="D18" s="157"/>
      <c r="E18" s="136"/>
      <c r="F18" s="307"/>
      <c r="G18" s="137"/>
      <c r="H18" s="354"/>
      <c r="I18" s="355"/>
      <c r="J18" s="355"/>
      <c r="K18" s="355"/>
    </row>
    <row r="19" spans="1:11" ht="108.5" x14ac:dyDescent="0.35">
      <c r="A19" s="8"/>
      <c r="B19" s="44" t="s">
        <v>129</v>
      </c>
      <c r="C19" s="4"/>
      <c r="D19" s="32" t="s">
        <v>70</v>
      </c>
      <c r="E19" s="244" t="s">
        <v>130</v>
      </c>
      <c r="F19" s="302">
        <f>IF(C19="Y",2,0)</f>
        <v>0</v>
      </c>
      <c r="G19" s="51"/>
      <c r="H19" s="354"/>
      <c r="I19" s="355"/>
      <c r="J19" s="355"/>
      <c r="K19" s="355"/>
    </row>
    <row r="20" spans="1:11" x14ac:dyDescent="0.35">
      <c r="A20" s="158"/>
      <c r="B20" s="359" t="s">
        <v>131</v>
      </c>
      <c r="C20" s="360"/>
      <c r="D20" s="360"/>
      <c r="E20" s="360"/>
      <c r="F20" s="303">
        <f>F19</f>
        <v>0</v>
      </c>
      <c r="G20" s="159"/>
      <c r="H20" s="354"/>
      <c r="I20" s="355"/>
      <c r="J20" s="355"/>
      <c r="K20" s="355"/>
    </row>
    <row r="21" spans="1:11" x14ac:dyDescent="0.35">
      <c r="A21" s="132" t="s">
        <v>132</v>
      </c>
      <c r="B21" s="155" t="s">
        <v>133</v>
      </c>
      <c r="C21" s="160"/>
      <c r="D21" s="161"/>
      <c r="E21" s="136"/>
      <c r="F21" s="307"/>
      <c r="G21" s="137"/>
      <c r="H21" s="354"/>
      <c r="I21" s="355"/>
      <c r="J21" s="355"/>
      <c r="K21" s="355"/>
    </row>
    <row r="22" spans="1:11" ht="62" x14ac:dyDescent="0.35">
      <c r="A22" s="6"/>
      <c r="B22" s="162" t="s">
        <v>134</v>
      </c>
      <c r="C22" s="199"/>
      <c r="D22" s="147" t="s">
        <v>79</v>
      </c>
      <c r="E22" s="163" t="s">
        <v>135</v>
      </c>
      <c r="F22" s="308">
        <f>IF(AND(C22&gt;=50, C22&lt;80),0.5,0) + IF(C22&gt;=80,1,0)</f>
        <v>0</v>
      </c>
      <c r="G22" s="53"/>
      <c r="H22" s="354"/>
      <c r="I22" s="355"/>
      <c r="J22" s="355"/>
      <c r="K22" s="355"/>
    </row>
    <row r="23" spans="1:11" x14ac:dyDescent="0.35">
      <c r="A23" s="138"/>
      <c r="B23" s="359" t="s">
        <v>136</v>
      </c>
      <c r="C23" s="360"/>
      <c r="D23" s="360"/>
      <c r="E23" s="360"/>
      <c r="F23" s="309">
        <f>MIN(F22, 1)</f>
        <v>0</v>
      </c>
      <c r="G23" s="138"/>
      <c r="H23" s="354"/>
      <c r="I23" s="355"/>
      <c r="J23" s="355"/>
      <c r="K23" s="355"/>
    </row>
    <row r="24" spans="1:11" x14ac:dyDescent="0.35">
      <c r="A24" s="126" t="s">
        <v>137</v>
      </c>
      <c r="B24" s="150" t="s">
        <v>138</v>
      </c>
      <c r="C24" s="164"/>
      <c r="D24" s="165"/>
      <c r="E24" s="153"/>
      <c r="F24" s="310"/>
      <c r="G24" s="154"/>
      <c r="H24" s="354"/>
      <c r="I24" s="355"/>
      <c r="J24" s="355"/>
      <c r="K24" s="355"/>
    </row>
    <row r="25" spans="1:11" x14ac:dyDescent="0.35">
      <c r="A25" s="132" t="s">
        <v>137</v>
      </c>
      <c r="B25" s="155" t="s">
        <v>139</v>
      </c>
      <c r="C25" s="156"/>
      <c r="D25" s="157"/>
      <c r="E25" s="136"/>
      <c r="F25" s="311"/>
      <c r="G25" s="166"/>
      <c r="H25" s="354"/>
      <c r="I25" s="355"/>
      <c r="J25" s="355"/>
      <c r="K25" s="355"/>
    </row>
    <row r="26" spans="1:11" ht="46.5" x14ac:dyDescent="0.35">
      <c r="A26" s="8"/>
      <c r="B26" s="44" t="s">
        <v>140</v>
      </c>
      <c r="C26" s="167" t="s">
        <v>141</v>
      </c>
      <c r="D26" s="168" t="s">
        <v>141</v>
      </c>
      <c r="E26" s="168" t="s">
        <v>141</v>
      </c>
      <c r="F26" s="312" t="s">
        <v>141</v>
      </c>
      <c r="G26" s="51"/>
      <c r="H26" s="354"/>
      <c r="I26" s="355"/>
      <c r="J26" s="355"/>
      <c r="K26" s="355"/>
    </row>
    <row r="27" spans="1:11" x14ac:dyDescent="0.35">
      <c r="A27" s="139"/>
      <c r="B27" s="359" t="s">
        <v>142</v>
      </c>
      <c r="C27" s="360"/>
      <c r="D27" s="360"/>
      <c r="E27" s="360"/>
      <c r="F27" s="309">
        <f>0</f>
        <v>0</v>
      </c>
      <c r="G27" s="159"/>
      <c r="H27" s="354"/>
      <c r="I27" s="355"/>
      <c r="J27" s="355"/>
      <c r="K27" s="355"/>
    </row>
    <row r="28" spans="1:11" x14ac:dyDescent="0.35">
      <c r="A28" s="124" t="s">
        <v>143</v>
      </c>
      <c r="B28" s="373" t="s">
        <v>144</v>
      </c>
      <c r="C28" s="374"/>
      <c r="D28" s="375"/>
      <c r="E28" s="169">
        <v>5</v>
      </c>
      <c r="F28" s="313">
        <f>MIN(SUM(F53,F47,F39,F35),5)</f>
        <v>0</v>
      </c>
      <c r="G28" s="170"/>
      <c r="H28" s="354"/>
      <c r="I28" s="355"/>
      <c r="J28" s="355"/>
      <c r="K28" s="355"/>
    </row>
    <row r="29" spans="1:11" x14ac:dyDescent="0.35">
      <c r="A29" s="171" t="s">
        <v>145</v>
      </c>
      <c r="B29" s="363" t="s">
        <v>146</v>
      </c>
      <c r="C29" s="364"/>
      <c r="D29" s="172"/>
      <c r="E29" s="173"/>
      <c r="F29" s="314"/>
      <c r="G29" s="131"/>
      <c r="H29" s="354"/>
      <c r="I29" s="355"/>
      <c r="J29" s="355"/>
      <c r="K29" s="355"/>
    </row>
    <row r="30" spans="1:11" x14ac:dyDescent="0.35">
      <c r="A30" s="174" t="s">
        <v>147</v>
      </c>
      <c r="B30" s="175" t="s">
        <v>148</v>
      </c>
      <c r="C30" s="175"/>
      <c r="D30" s="176"/>
      <c r="E30" s="136"/>
      <c r="F30" s="315"/>
      <c r="G30" s="177"/>
      <c r="H30" s="354" t="s">
        <v>521</v>
      </c>
      <c r="I30" s="355"/>
      <c r="J30" s="355"/>
      <c r="K30" s="355"/>
    </row>
    <row r="31" spans="1:11" ht="31" x14ac:dyDescent="0.35">
      <c r="A31" s="361" t="s">
        <v>75</v>
      </c>
      <c r="B31" s="178" t="s">
        <v>149</v>
      </c>
      <c r="C31" s="179"/>
      <c r="D31" s="180"/>
      <c r="E31" s="180"/>
      <c r="F31" s="316"/>
      <c r="G31" s="51"/>
      <c r="I31" s="79"/>
      <c r="J31" s="275" t="s">
        <v>150</v>
      </c>
      <c r="K31" s="13"/>
    </row>
    <row r="32" spans="1:11" ht="27" customHeight="1" x14ac:dyDescent="0.35">
      <c r="A32" s="362"/>
      <c r="B32" s="180" t="s">
        <v>151</v>
      </c>
      <c r="C32" s="201"/>
      <c r="D32" s="147" t="s">
        <v>73</v>
      </c>
      <c r="E32" s="366" t="s">
        <v>152</v>
      </c>
      <c r="F32" s="382">
        <f>MIN(SUM(C32*0.5,C33*0.5),1)</f>
        <v>0</v>
      </c>
      <c r="G32" s="51"/>
      <c r="I32" s="276">
        <f>IF(C32&gt;0,C32*0.25,0)</f>
        <v>0</v>
      </c>
      <c r="J32" s="390">
        <f>IF(SUM(I32+I33)&gt;=0.5,"0.5",I32+I33)</f>
        <v>0</v>
      </c>
      <c r="K32" s="391" t="s">
        <v>153</v>
      </c>
    </row>
    <row r="33" spans="1:11" ht="25.5" customHeight="1" x14ac:dyDescent="0.35">
      <c r="A33" s="365"/>
      <c r="B33" s="180" t="s">
        <v>154</v>
      </c>
      <c r="C33" s="201"/>
      <c r="D33" s="147" t="s">
        <v>73</v>
      </c>
      <c r="E33" s="367"/>
      <c r="F33" s="383"/>
      <c r="G33" s="51"/>
      <c r="I33" s="276">
        <f>IF(C33&gt;0,C33*0.5,0)</f>
        <v>0</v>
      </c>
      <c r="J33" s="390"/>
      <c r="K33" s="392"/>
    </row>
    <row r="34" spans="1:11" ht="31" x14ac:dyDescent="0.35">
      <c r="A34" s="257" t="s">
        <v>77</v>
      </c>
      <c r="B34" s="180" t="s">
        <v>155</v>
      </c>
      <c r="C34" s="201"/>
      <c r="D34" s="147" t="s">
        <v>73</v>
      </c>
      <c r="E34" s="181" t="s">
        <v>156</v>
      </c>
      <c r="F34" s="302">
        <f>IF(I34&gt;=0.5,0.5,I34)</f>
        <v>0</v>
      </c>
      <c r="G34" s="203"/>
      <c r="I34" s="276">
        <f>IF(C34&gt;0,C34*0.25,0)</f>
        <v>0</v>
      </c>
      <c r="J34" s="277">
        <f>IF(I34&gt;=0.5,"0.5",I34)</f>
        <v>0</v>
      </c>
      <c r="K34" s="278" t="s">
        <v>153</v>
      </c>
    </row>
    <row r="35" spans="1:11" x14ac:dyDescent="0.35">
      <c r="A35" s="182"/>
      <c r="B35" s="359" t="s">
        <v>157</v>
      </c>
      <c r="C35" s="360"/>
      <c r="D35" s="360"/>
      <c r="E35" s="360"/>
      <c r="F35" s="317">
        <f>MIN(F32+F34,1)</f>
        <v>0</v>
      </c>
      <c r="G35" s="138"/>
      <c r="H35" s="354"/>
      <c r="I35" s="355"/>
      <c r="J35" s="355"/>
      <c r="K35" s="355"/>
    </row>
    <row r="36" spans="1:11" x14ac:dyDescent="0.35">
      <c r="A36" s="174" t="s">
        <v>158</v>
      </c>
      <c r="B36" s="175" t="s">
        <v>159</v>
      </c>
      <c r="C36" s="175"/>
      <c r="D36" s="175"/>
      <c r="E36" s="136"/>
      <c r="F36" s="318"/>
      <c r="G36" s="137"/>
      <c r="H36" s="354"/>
      <c r="I36" s="355"/>
      <c r="J36" s="355"/>
      <c r="K36" s="355"/>
    </row>
    <row r="37" spans="1:11" ht="31" x14ac:dyDescent="0.35">
      <c r="A37" s="243" t="s">
        <v>75</v>
      </c>
      <c r="B37" s="184" t="s">
        <v>160</v>
      </c>
      <c r="C37" s="4"/>
      <c r="D37" s="32" t="s">
        <v>70</v>
      </c>
      <c r="E37" s="244" t="s">
        <v>113</v>
      </c>
      <c r="F37" s="302">
        <f>IF(C37="Y",1,0)</f>
        <v>0</v>
      </c>
      <c r="G37" s="53"/>
      <c r="H37" s="354"/>
      <c r="I37" s="355"/>
      <c r="J37" s="355"/>
      <c r="K37" s="355"/>
    </row>
    <row r="38" spans="1:11" ht="46.5" x14ac:dyDescent="0.35">
      <c r="A38" s="257" t="s">
        <v>77</v>
      </c>
      <c r="B38" s="47" t="s">
        <v>161</v>
      </c>
      <c r="C38" s="4"/>
      <c r="D38" s="32" t="s">
        <v>70</v>
      </c>
      <c r="E38" s="244" t="s">
        <v>113</v>
      </c>
      <c r="F38" s="302">
        <f>IF(C38="Y",1,0)</f>
        <v>0</v>
      </c>
      <c r="G38" s="202"/>
      <c r="H38" s="354"/>
      <c r="I38" s="355"/>
      <c r="J38" s="355"/>
      <c r="K38" s="355"/>
    </row>
    <row r="39" spans="1:11" x14ac:dyDescent="0.35">
      <c r="A39" s="182"/>
      <c r="B39" s="359" t="s">
        <v>162</v>
      </c>
      <c r="C39" s="360"/>
      <c r="D39" s="360"/>
      <c r="E39" s="360"/>
      <c r="F39" s="303">
        <f>MIN(F37+F38,2)</f>
        <v>0</v>
      </c>
      <c r="G39" s="185"/>
      <c r="H39" s="354"/>
      <c r="I39" s="355"/>
      <c r="J39" s="355"/>
      <c r="K39" s="355"/>
    </row>
    <row r="40" spans="1:11" x14ac:dyDescent="0.35">
      <c r="A40" s="171" t="s">
        <v>163</v>
      </c>
      <c r="B40" s="186" t="s">
        <v>164</v>
      </c>
      <c r="C40" s="187"/>
      <c r="D40" s="172"/>
      <c r="E40" s="173"/>
      <c r="F40" s="314"/>
      <c r="G40" s="131"/>
      <c r="H40" s="354"/>
      <c r="I40" s="355"/>
      <c r="J40" s="355"/>
      <c r="K40" s="355"/>
    </row>
    <row r="41" spans="1:11" ht="31" x14ac:dyDescent="0.35">
      <c r="A41" s="174"/>
      <c r="B41" s="175" t="s">
        <v>165</v>
      </c>
      <c r="C41" s="175"/>
      <c r="D41" s="175"/>
      <c r="E41" s="188"/>
      <c r="F41" s="315"/>
      <c r="G41" s="177"/>
      <c r="H41" s="354"/>
      <c r="I41" s="355"/>
      <c r="J41" s="355"/>
      <c r="K41" s="355"/>
    </row>
    <row r="42" spans="1:11" x14ac:dyDescent="0.35">
      <c r="A42" s="361" t="s">
        <v>75</v>
      </c>
      <c r="B42" s="178" t="s">
        <v>166</v>
      </c>
      <c r="C42" s="179"/>
      <c r="D42" s="180"/>
      <c r="E42" s="168"/>
      <c r="F42" s="312"/>
      <c r="G42" s="51"/>
      <c r="H42" s="354"/>
      <c r="I42" s="355"/>
      <c r="J42" s="355"/>
      <c r="K42" s="355"/>
    </row>
    <row r="43" spans="1:11" x14ac:dyDescent="0.35">
      <c r="A43" s="362"/>
      <c r="B43" s="180" t="s">
        <v>167</v>
      </c>
      <c r="C43" s="4"/>
      <c r="D43" s="32" t="s">
        <v>70</v>
      </c>
      <c r="E43" s="244" t="s">
        <v>168</v>
      </c>
      <c r="F43" s="302">
        <f>IF(C43="Y",0.5,0)</f>
        <v>0</v>
      </c>
      <c r="G43" s="202"/>
      <c r="H43" s="354"/>
      <c r="I43" s="355"/>
      <c r="J43" s="355"/>
      <c r="K43" s="355"/>
    </row>
    <row r="44" spans="1:11" x14ac:dyDescent="0.35">
      <c r="A44" s="362"/>
      <c r="B44" s="180" t="s">
        <v>169</v>
      </c>
      <c r="C44" s="4"/>
      <c r="D44" s="32" t="s">
        <v>70</v>
      </c>
      <c r="E44" s="244" t="s">
        <v>168</v>
      </c>
      <c r="F44" s="302">
        <f>IF(C44="Y",0.5,0)</f>
        <v>0</v>
      </c>
      <c r="G44" s="202"/>
      <c r="H44" s="354"/>
      <c r="I44" s="355"/>
      <c r="J44" s="355"/>
      <c r="K44" s="355"/>
    </row>
    <row r="45" spans="1:11" ht="33.75" customHeight="1" x14ac:dyDescent="0.35">
      <c r="A45" s="247" t="s">
        <v>77</v>
      </c>
      <c r="B45" s="189" t="s">
        <v>170</v>
      </c>
      <c r="C45" s="4"/>
      <c r="D45" s="32" t="s">
        <v>70</v>
      </c>
      <c r="E45" s="244" t="s">
        <v>113</v>
      </c>
      <c r="F45" s="302">
        <f>IF(C45="Y",1,0)</f>
        <v>0</v>
      </c>
      <c r="G45" s="204"/>
      <c r="H45" s="354"/>
      <c r="I45" s="355"/>
      <c r="J45" s="355"/>
      <c r="K45" s="355"/>
    </row>
    <row r="46" spans="1:11" ht="62" x14ac:dyDescent="0.35">
      <c r="A46" s="247" t="s">
        <v>80</v>
      </c>
      <c r="B46" s="189" t="s">
        <v>171</v>
      </c>
      <c r="C46" s="5"/>
      <c r="D46" s="190" t="s">
        <v>70</v>
      </c>
      <c r="E46" s="245" t="s">
        <v>113</v>
      </c>
      <c r="F46" s="302">
        <f>IF(C46="Y",1,0)</f>
        <v>0</v>
      </c>
      <c r="G46" s="202"/>
      <c r="H46" s="354"/>
      <c r="I46" s="355"/>
      <c r="J46" s="355"/>
      <c r="K46" s="355"/>
    </row>
    <row r="47" spans="1:11" x14ac:dyDescent="0.35">
      <c r="A47" s="182"/>
      <c r="B47" s="389" t="s">
        <v>172</v>
      </c>
      <c r="C47" s="389"/>
      <c r="D47" s="389"/>
      <c r="E47" s="389"/>
      <c r="F47" s="317">
        <f>MIN(F43+F44+F45+F46)</f>
        <v>0</v>
      </c>
      <c r="G47" s="139"/>
      <c r="H47" s="354"/>
      <c r="I47" s="355"/>
      <c r="J47" s="355"/>
      <c r="K47" s="355"/>
    </row>
    <row r="48" spans="1:11" x14ac:dyDescent="0.35">
      <c r="A48" s="171" t="s">
        <v>173</v>
      </c>
      <c r="B48" s="186" t="s">
        <v>174</v>
      </c>
      <c r="C48" s="187"/>
      <c r="D48" s="172"/>
      <c r="E48" s="173"/>
      <c r="F48" s="314"/>
      <c r="G48" s="131"/>
      <c r="H48" s="354"/>
      <c r="I48" s="355"/>
      <c r="J48" s="355"/>
      <c r="K48" s="355"/>
    </row>
    <row r="49" spans="1:11" ht="31" x14ac:dyDescent="0.35">
      <c r="A49" s="191"/>
      <c r="B49" s="192" t="s">
        <v>175</v>
      </c>
      <c r="C49" s="176"/>
      <c r="D49" s="176"/>
      <c r="E49" s="193"/>
      <c r="F49" s="315"/>
      <c r="G49" s="177"/>
      <c r="H49" s="354"/>
      <c r="I49" s="355"/>
      <c r="J49" s="355"/>
      <c r="K49" s="355"/>
    </row>
    <row r="50" spans="1:11" ht="31" x14ac:dyDescent="0.35">
      <c r="A50" s="257" t="s">
        <v>75</v>
      </c>
      <c r="B50" s="45" t="s">
        <v>176</v>
      </c>
      <c r="C50" s="268"/>
      <c r="D50" s="32" t="s">
        <v>70</v>
      </c>
      <c r="E50" s="244" t="s">
        <v>130</v>
      </c>
      <c r="F50" s="302">
        <f>IF(C50="Y",2,0)</f>
        <v>0</v>
      </c>
      <c r="G50" s="51"/>
      <c r="H50" s="354"/>
      <c r="I50" s="355"/>
      <c r="J50" s="355"/>
      <c r="K50" s="355"/>
    </row>
    <row r="51" spans="1:11" ht="46.5" x14ac:dyDescent="0.35">
      <c r="A51" s="257" t="s">
        <v>77</v>
      </c>
      <c r="B51" s="45" t="s">
        <v>177</v>
      </c>
      <c r="C51" s="167" t="s">
        <v>141</v>
      </c>
      <c r="D51" s="168" t="s">
        <v>141</v>
      </c>
      <c r="E51" s="168" t="s">
        <v>141</v>
      </c>
      <c r="F51" s="312" t="s">
        <v>141</v>
      </c>
      <c r="G51" s="51"/>
      <c r="H51" s="354"/>
      <c r="I51" s="355"/>
      <c r="J51" s="355"/>
      <c r="K51" s="355"/>
    </row>
    <row r="52" spans="1:11" ht="31" x14ac:dyDescent="0.35">
      <c r="A52" s="257" t="s">
        <v>80</v>
      </c>
      <c r="B52" s="47" t="s">
        <v>178</v>
      </c>
      <c r="C52" s="268"/>
      <c r="D52" s="32" t="s">
        <v>70</v>
      </c>
      <c r="E52" s="244" t="s">
        <v>113</v>
      </c>
      <c r="F52" s="302">
        <f>IF((C52="Y")*AND(C51="Y"),1,0)</f>
        <v>0</v>
      </c>
      <c r="G52" s="51"/>
      <c r="H52" s="354"/>
      <c r="I52" s="355"/>
      <c r="J52" s="355"/>
      <c r="K52" s="355"/>
    </row>
    <row r="53" spans="1:11" x14ac:dyDescent="0.35">
      <c r="A53" s="182"/>
      <c r="B53" s="359" t="s">
        <v>179</v>
      </c>
      <c r="C53" s="360"/>
      <c r="D53" s="360"/>
      <c r="E53" s="360"/>
      <c r="F53" s="317">
        <f>MIN((F50+F52),3)</f>
        <v>0</v>
      </c>
      <c r="G53" s="139"/>
      <c r="H53" s="354"/>
      <c r="I53" s="355"/>
      <c r="J53" s="355"/>
      <c r="K53" s="355"/>
    </row>
    <row r="54" spans="1:11" x14ac:dyDescent="0.35">
      <c r="A54" s="124" t="s">
        <v>180</v>
      </c>
      <c r="B54" s="384" t="s">
        <v>181</v>
      </c>
      <c r="C54" s="384"/>
      <c r="D54" s="384"/>
      <c r="E54" s="124">
        <v>5</v>
      </c>
      <c r="F54" s="299">
        <f>MIN(SUM(F65,F60),5)</f>
        <v>0</v>
      </c>
      <c r="G54" s="124"/>
      <c r="H54" s="354"/>
      <c r="I54" s="355"/>
      <c r="J54" s="355"/>
      <c r="K54" s="355"/>
    </row>
    <row r="55" spans="1:11" x14ac:dyDescent="0.35">
      <c r="A55" s="171" t="s">
        <v>182</v>
      </c>
      <c r="B55" s="186" t="s">
        <v>183</v>
      </c>
      <c r="C55" s="187"/>
      <c r="D55" s="172"/>
      <c r="E55" s="173"/>
      <c r="F55" s="319"/>
      <c r="G55" s="131"/>
      <c r="H55" s="354"/>
      <c r="I55" s="355"/>
      <c r="J55" s="355"/>
      <c r="K55" s="355"/>
    </row>
    <row r="56" spans="1:11" ht="31" x14ac:dyDescent="0.35">
      <c r="A56" s="194"/>
      <c r="B56" s="192" t="s">
        <v>184</v>
      </c>
      <c r="C56" s="195"/>
      <c r="D56" s="195"/>
      <c r="E56" s="193"/>
      <c r="F56" s="320"/>
      <c r="G56" s="137"/>
      <c r="H56" s="354"/>
      <c r="I56" s="355"/>
      <c r="J56" s="355"/>
      <c r="K56" s="355"/>
    </row>
    <row r="57" spans="1:11" x14ac:dyDescent="0.35">
      <c r="A57" s="257" t="s">
        <v>75</v>
      </c>
      <c r="B57" s="47" t="s">
        <v>185</v>
      </c>
      <c r="C57" s="4"/>
      <c r="D57" s="147" t="s">
        <v>73</v>
      </c>
      <c r="E57" s="244" t="s">
        <v>113</v>
      </c>
      <c r="F57" s="302">
        <f>IF(C57&gt;3,1,0)</f>
        <v>0</v>
      </c>
      <c r="G57" s="51"/>
      <c r="H57" s="354"/>
      <c r="I57" s="355"/>
      <c r="J57" s="355"/>
      <c r="K57" s="355"/>
    </row>
    <row r="58" spans="1:11" ht="31" x14ac:dyDescent="0.35">
      <c r="A58" s="257" t="s">
        <v>77</v>
      </c>
      <c r="B58" s="47" t="s">
        <v>186</v>
      </c>
      <c r="C58" s="4"/>
      <c r="D58" s="32" t="s">
        <v>70</v>
      </c>
      <c r="E58" s="244" t="s">
        <v>113</v>
      </c>
      <c r="F58" s="302">
        <f>IF(C58="Y",1,0)</f>
        <v>0</v>
      </c>
      <c r="G58" s="51"/>
      <c r="H58" s="354"/>
      <c r="I58" s="355"/>
      <c r="J58" s="355"/>
      <c r="K58" s="355"/>
    </row>
    <row r="59" spans="1:11" ht="46.5" x14ac:dyDescent="0.35">
      <c r="A59" s="257" t="s">
        <v>80</v>
      </c>
      <c r="B59" s="47" t="s">
        <v>187</v>
      </c>
      <c r="C59" s="4"/>
      <c r="D59" s="32" t="s">
        <v>70</v>
      </c>
      <c r="E59" s="244" t="s">
        <v>113</v>
      </c>
      <c r="F59" s="302">
        <f>IF(C59="Y",1,0)</f>
        <v>0</v>
      </c>
      <c r="G59" s="51"/>
      <c r="H59" s="354"/>
      <c r="I59" s="355"/>
      <c r="J59" s="355"/>
      <c r="K59" s="355"/>
    </row>
    <row r="60" spans="1:11" x14ac:dyDescent="0.35">
      <c r="A60" s="182"/>
      <c r="B60" s="359" t="s">
        <v>188</v>
      </c>
      <c r="C60" s="360"/>
      <c r="D60" s="360"/>
      <c r="E60" s="360"/>
      <c r="F60" s="317">
        <f>MIN(F57+F58+F59,3)</f>
        <v>0</v>
      </c>
      <c r="G60" s="159"/>
      <c r="H60" s="354"/>
      <c r="I60" s="355"/>
      <c r="J60" s="355"/>
      <c r="K60" s="355"/>
    </row>
    <row r="61" spans="1:11" x14ac:dyDescent="0.35">
      <c r="A61" s="171" t="s">
        <v>189</v>
      </c>
      <c r="B61" s="363" t="s">
        <v>190</v>
      </c>
      <c r="C61" s="364"/>
      <c r="D61" s="172"/>
      <c r="E61" s="173"/>
      <c r="F61" s="319"/>
      <c r="G61" s="131"/>
      <c r="H61" s="354"/>
      <c r="I61" s="355"/>
      <c r="J61" s="355"/>
      <c r="K61" s="355"/>
    </row>
    <row r="62" spans="1:11" ht="46.5" x14ac:dyDescent="0.35">
      <c r="A62" s="196"/>
      <c r="B62" s="175" t="s">
        <v>191</v>
      </c>
      <c r="C62" s="197"/>
      <c r="D62" s="197"/>
      <c r="E62" s="183"/>
      <c r="F62" s="320"/>
      <c r="G62" s="137"/>
      <c r="H62" s="354"/>
      <c r="I62" s="355"/>
      <c r="J62" s="355"/>
      <c r="K62" s="355"/>
    </row>
    <row r="63" spans="1:11" ht="62" x14ac:dyDescent="0.35">
      <c r="A63" s="257" t="s">
        <v>75</v>
      </c>
      <c r="B63" s="180" t="s">
        <v>192</v>
      </c>
      <c r="C63" s="4"/>
      <c r="D63" s="32" t="s">
        <v>70</v>
      </c>
      <c r="E63" s="244" t="s">
        <v>130</v>
      </c>
      <c r="F63" s="302">
        <f>IF(C63="Y",2,0)</f>
        <v>0</v>
      </c>
      <c r="G63" s="51"/>
      <c r="H63" s="354"/>
      <c r="I63" s="355"/>
      <c r="J63" s="355"/>
      <c r="K63" s="355"/>
    </row>
    <row r="64" spans="1:11" ht="62" x14ac:dyDescent="0.35">
      <c r="A64" s="257" t="s">
        <v>77</v>
      </c>
      <c r="B64" s="180" t="s">
        <v>193</v>
      </c>
      <c r="C64" s="4"/>
      <c r="D64" s="32" t="s">
        <v>70</v>
      </c>
      <c r="E64" s="244" t="s">
        <v>130</v>
      </c>
      <c r="F64" s="302">
        <f>IF(C64="Y",2,0)</f>
        <v>0</v>
      </c>
      <c r="G64" s="51"/>
      <c r="H64" s="354"/>
      <c r="I64" s="355"/>
      <c r="J64" s="355"/>
      <c r="K64" s="355"/>
    </row>
    <row r="65" spans="1:11" x14ac:dyDescent="0.35">
      <c r="A65" s="182"/>
      <c r="B65" s="359" t="s">
        <v>194</v>
      </c>
      <c r="C65" s="360"/>
      <c r="D65" s="360"/>
      <c r="E65" s="360"/>
      <c r="F65" s="317">
        <f>MIN(F63+F64,4)</f>
        <v>0</v>
      </c>
      <c r="G65" s="139"/>
      <c r="H65" s="354"/>
      <c r="I65" s="355"/>
      <c r="J65" s="355"/>
      <c r="K65" s="355"/>
    </row>
    <row r="66" spans="1:11" x14ac:dyDescent="0.35">
      <c r="A66" s="124"/>
      <c r="B66" s="384" t="s">
        <v>195</v>
      </c>
      <c r="C66" s="384"/>
      <c r="D66" s="384"/>
      <c r="E66" s="125">
        <v>2</v>
      </c>
      <c r="F66" s="299">
        <f>MIN(F68+F69,2)</f>
        <v>0</v>
      </c>
      <c r="G66" s="124"/>
      <c r="H66" s="354"/>
      <c r="I66" s="355"/>
      <c r="J66" s="355"/>
      <c r="K66" s="355"/>
    </row>
    <row r="67" spans="1:11" ht="93" x14ac:dyDescent="0.35">
      <c r="A67" s="174"/>
      <c r="B67" s="198" t="s">
        <v>196</v>
      </c>
      <c r="C67" s="183"/>
      <c r="D67" s="183"/>
      <c r="E67" s="183" t="s">
        <v>197</v>
      </c>
      <c r="F67" s="321"/>
      <c r="G67" s="160" t="s">
        <v>198</v>
      </c>
      <c r="H67" s="354"/>
      <c r="I67" s="355"/>
      <c r="J67" s="355"/>
      <c r="K67" s="355"/>
    </row>
    <row r="68" spans="1:11" ht="136.5" customHeight="1" x14ac:dyDescent="0.35">
      <c r="A68" s="377"/>
      <c r="B68" s="379" t="s">
        <v>199</v>
      </c>
      <c r="C68" s="205"/>
      <c r="D68" s="78" t="s">
        <v>73</v>
      </c>
      <c r="E68" s="381" t="s">
        <v>200</v>
      </c>
      <c r="F68" s="302">
        <f>C68</f>
        <v>0</v>
      </c>
      <c r="G68" s="85" t="s">
        <v>201</v>
      </c>
      <c r="H68" s="354"/>
      <c r="I68" s="355"/>
      <c r="J68" s="355"/>
      <c r="K68" s="355"/>
    </row>
    <row r="69" spans="1:11" ht="136" customHeight="1" x14ac:dyDescent="0.35">
      <c r="A69" s="378"/>
      <c r="B69" s="380"/>
      <c r="C69" s="205"/>
      <c r="D69" s="78" t="s">
        <v>73</v>
      </c>
      <c r="E69" s="381"/>
      <c r="F69" s="302">
        <f>C69</f>
        <v>0</v>
      </c>
      <c r="G69" s="85" t="s">
        <v>202</v>
      </c>
      <c r="H69" s="354"/>
      <c r="I69" s="355"/>
      <c r="J69" s="355"/>
      <c r="K69" s="355"/>
    </row>
  </sheetData>
  <sheetProtection algorithmName="SHA-512" hashValue="fsTNJYCTuBPzM+pC4FNoRCf/fVTmZBDx3wzU28y+DS7rzDcVtuQ8bpo2F5xsIm3P6nIu3WfYXQxs+idkqQ/Iuw==" saltValue="KnGH+y/WqgVZiKxAGAZf2A==" spinCount="100000" sheet="1" formatCells="0" selectLockedCells="1"/>
  <mergeCells count="96">
    <mergeCell ref="H68:K68"/>
    <mergeCell ref="H69:K69"/>
    <mergeCell ref="H63:K63"/>
    <mergeCell ref="H64:K64"/>
    <mergeCell ref="H65:K65"/>
    <mergeCell ref="H66:K66"/>
    <mergeCell ref="H67:K67"/>
    <mergeCell ref="H58:K58"/>
    <mergeCell ref="H59:K59"/>
    <mergeCell ref="H60:K60"/>
    <mergeCell ref="H61:K61"/>
    <mergeCell ref="H62:K62"/>
    <mergeCell ref="H53:K53"/>
    <mergeCell ref="H54:K54"/>
    <mergeCell ref="H55:K55"/>
    <mergeCell ref="H56:K56"/>
    <mergeCell ref="H57:K57"/>
    <mergeCell ref="H48:K48"/>
    <mergeCell ref="H49:K49"/>
    <mergeCell ref="H50:K50"/>
    <mergeCell ref="H51:K51"/>
    <mergeCell ref="H52:K52"/>
    <mergeCell ref="H43:K43"/>
    <mergeCell ref="H44:K44"/>
    <mergeCell ref="H45:K45"/>
    <mergeCell ref="H46:K46"/>
    <mergeCell ref="H47:K47"/>
    <mergeCell ref="H38:K38"/>
    <mergeCell ref="H39:K39"/>
    <mergeCell ref="H40:K40"/>
    <mergeCell ref="H41:K41"/>
    <mergeCell ref="H42:K42"/>
    <mergeCell ref="H29:K29"/>
    <mergeCell ref="H30:K30"/>
    <mergeCell ref="H35:K35"/>
    <mergeCell ref="H36:K36"/>
    <mergeCell ref="H37:K37"/>
    <mergeCell ref="J32:J33"/>
    <mergeCell ref="K32:K33"/>
    <mergeCell ref="H24:K24"/>
    <mergeCell ref="H25:K25"/>
    <mergeCell ref="H26:K26"/>
    <mergeCell ref="H27:K27"/>
    <mergeCell ref="H28:K28"/>
    <mergeCell ref="H19:K19"/>
    <mergeCell ref="H20:K20"/>
    <mergeCell ref="H21:K21"/>
    <mergeCell ref="H22:K22"/>
    <mergeCell ref="H23:K23"/>
    <mergeCell ref="H7:K7"/>
    <mergeCell ref="H8:K8"/>
    <mergeCell ref="H9:K9"/>
    <mergeCell ref="H10:K10"/>
    <mergeCell ref="H11:K11"/>
    <mergeCell ref="H2:K2"/>
    <mergeCell ref="H3:K3"/>
    <mergeCell ref="H4:K4"/>
    <mergeCell ref="H5:K5"/>
    <mergeCell ref="H6:K6"/>
    <mergeCell ref="A68:A69"/>
    <mergeCell ref="B68:B69"/>
    <mergeCell ref="E68:E69"/>
    <mergeCell ref="F32:F33"/>
    <mergeCell ref="B3:D3"/>
    <mergeCell ref="B23:E23"/>
    <mergeCell ref="B66:D66"/>
    <mergeCell ref="B65:E65"/>
    <mergeCell ref="B8:E8"/>
    <mergeCell ref="B60:E60"/>
    <mergeCell ref="B61:C61"/>
    <mergeCell ref="E14:E15"/>
    <mergeCell ref="F14:F15"/>
    <mergeCell ref="B54:D54"/>
    <mergeCell ref="B47:E47"/>
    <mergeCell ref="B53:E53"/>
    <mergeCell ref="H12:K12"/>
    <mergeCell ref="H13:K13"/>
    <mergeCell ref="H14:K14"/>
    <mergeCell ref="H15:K15"/>
    <mergeCell ref="H16:K16"/>
    <mergeCell ref="H17:K17"/>
    <mergeCell ref="H18:K18"/>
    <mergeCell ref="A2:D2"/>
    <mergeCell ref="B39:E39"/>
    <mergeCell ref="A42:A44"/>
    <mergeCell ref="B27:E27"/>
    <mergeCell ref="B29:C29"/>
    <mergeCell ref="A31:A33"/>
    <mergeCell ref="E32:E33"/>
    <mergeCell ref="B35:E35"/>
    <mergeCell ref="A10:A13"/>
    <mergeCell ref="A14:A15"/>
    <mergeCell ref="B14:B15"/>
    <mergeCell ref="B28:D28"/>
    <mergeCell ref="B16:E16"/>
    <mergeCell ref="B20:E20"/>
  </mergeCells>
  <dataValidations count="9">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11:C14 C19 C43:C46 C37:C38 C63:C64 C58:C59 C6:C7 C50 C52" xr:uid="{00000000-0002-0000-0300-000005000000}">
      <formula1>"Y,N"</formula1>
    </dataValidation>
    <dataValidation type="decimal" allowBlank="1" showInputMessage="1" showErrorMessage="1" sqref="C22 C15"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 type="decimal" allowBlank="1" showInputMessage="1" showErrorMessage="1" sqref="C57" xr:uid="{00000000-0002-0000-0300-000008000000}">
      <formula1>0</formula1>
      <formula2>1000</formula2>
    </dataValidation>
  </dataValidations>
  <pageMargins left="0.7" right="0.7" top="0.75" bottom="0.75" header="0.3" footer="0.3"/>
  <pageSetup paperSize="9" scale="56" fitToHeight="2"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3"/>
  <sheetViews>
    <sheetView showGridLines="0" zoomScaleNormal="100" workbookViewId="0">
      <selection activeCell="E48" sqref="E48"/>
    </sheetView>
  </sheetViews>
  <sheetFormatPr defaultColWidth="8.7265625" defaultRowHeight="14.5" x14ac:dyDescent="0.35"/>
  <cols>
    <col min="1" max="1" width="8.26953125" style="239" customWidth="1"/>
    <col min="2" max="2" width="22.26953125" style="239" customWidth="1"/>
    <col min="3" max="3" width="34" style="239" customWidth="1"/>
    <col min="4" max="4" width="21.1796875" style="239" customWidth="1"/>
    <col min="5" max="5" width="10.7265625" style="266" customWidth="1"/>
    <col min="6" max="6" width="16.1796875" style="263" customWidth="1"/>
    <col min="7" max="7" width="18.1796875" style="239" customWidth="1"/>
    <col min="8" max="8" width="10.7265625" style="239" customWidth="1"/>
    <col min="9" max="9" width="30.7265625" style="239" customWidth="1"/>
    <col min="10" max="11" width="50.7265625" style="239" customWidth="1"/>
    <col min="12" max="12" width="15.54296875" style="239" customWidth="1"/>
    <col min="13" max="13" width="17.26953125" style="239" customWidth="1"/>
    <col min="14" max="16384" width="8.7265625" style="239"/>
  </cols>
  <sheetData>
    <row r="1" spans="1:9" ht="46.5" x14ac:dyDescent="0.35">
      <c r="A1" s="2"/>
      <c r="B1" s="398" t="s">
        <v>203</v>
      </c>
      <c r="C1" s="399"/>
      <c r="D1" s="400"/>
      <c r="E1" s="19" t="s">
        <v>65</v>
      </c>
      <c r="F1" s="19" t="s">
        <v>66</v>
      </c>
      <c r="G1" s="20" t="s">
        <v>103</v>
      </c>
      <c r="H1" s="19" t="s">
        <v>104</v>
      </c>
      <c r="I1" s="3" t="s">
        <v>67</v>
      </c>
    </row>
    <row r="2" spans="1:9" ht="21" x14ac:dyDescent="0.35">
      <c r="A2" s="411" t="s">
        <v>31</v>
      </c>
      <c r="B2" s="412"/>
      <c r="C2" s="412"/>
      <c r="D2" s="412"/>
      <c r="E2" s="412"/>
      <c r="F2" s="413"/>
      <c r="G2" s="86">
        <v>15</v>
      </c>
      <c r="H2" s="322">
        <f>MIN(SUM(H3,H30,H69,H80),15)</f>
        <v>0</v>
      </c>
      <c r="I2" s="87" t="s">
        <v>105</v>
      </c>
    </row>
    <row r="3" spans="1:9" ht="15.5" x14ac:dyDescent="0.35">
      <c r="A3" s="88" t="s">
        <v>204</v>
      </c>
      <c r="B3" s="401" t="s">
        <v>205</v>
      </c>
      <c r="C3" s="402"/>
      <c r="D3" s="402"/>
      <c r="E3" s="402"/>
      <c r="F3" s="402"/>
      <c r="G3" s="89">
        <v>5</v>
      </c>
      <c r="H3" s="323">
        <f>MIN(SUM(H16,H25,H29),5)</f>
        <v>0</v>
      </c>
      <c r="I3" s="90"/>
    </row>
    <row r="4" spans="1:9" ht="15.5" x14ac:dyDescent="0.35">
      <c r="A4" s="91" t="s">
        <v>206</v>
      </c>
      <c r="B4" s="393" t="s">
        <v>207</v>
      </c>
      <c r="C4" s="393"/>
      <c r="D4" s="394"/>
      <c r="E4" s="92"/>
      <c r="F4" s="91"/>
      <c r="G4" s="91"/>
      <c r="H4" s="324"/>
      <c r="I4" s="91"/>
    </row>
    <row r="5" spans="1:9" ht="15.5" x14ac:dyDescent="0.35">
      <c r="A5" s="251"/>
      <c r="B5" s="451" t="s">
        <v>208</v>
      </c>
      <c r="C5" s="451"/>
      <c r="D5" s="451"/>
      <c r="E5" s="255"/>
      <c r="F5" s="249"/>
      <c r="G5" s="251"/>
      <c r="H5" s="325"/>
      <c r="I5" s="84"/>
    </row>
    <row r="6" spans="1:9" ht="16" thickBot="1" x14ac:dyDescent="0.4">
      <c r="A6" s="93" t="s">
        <v>209</v>
      </c>
      <c r="B6" s="452" t="s">
        <v>210</v>
      </c>
      <c r="C6" s="453"/>
      <c r="D6" s="454"/>
      <c r="E6" s="94"/>
      <c r="F6" s="93"/>
      <c r="G6" s="93"/>
      <c r="H6" s="326"/>
      <c r="I6" s="93"/>
    </row>
    <row r="7" spans="1:9" ht="15.5" x14ac:dyDescent="0.35">
      <c r="A7" s="415"/>
      <c r="B7" s="456" t="s">
        <v>211</v>
      </c>
      <c r="C7" s="457"/>
      <c r="D7" s="416"/>
      <c r="E7" s="419"/>
      <c r="F7" s="415"/>
      <c r="G7" s="415"/>
      <c r="H7" s="383"/>
      <c r="I7" s="458"/>
    </row>
    <row r="8" spans="1:9" ht="15.5" x14ac:dyDescent="0.35">
      <c r="A8" s="415"/>
      <c r="B8" s="436" t="s">
        <v>212</v>
      </c>
      <c r="C8" s="95" t="s">
        <v>213</v>
      </c>
      <c r="D8" s="417"/>
      <c r="E8" s="419"/>
      <c r="F8" s="415"/>
      <c r="G8" s="415"/>
      <c r="H8" s="383"/>
      <c r="I8" s="458"/>
    </row>
    <row r="9" spans="1:9" ht="15.5" x14ac:dyDescent="0.35">
      <c r="A9" s="415"/>
      <c r="B9" s="436"/>
      <c r="C9" s="95" t="s">
        <v>214</v>
      </c>
      <c r="D9" s="417"/>
      <c r="E9" s="419"/>
      <c r="F9" s="415"/>
      <c r="G9" s="415"/>
      <c r="H9" s="383"/>
      <c r="I9" s="458"/>
    </row>
    <row r="10" spans="1:9" ht="15.5" x14ac:dyDescent="0.35">
      <c r="A10" s="415"/>
      <c r="B10" s="436" t="s">
        <v>215</v>
      </c>
      <c r="C10" s="95" t="s">
        <v>216</v>
      </c>
      <c r="D10" s="417"/>
      <c r="E10" s="419"/>
      <c r="F10" s="415"/>
      <c r="G10" s="415"/>
      <c r="H10" s="383"/>
      <c r="I10" s="458"/>
    </row>
    <row r="11" spans="1:9" ht="15.5" x14ac:dyDescent="0.35">
      <c r="A11" s="415"/>
      <c r="B11" s="436"/>
      <c r="C11" s="95" t="s">
        <v>217</v>
      </c>
      <c r="D11" s="417"/>
      <c r="E11" s="419"/>
      <c r="F11" s="415"/>
      <c r="G11" s="415"/>
      <c r="H11" s="383"/>
      <c r="I11" s="458"/>
    </row>
    <row r="12" spans="1:9" ht="15.5" x14ac:dyDescent="0.35">
      <c r="A12" s="415"/>
      <c r="B12" s="436"/>
      <c r="C12" s="95" t="s">
        <v>218</v>
      </c>
      <c r="D12" s="417"/>
      <c r="E12" s="419"/>
      <c r="F12" s="415"/>
      <c r="G12" s="415"/>
      <c r="H12" s="383"/>
      <c r="I12" s="458"/>
    </row>
    <row r="13" spans="1:9" ht="15.5" x14ac:dyDescent="0.35">
      <c r="A13" s="415"/>
      <c r="B13" s="436"/>
      <c r="C13" s="95" t="s">
        <v>219</v>
      </c>
      <c r="D13" s="417"/>
      <c r="E13" s="419"/>
      <c r="F13" s="415"/>
      <c r="G13" s="415"/>
      <c r="H13" s="383"/>
      <c r="I13" s="458"/>
    </row>
    <row r="14" spans="1:9" ht="16" thickBot="1" x14ac:dyDescent="0.4">
      <c r="A14" s="415"/>
      <c r="B14" s="437"/>
      <c r="C14" s="96" t="s">
        <v>220</v>
      </c>
      <c r="D14" s="417"/>
      <c r="E14" s="419"/>
      <c r="F14" s="415"/>
      <c r="G14" s="415"/>
      <c r="H14" s="383"/>
      <c r="I14" s="458"/>
    </row>
    <row r="15" spans="1:9" ht="98.5" customHeight="1" x14ac:dyDescent="0.35">
      <c r="A15" s="251"/>
      <c r="B15" s="396" t="s">
        <v>221</v>
      </c>
      <c r="C15" s="451"/>
      <c r="D15" s="451"/>
      <c r="E15" s="97" t="s">
        <v>141</v>
      </c>
      <c r="F15" s="98" t="s">
        <v>141</v>
      </c>
      <c r="G15" s="242" t="s">
        <v>141</v>
      </c>
      <c r="H15" s="327" t="s">
        <v>141</v>
      </c>
      <c r="I15" s="83"/>
    </row>
    <row r="16" spans="1:9" ht="15.5" x14ac:dyDescent="0.35">
      <c r="A16" s="99"/>
      <c r="B16" s="404" t="s">
        <v>222</v>
      </c>
      <c r="C16" s="405"/>
      <c r="D16" s="405"/>
      <c r="E16" s="405"/>
      <c r="F16" s="405"/>
      <c r="G16" s="406"/>
      <c r="H16" s="328">
        <f>SUM(H15)</f>
        <v>0</v>
      </c>
      <c r="I16" s="100"/>
    </row>
    <row r="17" spans="1:9" ht="15.75" customHeight="1" x14ac:dyDescent="0.35">
      <c r="A17" s="93" t="s">
        <v>223</v>
      </c>
      <c r="B17" s="452" t="s">
        <v>224</v>
      </c>
      <c r="C17" s="453"/>
      <c r="D17" s="454"/>
      <c r="E17" s="94"/>
      <c r="F17" s="93"/>
      <c r="G17" s="93"/>
      <c r="H17" s="326"/>
      <c r="I17" s="93"/>
    </row>
    <row r="18" spans="1:9" ht="84.75" customHeight="1" x14ac:dyDescent="0.35">
      <c r="A18" s="251" t="s">
        <v>225</v>
      </c>
      <c r="B18" s="396" t="s">
        <v>226</v>
      </c>
      <c r="C18" s="396"/>
      <c r="D18" s="396"/>
      <c r="E18" s="81"/>
      <c r="F18" s="72" t="s">
        <v>227</v>
      </c>
      <c r="G18" s="6" t="s">
        <v>113</v>
      </c>
      <c r="H18" s="116">
        <f>IF(ISNUMBER(E18), 1, 0)</f>
        <v>0</v>
      </c>
      <c r="I18" s="84"/>
    </row>
    <row r="19" spans="1:9" ht="64.5" customHeight="1" thickBot="1" x14ac:dyDescent="0.4">
      <c r="A19" s="251" t="s">
        <v>228</v>
      </c>
      <c r="B19" s="396" t="s">
        <v>229</v>
      </c>
      <c r="C19" s="396"/>
      <c r="D19" s="396"/>
      <c r="E19" s="97" t="s">
        <v>141</v>
      </c>
      <c r="F19" s="98" t="s">
        <v>141</v>
      </c>
      <c r="G19" s="242" t="s">
        <v>141</v>
      </c>
      <c r="H19" s="327" t="s">
        <v>141</v>
      </c>
      <c r="I19" s="84"/>
    </row>
    <row r="20" spans="1:9" ht="31" x14ac:dyDescent="0.35">
      <c r="A20" s="415"/>
      <c r="B20" s="101"/>
      <c r="C20" s="102" t="s">
        <v>230</v>
      </c>
      <c r="D20" s="103"/>
      <c r="E20" s="419"/>
      <c r="F20" s="415"/>
      <c r="G20" s="415"/>
      <c r="H20" s="383"/>
      <c r="I20" s="458"/>
    </row>
    <row r="21" spans="1:9" ht="15.5" x14ac:dyDescent="0.35">
      <c r="A21" s="415"/>
      <c r="B21" s="104" t="s">
        <v>231</v>
      </c>
      <c r="C21" s="105">
        <v>1000</v>
      </c>
      <c r="D21" s="106"/>
      <c r="E21" s="419"/>
      <c r="F21" s="415"/>
      <c r="G21" s="415"/>
      <c r="H21" s="383"/>
      <c r="I21" s="458"/>
    </row>
    <row r="22" spans="1:9" ht="15.5" x14ac:dyDescent="0.35">
      <c r="A22" s="415"/>
      <c r="B22" s="104" t="s">
        <v>232</v>
      </c>
      <c r="C22" s="105">
        <v>1500</v>
      </c>
      <c r="D22" s="106"/>
      <c r="E22" s="419"/>
      <c r="F22" s="415"/>
      <c r="G22" s="415"/>
      <c r="H22" s="383"/>
      <c r="I22" s="458"/>
    </row>
    <row r="23" spans="1:9" ht="16" thickBot="1" x14ac:dyDescent="0.4">
      <c r="A23" s="415"/>
      <c r="B23" s="107" t="s">
        <v>233</v>
      </c>
      <c r="C23" s="108">
        <v>2500</v>
      </c>
      <c r="D23" s="106"/>
      <c r="E23" s="419"/>
      <c r="F23" s="415"/>
      <c r="G23" s="415"/>
      <c r="H23" s="383"/>
      <c r="I23" s="458"/>
    </row>
    <row r="24" spans="1:9" ht="15.5" x14ac:dyDescent="0.35">
      <c r="A24" s="421"/>
      <c r="B24" s="414" t="s">
        <v>234</v>
      </c>
      <c r="C24" s="414"/>
      <c r="D24" s="414"/>
      <c r="E24" s="459"/>
      <c r="F24" s="421"/>
      <c r="G24" s="421"/>
      <c r="H24" s="382"/>
      <c r="I24" s="458"/>
    </row>
    <row r="25" spans="1:9" ht="15.5" x14ac:dyDescent="0.35">
      <c r="A25" s="99"/>
      <c r="B25" s="404" t="s">
        <v>235</v>
      </c>
      <c r="C25" s="405"/>
      <c r="D25" s="405"/>
      <c r="E25" s="405"/>
      <c r="F25" s="405"/>
      <c r="G25" s="406"/>
      <c r="H25" s="328">
        <f>SUM(H18:H19)</f>
        <v>0</v>
      </c>
      <c r="I25" s="100"/>
    </row>
    <row r="26" spans="1:9" ht="15.5" x14ac:dyDescent="0.35">
      <c r="A26" s="91" t="s">
        <v>236</v>
      </c>
      <c r="B26" s="393" t="s">
        <v>237</v>
      </c>
      <c r="C26" s="393"/>
      <c r="D26" s="394"/>
      <c r="E26" s="92"/>
      <c r="F26" s="91"/>
      <c r="G26" s="91"/>
      <c r="H26" s="324"/>
      <c r="I26" s="91"/>
    </row>
    <row r="27" spans="1:9" ht="47.25" customHeight="1" x14ac:dyDescent="0.35">
      <c r="A27" s="251" t="s">
        <v>225</v>
      </c>
      <c r="B27" s="396" t="s">
        <v>238</v>
      </c>
      <c r="C27" s="396"/>
      <c r="D27" s="396"/>
      <c r="E27" s="81"/>
      <c r="F27" s="252" t="s">
        <v>70</v>
      </c>
      <c r="G27" s="6" t="s">
        <v>239</v>
      </c>
      <c r="H27" s="116">
        <f>IF(E27="Y",3,0)</f>
        <v>0</v>
      </c>
      <c r="I27" s="121"/>
    </row>
    <row r="28" spans="1:9" ht="17.25" customHeight="1" x14ac:dyDescent="0.35">
      <c r="A28" s="251" t="s">
        <v>77</v>
      </c>
      <c r="B28" s="396" t="s">
        <v>240</v>
      </c>
      <c r="C28" s="396"/>
      <c r="D28" s="396"/>
      <c r="E28" s="81"/>
      <c r="F28" s="252" t="s">
        <v>70</v>
      </c>
      <c r="G28" s="6" t="s">
        <v>130</v>
      </c>
      <c r="H28" s="116">
        <f>IF(E28="Y",2,0)</f>
        <v>0</v>
      </c>
      <c r="I28" s="121"/>
    </row>
    <row r="29" spans="1:9" ht="15.5" x14ac:dyDescent="0.35">
      <c r="A29" s="99"/>
      <c r="B29" s="404" t="s">
        <v>241</v>
      </c>
      <c r="C29" s="405"/>
      <c r="D29" s="405"/>
      <c r="E29" s="405"/>
      <c r="F29" s="405"/>
      <c r="G29" s="406"/>
      <c r="H29" s="328">
        <f>H27+H28</f>
        <v>0</v>
      </c>
      <c r="I29" s="100"/>
    </row>
    <row r="30" spans="1:9" ht="15.5" x14ac:dyDescent="0.35">
      <c r="A30" s="88" t="s">
        <v>242</v>
      </c>
      <c r="B30" s="401" t="s">
        <v>243</v>
      </c>
      <c r="C30" s="402"/>
      <c r="D30" s="402"/>
      <c r="E30" s="402"/>
      <c r="F30" s="402"/>
      <c r="G30" s="89">
        <v>5</v>
      </c>
      <c r="H30" s="329">
        <f>MIN(SUM(H57,H62,H68),5)</f>
        <v>0</v>
      </c>
      <c r="I30" s="90"/>
    </row>
    <row r="31" spans="1:9" ht="15.75" customHeight="1" x14ac:dyDescent="0.35">
      <c r="A31" s="91" t="s">
        <v>244</v>
      </c>
      <c r="B31" s="393" t="s">
        <v>245</v>
      </c>
      <c r="C31" s="393"/>
      <c r="D31" s="394"/>
      <c r="E31" s="92"/>
      <c r="F31" s="91"/>
      <c r="G31" s="91"/>
      <c r="H31" s="324"/>
      <c r="I31" s="91"/>
    </row>
    <row r="32" spans="1:9" ht="31.5" customHeight="1" x14ac:dyDescent="0.35">
      <c r="A32" s="109"/>
      <c r="B32" s="397" t="s">
        <v>246</v>
      </c>
      <c r="C32" s="397"/>
      <c r="D32" s="397"/>
      <c r="E32" s="110"/>
      <c r="F32" s="111"/>
      <c r="G32" s="112"/>
      <c r="H32" s="330"/>
      <c r="I32" s="109"/>
    </row>
    <row r="33" spans="1:13" ht="16" thickBot="1" x14ac:dyDescent="0.4">
      <c r="A33" s="424" t="s">
        <v>75</v>
      </c>
      <c r="B33" s="443" t="s">
        <v>247</v>
      </c>
      <c r="C33" s="444"/>
      <c r="D33" s="445"/>
      <c r="E33" s="255"/>
      <c r="F33" s="113"/>
      <c r="G33" s="79"/>
      <c r="H33" s="305"/>
      <c r="I33" s="51"/>
    </row>
    <row r="34" spans="1:13" ht="15.5" x14ac:dyDescent="0.35">
      <c r="A34" s="425"/>
      <c r="B34" s="101"/>
      <c r="C34" s="102" t="s">
        <v>248</v>
      </c>
      <c r="D34" s="420"/>
      <c r="E34" s="439"/>
      <c r="F34" s="441" t="s">
        <v>73</v>
      </c>
      <c r="G34" s="424" t="s">
        <v>113</v>
      </c>
      <c r="H34" s="387">
        <f>IF(ISBLANK(E34),0,IF(E34&lt;=0.35,1,0))</f>
        <v>0</v>
      </c>
      <c r="I34" s="460"/>
    </row>
    <row r="35" spans="1:13" ht="15.5" x14ac:dyDescent="0.35">
      <c r="A35" s="425"/>
      <c r="B35" s="104" t="s">
        <v>231</v>
      </c>
      <c r="C35" s="105" t="s">
        <v>249</v>
      </c>
      <c r="D35" s="420"/>
      <c r="E35" s="440"/>
      <c r="F35" s="441"/>
      <c r="G35" s="424"/>
      <c r="H35" s="442"/>
      <c r="I35" s="461"/>
    </row>
    <row r="36" spans="1:13" ht="15.5" x14ac:dyDescent="0.35">
      <c r="A36" s="425"/>
      <c r="B36" s="104" t="s">
        <v>232</v>
      </c>
      <c r="C36" s="105" t="s">
        <v>250</v>
      </c>
      <c r="D36" s="420"/>
      <c r="E36" s="440"/>
      <c r="F36" s="441"/>
      <c r="G36" s="424"/>
      <c r="H36" s="442"/>
      <c r="I36" s="461"/>
    </row>
    <row r="37" spans="1:13" ht="16" thickBot="1" x14ac:dyDescent="0.4">
      <c r="A37" s="425"/>
      <c r="B37" s="107" t="s">
        <v>233</v>
      </c>
      <c r="C37" s="108" t="s">
        <v>250</v>
      </c>
      <c r="D37" s="420"/>
      <c r="E37" s="440"/>
      <c r="F37" s="441"/>
      <c r="G37" s="424"/>
      <c r="H37" s="442"/>
      <c r="I37" s="461"/>
    </row>
    <row r="38" spans="1:13" ht="67.5" customHeight="1" thickBot="1" x14ac:dyDescent="0.4">
      <c r="A38" s="426" t="s">
        <v>228</v>
      </c>
      <c r="B38" s="396" t="s">
        <v>251</v>
      </c>
      <c r="C38" s="396"/>
      <c r="D38" s="445"/>
      <c r="E38" s="430"/>
      <c r="F38" s="433"/>
      <c r="G38" s="433"/>
      <c r="H38" s="387"/>
      <c r="I38" s="463"/>
      <c r="K38" s="269"/>
      <c r="L38" s="261"/>
      <c r="M38" s="261"/>
    </row>
    <row r="39" spans="1:13" ht="31.5" customHeight="1" x14ac:dyDescent="0.35">
      <c r="A39" s="427"/>
      <c r="B39" s="101"/>
      <c r="C39" s="114" t="s">
        <v>252</v>
      </c>
      <c r="D39" s="422"/>
      <c r="E39" s="431"/>
      <c r="F39" s="434"/>
      <c r="G39" s="434"/>
      <c r="H39" s="442"/>
      <c r="I39" s="464"/>
      <c r="K39" s="269"/>
      <c r="L39" s="261"/>
      <c r="M39" s="261"/>
    </row>
    <row r="40" spans="1:13" ht="15.75" customHeight="1" x14ac:dyDescent="0.35">
      <c r="A40" s="427"/>
      <c r="B40" s="104" t="s">
        <v>231</v>
      </c>
      <c r="C40" s="105" t="s">
        <v>253</v>
      </c>
      <c r="D40" s="422"/>
      <c r="E40" s="431"/>
      <c r="F40" s="434"/>
      <c r="G40" s="434"/>
      <c r="H40" s="442"/>
      <c r="I40" s="464"/>
      <c r="K40" s="269"/>
      <c r="L40" s="261"/>
      <c r="M40" s="261"/>
    </row>
    <row r="41" spans="1:13" ht="15.75" customHeight="1" thickBot="1" x14ac:dyDescent="0.4">
      <c r="A41" s="427"/>
      <c r="B41" s="107" t="s">
        <v>232</v>
      </c>
      <c r="C41" s="115" t="s">
        <v>254</v>
      </c>
      <c r="D41" s="423"/>
      <c r="E41" s="432"/>
      <c r="F41" s="435"/>
      <c r="G41" s="435"/>
      <c r="H41" s="388"/>
      <c r="I41" s="465"/>
      <c r="K41" s="269"/>
      <c r="L41" s="261"/>
      <c r="M41" s="261"/>
    </row>
    <row r="42" spans="1:13" ht="15.75" customHeight="1" x14ac:dyDescent="0.35">
      <c r="A42" s="428"/>
      <c r="B42" s="447" t="s">
        <v>255</v>
      </c>
      <c r="C42" s="447"/>
      <c r="D42" s="396"/>
      <c r="E42" s="81"/>
      <c r="F42" s="252" t="s">
        <v>79</v>
      </c>
      <c r="G42" s="426" t="s">
        <v>113</v>
      </c>
      <c r="H42" s="387">
        <f>IF(SUM(E42:E46)&gt;=50, 1, 0)</f>
        <v>0</v>
      </c>
      <c r="I42" s="460"/>
      <c r="K42" s="269"/>
      <c r="L42" s="261"/>
      <c r="M42" s="261"/>
    </row>
    <row r="43" spans="1:13" ht="15.5" x14ac:dyDescent="0.35">
      <c r="A43" s="428"/>
      <c r="B43" s="396" t="s">
        <v>256</v>
      </c>
      <c r="C43" s="396"/>
      <c r="D43" s="396"/>
      <c r="E43" s="81"/>
      <c r="F43" s="252" t="s">
        <v>79</v>
      </c>
      <c r="G43" s="428"/>
      <c r="H43" s="442"/>
      <c r="I43" s="461"/>
      <c r="K43" s="269"/>
      <c r="L43" s="270"/>
      <c r="M43" s="266"/>
    </row>
    <row r="44" spans="1:13" ht="15.75" customHeight="1" x14ac:dyDescent="0.35">
      <c r="A44" s="428"/>
      <c r="B44" s="396" t="s">
        <v>257</v>
      </c>
      <c r="C44" s="396"/>
      <c r="D44" s="396"/>
      <c r="E44" s="81"/>
      <c r="F44" s="252" t="s">
        <v>79</v>
      </c>
      <c r="G44" s="428"/>
      <c r="H44" s="442"/>
      <c r="I44" s="461"/>
    </row>
    <row r="45" spans="1:13" ht="15.75" customHeight="1" x14ac:dyDescent="0.35">
      <c r="A45" s="428"/>
      <c r="B45" s="396" t="s">
        <v>258</v>
      </c>
      <c r="C45" s="396"/>
      <c r="D45" s="396"/>
      <c r="E45" s="81"/>
      <c r="F45" s="252" t="s">
        <v>79</v>
      </c>
      <c r="G45" s="428"/>
      <c r="H45" s="442"/>
      <c r="I45" s="461"/>
    </row>
    <row r="46" spans="1:13" ht="47.25" customHeight="1" x14ac:dyDescent="0.35">
      <c r="A46" s="429"/>
      <c r="B46" s="396" t="s">
        <v>259</v>
      </c>
      <c r="C46" s="396"/>
      <c r="D46" s="396"/>
      <c r="E46" s="81"/>
      <c r="F46" s="252" t="s">
        <v>79</v>
      </c>
      <c r="G46" s="429"/>
      <c r="H46" s="388"/>
      <c r="I46" s="462"/>
    </row>
    <row r="47" spans="1:13" ht="47.25" customHeight="1" x14ac:dyDescent="0.35">
      <c r="A47" s="426" t="s">
        <v>80</v>
      </c>
      <c r="B47" s="396" t="s">
        <v>260</v>
      </c>
      <c r="C47" s="396"/>
      <c r="D47" s="396"/>
      <c r="E47" s="255"/>
      <c r="F47" s="252"/>
      <c r="G47"/>
      <c r="H47" s="116"/>
      <c r="I47" s="51"/>
    </row>
    <row r="48" spans="1:13" ht="33" customHeight="1" x14ac:dyDescent="0.35">
      <c r="A48" s="429"/>
      <c r="B48" s="410" t="s">
        <v>261</v>
      </c>
      <c r="C48" s="410"/>
      <c r="D48" s="410"/>
      <c r="E48" s="81"/>
      <c r="F48" s="252" t="s">
        <v>73</v>
      </c>
      <c r="G48" s="244" t="s">
        <v>262</v>
      </c>
      <c r="H48" s="116">
        <f>IF(ISBLANK(E48), ,LEFT(E48,1)*0.25)</f>
        <v>0</v>
      </c>
      <c r="I48" s="51"/>
    </row>
    <row r="49" spans="1:9" ht="64.5" customHeight="1" x14ac:dyDescent="0.35">
      <c r="A49" s="426" t="s">
        <v>85</v>
      </c>
      <c r="B49" s="408" t="s">
        <v>263</v>
      </c>
      <c r="C49" s="396"/>
      <c r="D49" s="409"/>
      <c r="E49" s="255"/>
      <c r="F49" s="252"/>
      <c r="G49" s="76" t="s">
        <v>264</v>
      </c>
      <c r="H49" s="331"/>
      <c r="I49" s="54"/>
    </row>
    <row r="50" spans="1:9" ht="15.5" x14ac:dyDescent="0.35">
      <c r="A50" s="428"/>
      <c r="B50" s="410" t="s">
        <v>265</v>
      </c>
      <c r="C50" s="410"/>
      <c r="D50" s="410"/>
      <c r="E50" s="81"/>
      <c r="F50" s="252" t="s">
        <v>73</v>
      </c>
      <c r="G50" s="6" t="s">
        <v>141</v>
      </c>
      <c r="H50" s="305"/>
      <c r="I50" s="51"/>
    </row>
    <row r="51" spans="1:9" ht="15.5" x14ac:dyDescent="0.35">
      <c r="A51" s="428"/>
      <c r="B51" s="396" t="s">
        <v>266</v>
      </c>
      <c r="C51" s="396"/>
      <c r="D51" s="396"/>
      <c r="E51" s="81"/>
      <c r="F51" s="252" t="s">
        <v>79</v>
      </c>
      <c r="G51" s="385" t="s">
        <v>267</v>
      </c>
      <c r="H51" s="387">
        <f>IF(AND(E51&gt;=20,E52="Y"),0.5,0)</f>
        <v>0</v>
      </c>
      <c r="I51" s="51"/>
    </row>
    <row r="52" spans="1:9" ht="18" customHeight="1" x14ac:dyDescent="0.35">
      <c r="A52" s="428"/>
      <c r="B52" s="396" t="s">
        <v>268</v>
      </c>
      <c r="C52" s="396"/>
      <c r="D52" s="396"/>
      <c r="E52" s="81"/>
      <c r="F52" s="252" t="s">
        <v>70</v>
      </c>
      <c r="G52" s="386"/>
      <c r="H52" s="388"/>
      <c r="I52" s="51"/>
    </row>
    <row r="53" spans="1:9" ht="15.5" x14ac:dyDescent="0.35">
      <c r="A53" s="428"/>
      <c r="B53" s="396" t="s">
        <v>269</v>
      </c>
      <c r="C53" s="396"/>
      <c r="D53" s="396"/>
      <c r="E53" s="81"/>
      <c r="F53" s="72" t="s">
        <v>79</v>
      </c>
      <c r="G53" s="385" t="s">
        <v>267</v>
      </c>
      <c r="H53" s="387">
        <f>IF(OR(AND(E53&lt;=10,E54="Y"),AND(E55&gt;=50,E56="Y")),0.5,0)</f>
        <v>0</v>
      </c>
      <c r="I53" s="51"/>
    </row>
    <row r="54" spans="1:9" ht="15.75" customHeight="1" x14ac:dyDescent="0.35">
      <c r="A54" s="428"/>
      <c r="B54" s="396" t="s">
        <v>270</v>
      </c>
      <c r="C54" s="396"/>
      <c r="D54" s="396"/>
      <c r="E54" s="81"/>
      <c r="F54" s="252" t="s">
        <v>70</v>
      </c>
      <c r="G54" s="455"/>
      <c r="H54" s="442"/>
      <c r="I54" s="51"/>
    </row>
    <row r="55" spans="1:9" ht="15.75" customHeight="1" x14ac:dyDescent="0.35">
      <c r="A55" s="428"/>
      <c r="B55" s="396" t="s">
        <v>271</v>
      </c>
      <c r="C55" s="396"/>
      <c r="D55" s="396"/>
      <c r="E55" s="81"/>
      <c r="F55" s="72" t="s">
        <v>79</v>
      </c>
      <c r="G55" s="455"/>
      <c r="H55" s="442"/>
      <c r="I55" s="51"/>
    </row>
    <row r="56" spans="1:9" ht="15.75" customHeight="1" x14ac:dyDescent="0.35">
      <c r="A56" s="429"/>
      <c r="B56" s="396" t="s">
        <v>272</v>
      </c>
      <c r="C56" s="396"/>
      <c r="D56" s="396"/>
      <c r="E56" s="81"/>
      <c r="F56" s="252" t="s">
        <v>70</v>
      </c>
      <c r="G56" s="386"/>
      <c r="H56" s="388"/>
      <c r="I56" s="51"/>
    </row>
    <row r="57" spans="1:9" ht="15.5" x14ac:dyDescent="0.35">
      <c r="A57" s="99"/>
      <c r="B57" s="404" t="s">
        <v>273</v>
      </c>
      <c r="C57" s="405"/>
      <c r="D57" s="405"/>
      <c r="E57" s="405"/>
      <c r="F57" s="405"/>
      <c r="G57" s="406"/>
      <c r="H57" s="328">
        <f>SUM(H51:H56,H48,H42,H34)</f>
        <v>0</v>
      </c>
      <c r="I57" s="100"/>
    </row>
    <row r="58" spans="1:9" ht="15.75" customHeight="1" x14ac:dyDescent="0.35">
      <c r="A58" s="117" t="s">
        <v>274</v>
      </c>
      <c r="B58" s="418" t="s">
        <v>275</v>
      </c>
      <c r="C58" s="393"/>
      <c r="D58" s="394"/>
      <c r="E58" s="92"/>
      <c r="F58" s="91"/>
      <c r="G58" s="91"/>
      <c r="H58" s="324"/>
      <c r="I58" s="91"/>
    </row>
    <row r="59" spans="1:9" ht="34" customHeight="1" x14ac:dyDescent="0.35">
      <c r="A59" s="438" t="s">
        <v>75</v>
      </c>
      <c r="B59" s="443" t="s">
        <v>276</v>
      </c>
      <c r="C59" s="444"/>
      <c r="D59" s="445"/>
      <c r="E59" s="81"/>
      <c r="F59" s="72" t="s">
        <v>277</v>
      </c>
      <c r="G59" s="385" t="s">
        <v>130</v>
      </c>
      <c r="H59" s="449">
        <f>IF(AND(E59="Cost",E60&gt;=60),2,0) + IF(AND(E59="Area",E60&gt;=80),2,0)</f>
        <v>0</v>
      </c>
      <c r="I59" s="51"/>
    </row>
    <row r="60" spans="1:9" ht="31" customHeight="1" x14ac:dyDescent="0.35">
      <c r="A60" s="438"/>
      <c r="B60" s="446"/>
      <c r="C60" s="447"/>
      <c r="D60" s="448"/>
      <c r="E60" s="81"/>
      <c r="F60" s="72" t="s">
        <v>79</v>
      </c>
      <c r="G60" s="386"/>
      <c r="H60" s="450"/>
      <c r="I60" s="51"/>
    </row>
    <row r="61" spans="1:9" ht="48" customHeight="1" x14ac:dyDescent="0.35">
      <c r="A61" s="251" t="s">
        <v>77</v>
      </c>
      <c r="B61" s="395" t="s">
        <v>278</v>
      </c>
      <c r="C61" s="396"/>
      <c r="D61" s="396"/>
      <c r="E61" s="81"/>
      <c r="F61" s="72" t="s">
        <v>79</v>
      </c>
      <c r="G61" s="244" t="s">
        <v>239</v>
      </c>
      <c r="H61" s="332">
        <f>IF(E61&gt;=60,3,0)</f>
        <v>0</v>
      </c>
      <c r="I61" s="51"/>
    </row>
    <row r="62" spans="1:9" ht="15.75" customHeight="1" x14ac:dyDescent="0.35">
      <c r="A62" s="118"/>
      <c r="B62" s="404" t="s">
        <v>279</v>
      </c>
      <c r="C62" s="405"/>
      <c r="D62" s="405"/>
      <c r="E62" s="405"/>
      <c r="F62" s="405"/>
      <c r="G62" s="406"/>
      <c r="H62" s="328">
        <f>SUM(H59:H61)</f>
        <v>0</v>
      </c>
      <c r="I62" s="100"/>
    </row>
    <row r="63" spans="1:9" ht="15.5" x14ac:dyDescent="0.35">
      <c r="A63" s="91" t="s">
        <v>280</v>
      </c>
      <c r="B63" s="393" t="s">
        <v>281</v>
      </c>
      <c r="C63" s="393"/>
      <c r="D63" s="394"/>
      <c r="E63" s="92"/>
      <c r="F63" s="91"/>
      <c r="G63" s="91"/>
      <c r="H63" s="324"/>
      <c r="I63" s="91"/>
    </row>
    <row r="64" spans="1:9" ht="65.25" customHeight="1" x14ac:dyDescent="0.35">
      <c r="A64" s="251"/>
      <c r="B64" s="395" t="s">
        <v>282</v>
      </c>
      <c r="C64" s="396"/>
      <c r="D64" s="396"/>
      <c r="E64" s="255"/>
      <c r="F64" s="72"/>
      <c r="G64" s="294"/>
      <c r="H64" s="116"/>
      <c r="I64" s="295"/>
    </row>
    <row r="65" spans="1:9" ht="15.5" x14ac:dyDescent="0.35">
      <c r="A65" s="251" t="s">
        <v>75</v>
      </c>
      <c r="B65" s="395" t="s">
        <v>283</v>
      </c>
      <c r="C65" s="396"/>
      <c r="D65" s="396"/>
      <c r="E65" s="81"/>
      <c r="F65" s="252" t="s">
        <v>70</v>
      </c>
      <c r="G65" s="242" t="s">
        <v>113</v>
      </c>
      <c r="H65" s="332">
        <f>IF(E65="Y",1,0)</f>
        <v>0</v>
      </c>
      <c r="I65" s="51"/>
    </row>
    <row r="66" spans="1:9" ht="47.25" customHeight="1" x14ac:dyDescent="0.35">
      <c r="A66" s="251" t="s">
        <v>228</v>
      </c>
      <c r="B66" s="395" t="s">
        <v>284</v>
      </c>
      <c r="C66" s="396"/>
      <c r="D66" s="396"/>
      <c r="E66" s="81"/>
      <c r="F66" s="252" t="s">
        <v>70</v>
      </c>
      <c r="G66" s="242" t="s">
        <v>113</v>
      </c>
      <c r="H66" s="332">
        <f>IF(E66="Y",1,0)</f>
        <v>0</v>
      </c>
      <c r="I66" s="51"/>
    </row>
    <row r="67" spans="1:9" ht="51.65" customHeight="1" x14ac:dyDescent="0.35">
      <c r="A67" s="251" t="s">
        <v>285</v>
      </c>
      <c r="B67" s="395" t="s">
        <v>286</v>
      </c>
      <c r="C67" s="396"/>
      <c r="D67" s="396"/>
      <c r="E67" s="81"/>
      <c r="F67" s="252" t="s">
        <v>70</v>
      </c>
      <c r="G67" s="242" t="s">
        <v>113</v>
      </c>
      <c r="H67" s="332">
        <f>IF(E67="Y",1,0)</f>
        <v>0</v>
      </c>
      <c r="I67" s="51"/>
    </row>
    <row r="68" spans="1:9" ht="15.5" x14ac:dyDescent="0.35">
      <c r="A68" s="118"/>
      <c r="B68" s="404" t="s">
        <v>287</v>
      </c>
      <c r="C68" s="405"/>
      <c r="D68" s="405"/>
      <c r="E68" s="405"/>
      <c r="F68" s="405"/>
      <c r="G68" s="406"/>
      <c r="H68" s="328">
        <f>SUM(H65:H67)</f>
        <v>0</v>
      </c>
      <c r="I68" s="100"/>
    </row>
    <row r="69" spans="1:9" ht="15.65" customHeight="1" x14ac:dyDescent="0.35">
      <c r="A69" s="88" t="s">
        <v>288</v>
      </c>
      <c r="B69" s="401" t="s">
        <v>289</v>
      </c>
      <c r="C69" s="402"/>
      <c r="D69" s="402"/>
      <c r="E69" s="402"/>
      <c r="F69" s="402"/>
      <c r="G69" s="119">
        <v>5</v>
      </c>
      <c r="H69" s="329">
        <f>MIN(SUM(H72,H76,H79),5)</f>
        <v>0</v>
      </c>
      <c r="I69" s="90"/>
    </row>
    <row r="70" spans="1:9" ht="19" customHeight="1" x14ac:dyDescent="0.35">
      <c r="A70" s="91" t="s">
        <v>290</v>
      </c>
      <c r="B70" s="393" t="s">
        <v>291</v>
      </c>
      <c r="C70" s="393"/>
      <c r="D70" s="394"/>
      <c r="E70" s="92"/>
      <c r="F70" s="91"/>
      <c r="G70" s="91"/>
      <c r="H70" s="324"/>
      <c r="I70" s="91"/>
    </row>
    <row r="71" spans="1:9" ht="98.5" customHeight="1" x14ac:dyDescent="0.35">
      <c r="A71" s="120"/>
      <c r="B71" s="395" t="s">
        <v>292</v>
      </c>
      <c r="C71" s="396"/>
      <c r="D71" s="396"/>
      <c r="E71" s="81"/>
      <c r="F71" s="72" t="s">
        <v>79</v>
      </c>
      <c r="G71" s="244" t="s">
        <v>293</v>
      </c>
      <c r="H71" s="302">
        <f>IF(E71=100,3,IF(E71&gt;=70,2,IF(E71&gt;=50,1,0)))</f>
        <v>0</v>
      </c>
      <c r="I71" s="51"/>
    </row>
    <row r="72" spans="1:9" ht="15.5" x14ac:dyDescent="0.35">
      <c r="A72" s="99"/>
      <c r="B72" s="404" t="s">
        <v>294</v>
      </c>
      <c r="C72" s="405"/>
      <c r="D72" s="405"/>
      <c r="E72" s="405"/>
      <c r="F72" s="405"/>
      <c r="G72" s="406"/>
      <c r="H72" s="328">
        <f>H71</f>
        <v>0</v>
      </c>
      <c r="I72" s="100"/>
    </row>
    <row r="73" spans="1:9" ht="16.5" customHeight="1" x14ac:dyDescent="0.35">
      <c r="A73" s="91" t="s">
        <v>295</v>
      </c>
      <c r="B73" s="393" t="s">
        <v>296</v>
      </c>
      <c r="C73" s="393"/>
      <c r="D73" s="394"/>
      <c r="E73" s="92"/>
      <c r="F73" s="91"/>
      <c r="G73" s="91"/>
      <c r="H73" s="324"/>
      <c r="I73" s="91"/>
    </row>
    <row r="74" spans="1:9" ht="48.75" customHeight="1" x14ac:dyDescent="0.35">
      <c r="A74" s="251" t="s">
        <v>75</v>
      </c>
      <c r="B74" s="395" t="s">
        <v>297</v>
      </c>
      <c r="C74" s="396"/>
      <c r="D74" s="396"/>
      <c r="E74" s="81"/>
      <c r="F74" s="72" t="s">
        <v>79</v>
      </c>
      <c r="G74" s="244" t="s">
        <v>113</v>
      </c>
      <c r="H74" s="302">
        <f>IF(E74&gt;=80,1,0)</f>
        <v>0</v>
      </c>
      <c r="I74" s="85"/>
    </row>
    <row r="75" spans="1:9" ht="50.5" customHeight="1" x14ac:dyDescent="0.35">
      <c r="A75" s="251" t="s">
        <v>228</v>
      </c>
      <c r="B75" s="395" t="s">
        <v>298</v>
      </c>
      <c r="C75" s="396"/>
      <c r="D75" s="396"/>
      <c r="E75" s="81"/>
      <c r="F75" s="72" t="s">
        <v>79</v>
      </c>
      <c r="G75" s="244" t="s">
        <v>113</v>
      </c>
      <c r="H75" s="302">
        <f>IF(E75&gt;=80,1,0)</f>
        <v>0</v>
      </c>
      <c r="I75" s="85"/>
    </row>
    <row r="76" spans="1:9" ht="15.5" x14ac:dyDescent="0.35">
      <c r="A76" s="99"/>
      <c r="B76" s="404" t="s">
        <v>299</v>
      </c>
      <c r="C76" s="405"/>
      <c r="D76" s="405"/>
      <c r="E76" s="405"/>
      <c r="F76" s="405"/>
      <c r="G76" s="406"/>
      <c r="H76" s="328">
        <f>SUM(H74:H75)</f>
        <v>0</v>
      </c>
      <c r="I76" s="100"/>
    </row>
    <row r="77" spans="1:9" ht="15.5" x14ac:dyDescent="0.35">
      <c r="A77" s="91" t="s">
        <v>300</v>
      </c>
      <c r="B77" s="393" t="s">
        <v>301</v>
      </c>
      <c r="C77" s="393"/>
      <c r="D77" s="394"/>
      <c r="E77" s="92"/>
      <c r="F77" s="91"/>
      <c r="G77" s="91"/>
      <c r="H77" s="324"/>
      <c r="I77" s="91"/>
    </row>
    <row r="78" spans="1:9" ht="100" customHeight="1" x14ac:dyDescent="0.35">
      <c r="A78" s="251"/>
      <c r="B78" s="403" t="s">
        <v>302</v>
      </c>
      <c r="C78" s="403"/>
      <c r="D78" s="403"/>
      <c r="E78" s="81"/>
      <c r="F78" s="72" t="s">
        <v>79</v>
      </c>
      <c r="G78" s="244" t="s">
        <v>293</v>
      </c>
      <c r="H78" s="302">
        <f>IF(E78&gt;=90,3,IF(E78&gt;=60,2,IF(E78&gt;=30,1,0)))</f>
        <v>0</v>
      </c>
      <c r="I78" s="18"/>
    </row>
    <row r="79" spans="1:9" ht="15.5" x14ac:dyDescent="0.35">
      <c r="A79" s="99"/>
      <c r="B79" s="404" t="s">
        <v>303</v>
      </c>
      <c r="C79" s="405"/>
      <c r="D79" s="405"/>
      <c r="E79" s="405"/>
      <c r="F79" s="405"/>
      <c r="G79" s="406"/>
      <c r="H79" s="328">
        <f>H78</f>
        <v>0</v>
      </c>
      <c r="I79" s="100"/>
    </row>
    <row r="80" spans="1:9" s="271" customFormat="1" ht="18.649999999999999" customHeight="1" x14ac:dyDescent="0.35">
      <c r="A80" s="88"/>
      <c r="B80" s="401" t="s">
        <v>304</v>
      </c>
      <c r="C80" s="402"/>
      <c r="D80" s="402"/>
      <c r="E80" s="402"/>
      <c r="F80" s="402"/>
      <c r="G80" s="119">
        <v>2</v>
      </c>
      <c r="H80" s="329">
        <f>SUM(H82:H83)</f>
        <v>0</v>
      </c>
      <c r="I80" s="90"/>
    </row>
    <row r="81" spans="1:9" ht="65.150000000000006" customHeight="1" x14ac:dyDescent="0.35">
      <c r="A81" s="91"/>
      <c r="B81" s="407" t="s">
        <v>305</v>
      </c>
      <c r="C81" s="407"/>
      <c r="D81" s="407"/>
      <c r="E81" s="92"/>
      <c r="F81" s="91"/>
      <c r="G81" s="92" t="s">
        <v>197</v>
      </c>
      <c r="H81" s="324"/>
      <c r="I81" s="253" t="s">
        <v>198</v>
      </c>
    </row>
    <row r="82" spans="1:9" ht="183" customHeight="1" x14ac:dyDescent="0.35">
      <c r="A82" s="251"/>
      <c r="B82" s="403" t="s">
        <v>306</v>
      </c>
      <c r="C82" s="403"/>
      <c r="D82" s="403"/>
      <c r="E82" s="81"/>
      <c r="F82" s="78" t="s">
        <v>73</v>
      </c>
      <c r="G82" s="381" t="s">
        <v>200</v>
      </c>
      <c r="H82" s="302">
        <f>E82</f>
        <v>0</v>
      </c>
      <c r="I82" s="85" t="s">
        <v>201</v>
      </c>
    </row>
    <row r="83" spans="1:9" ht="183" customHeight="1" x14ac:dyDescent="0.35">
      <c r="A83" s="79"/>
      <c r="B83" s="403"/>
      <c r="C83" s="403"/>
      <c r="D83" s="403"/>
      <c r="E83" s="81"/>
      <c r="F83" s="78" t="s">
        <v>73</v>
      </c>
      <c r="G83" s="381"/>
      <c r="H83" s="302">
        <f>E83</f>
        <v>0</v>
      </c>
      <c r="I83" s="85" t="s">
        <v>202</v>
      </c>
    </row>
  </sheetData>
  <sheetProtection algorithmName="SHA-512" hashValue="it5fx0swfQp0OHvHlqadyO+aqHvrKvJsrolal42OvDchHfbKWuefcHh+e9IcT+40P4CI2R4s8RAgEhtgqdmXDg==" saltValue="TVFzQV3JKxNzLcm4a/6uDA==" spinCount="100000" sheet="1" formatCells="0" selectLockedCells="1"/>
  <mergeCells count="105">
    <mergeCell ref="I7:I14"/>
    <mergeCell ref="E20:E24"/>
    <mergeCell ref="F20:F24"/>
    <mergeCell ref="G20:G24"/>
    <mergeCell ref="I42:I46"/>
    <mergeCell ref="H38:H41"/>
    <mergeCell ref="I38:I41"/>
    <mergeCell ref="I34:I37"/>
    <mergeCell ref="H20:H24"/>
    <mergeCell ref="I20:I24"/>
    <mergeCell ref="H7:H14"/>
    <mergeCell ref="B79:G79"/>
    <mergeCell ref="G38:G41"/>
    <mergeCell ref="B18:D18"/>
    <mergeCell ref="B4:D4"/>
    <mergeCell ref="B5:D5"/>
    <mergeCell ref="B6:D6"/>
    <mergeCell ref="B15:D15"/>
    <mergeCell ref="G42:G46"/>
    <mergeCell ref="B74:D74"/>
    <mergeCell ref="B66:D66"/>
    <mergeCell ref="B67:D67"/>
    <mergeCell ref="B61:D61"/>
    <mergeCell ref="B73:D73"/>
    <mergeCell ref="B17:D17"/>
    <mergeCell ref="B38:D38"/>
    <mergeCell ref="B42:D42"/>
    <mergeCell ref="B43:D43"/>
    <mergeCell ref="G53:G56"/>
    <mergeCell ref="G51:G52"/>
    <mergeCell ref="B72:G72"/>
    <mergeCell ref="B76:G76"/>
    <mergeCell ref="G7:G14"/>
    <mergeCell ref="B7:C7"/>
    <mergeCell ref="B19:D19"/>
    <mergeCell ref="A59:A60"/>
    <mergeCell ref="E34:E37"/>
    <mergeCell ref="F34:F37"/>
    <mergeCell ref="G34:G37"/>
    <mergeCell ref="H34:H37"/>
    <mergeCell ref="G59:G60"/>
    <mergeCell ref="B59:D60"/>
    <mergeCell ref="B48:D48"/>
    <mergeCell ref="B33:D33"/>
    <mergeCell ref="H42:H46"/>
    <mergeCell ref="H59:H60"/>
    <mergeCell ref="H51:H52"/>
    <mergeCell ref="H53:H56"/>
    <mergeCell ref="B24:D24"/>
    <mergeCell ref="A7:A14"/>
    <mergeCell ref="D7:D14"/>
    <mergeCell ref="B58:D58"/>
    <mergeCell ref="E7:E14"/>
    <mergeCell ref="F7:F14"/>
    <mergeCell ref="D34:D37"/>
    <mergeCell ref="A20:A24"/>
    <mergeCell ref="D39:D41"/>
    <mergeCell ref="A33:A37"/>
    <mergeCell ref="A38:A46"/>
    <mergeCell ref="E38:E41"/>
    <mergeCell ref="F38:F41"/>
    <mergeCell ref="A47:A48"/>
    <mergeCell ref="A49:A56"/>
    <mergeCell ref="B10:B14"/>
    <mergeCell ref="B8:B9"/>
    <mergeCell ref="B1:D1"/>
    <mergeCell ref="B3:F3"/>
    <mergeCell ref="B30:F30"/>
    <mergeCell ref="B69:F69"/>
    <mergeCell ref="G82:G83"/>
    <mergeCell ref="B82:D83"/>
    <mergeCell ref="B16:G16"/>
    <mergeCell ref="B25:G25"/>
    <mergeCell ref="B29:G29"/>
    <mergeCell ref="B57:G57"/>
    <mergeCell ref="B62:G62"/>
    <mergeCell ref="B68:G68"/>
    <mergeCell ref="B81:D81"/>
    <mergeCell ref="B70:D70"/>
    <mergeCell ref="B71:D71"/>
    <mergeCell ref="B49:D49"/>
    <mergeCell ref="B50:D50"/>
    <mergeCell ref="B54:D54"/>
    <mergeCell ref="B55:D55"/>
    <mergeCell ref="B80:F80"/>
    <mergeCell ref="B75:D75"/>
    <mergeCell ref="B77:D77"/>
    <mergeCell ref="B78:D78"/>
    <mergeCell ref="A2:F2"/>
    <mergeCell ref="B63:D63"/>
    <mergeCell ref="B65:D65"/>
    <mergeCell ref="B56:D56"/>
    <mergeCell ref="B47:D47"/>
    <mergeCell ref="B44:D44"/>
    <mergeCell ref="B45:D45"/>
    <mergeCell ref="B46:D46"/>
    <mergeCell ref="B26:D26"/>
    <mergeCell ref="B27:D27"/>
    <mergeCell ref="B31:D31"/>
    <mergeCell ref="B32:D32"/>
    <mergeCell ref="B51:D51"/>
    <mergeCell ref="B52:D52"/>
    <mergeCell ref="B53:D53"/>
    <mergeCell ref="B64:D64"/>
    <mergeCell ref="B28:D28"/>
  </mergeCells>
  <dataValidations count="9">
    <dataValidation type="decimal" allowBlank="1" showErrorMessage="1" error="Please enter 0.5 or 1 or 1.5 or 2." prompt="Please Enter 0 or 1 or 1.5 or 2." sqref="H82 H74:H75" xr:uid="{00000000-0002-0000-0400-000000000000}">
      <formula1>0</formula1>
      <formula2>2</formula2>
    </dataValidation>
    <dataValidation allowBlank="1" showInputMessage="1" showErrorMessage="1" prompt="Please list down short description of your innovation." sqref="I74:I75 I82:I83" xr:uid="{00000000-0002-0000-0400-000001000000}"/>
    <dataValidation allowBlank="1" showErrorMessage="1" sqref="H83" xr:uid="{00000000-0002-0000-0400-000002000000}"/>
    <dataValidation type="list" allowBlank="1" showInputMessage="1" showErrorMessage="1" sqref="E52 E56 E54 E27:E28 E65:E67" xr:uid="{00000000-0002-0000-0400-000003000000}">
      <formula1>"Y,N"</formula1>
    </dataValidation>
    <dataValidation type="decimal" allowBlank="1" showInputMessage="1" showErrorMessage="1" sqref="E53 E34:E37 E42:E46 E60:E61 E51 E71 E74:E75 E55 E78" xr:uid="{00000000-0002-0000-0400-000004000000}">
      <formula1>0</formula1>
      <formula2>100</formula2>
    </dataValidation>
    <dataValidation type="list" allowBlank="1" showInputMessage="1" showErrorMessage="1" sqref="E48" xr:uid="{00000000-0002-0000-0400-000005000000}">
      <formula1>"2 ticks, 3 ticks, 4 ticks"</formula1>
    </dataValidation>
    <dataValidation type="list" allowBlank="1" showInputMessage="1" showErrorMessage="1" sqref="E59" xr:uid="{00000000-0002-0000-0400-000006000000}">
      <formula1>"Cost,Area"</formula1>
    </dataValidation>
    <dataValidation type="decimal" allowBlank="1" showInputMessage="1" showErrorMessage="1" sqref="E18" xr:uid="{00000000-0002-0000-0400-000007000000}">
      <formula1>0</formula1>
      <formula2>10000</formula2>
    </dataValidation>
    <dataValidation type="list" showErrorMessage="1" error="Please enter 0.5 or 1 or 1.5 or 2." prompt="Please Enter 0.5 or 1 or 1.5 or 2." sqref="E82:E83" xr:uid="{00000000-0002-0000-0400-000008000000}">
      <formula1>"0, 0.5, 1.0, 1.5, 2.0"</formula1>
    </dataValidation>
  </dataValidations>
  <pageMargins left="0.7" right="0.7" top="0.75" bottom="0.75" header="0.3" footer="0.3"/>
  <pageSetup paperSize="9" scale="50" orientation="portrait" r:id="rId1"/>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6"/>
  <sheetViews>
    <sheetView zoomScaleNormal="100" workbookViewId="0">
      <selection activeCell="J2" sqref="J2"/>
    </sheetView>
  </sheetViews>
  <sheetFormatPr defaultColWidth="8.7265625" defaultRowHeight="14.5" x14ac:dyDescent="0.35"/>
  <cols>
    <col min="1" max="1" width="8.26953125" style="239" customWidth="1"/>
    <col min="2" max="2" width="22.26953125" style="239" customWidth="1"/>
    <col min="3" max="3" width="46.453125" style="239" customWidth="1"/>
    <col min="4" max="4" width="10.54296875" style="239" customWidth="1"/>
    <col min="5" max="5" width="10.7265625" style="266" customWidth="1"/>
    <col min="6" max="6" width="16.1796875" style="263" customWidth="1"/>
    <col min="7" max="7" width="18.1796875" style="239" customWidth="1"/>
    <col min="8" max="8" width="10.7265625" style="273" customWidth="1"/>
    <col min="9" max="9" width="30.7265625" style="239" customWidth="1"/>
    <col min="10" max="11" width="50.7265625" style="239" customWidth="1"/>
    <col min="12" max="12" width="15.54296875" style="239" customWidth="1"/>
    <col min="13" max="13" width="17.26953125" style="239" customWidth="1"/>
    <col min="14" max="16384" width="8.7265625" style="239"/>
  </cols>
  <sheetData>
    <row r="1" spans="1:9" ht="46.5" x14ac:dyDescent="0.35">
      <c r="A1" s="2"/>
      <c r="B1" s="398" t="s">
        <v>307</v>
      </c>
      <c r="C1" s="399"/>
      <c r="D1" s="400"/>
      <c r="E1" s="19" t="s">
        <v>65</v>
      </c>
      <c r="F1" s="19" t="s">
        <v>66</v>
      </c>
      <c r="G1" s="20" t="s">
        <v>103</v>
      </c>
      <c r="H1" s="19" t="s">
        <v>104</v>
      </c>
      <c r="I1" s="3" t="s">
        <v>67</v>
      </c>
    </row>
    <row r="2" spans="1:9" ht="21" x14ac:dyDescent="0.35">
      <c r="A2" s="486" t="s">
        <v>308</v>
      </c>
      <c r="B2" s="487"/>
      <c r="C2" s="487"/>
      <c r="D2" s="487"/>
      <c r="E2" s="487"/>
      <c r="F2" s="488"/>
      <c r="G2" s="55">
        <v>15</v>
      </c>
      <c r="H2" s="333">
        <f>MIN(SUM(H3,H45,H70,H93),15)</f>
        <v>0</v>
      </c>
      <c r="I2" s="56" t="s">
        <v>105</v>
      </c>
    </row>
    <row r="3" spans="1:9" ht="14.5" customHeight="1" x14ac:dyDescent="0.35">
      <c r="A3" s="57" t="s">
        <v>309</v>
      </c>
      <c r="B3" s="489" t="s">
        <v>310</v>
      </c>
      <c r="C3" s="490"/>
      <c r="D3" s="490"/>
      <c r="E3" s="490"/>
      <c r="F3" s="490"/>
      <c r="G3" s="58">
        <v>5</v>
      </c>
      <c r="H3" s="334">
        <f>MIN(SUM(H8,H12,H21,H34,H39,H44), 5)</f>
        <v>0</v>
      </c>
      <c r="I3" s="59"/>
    </row>
    <row r="4" spans="1:9" ht="15.5" x14ac:dyDescent="0.35">
      <c r="A4" s="60" t="s">
        <v>311</v>
      </c>
      <c r="B4" s="491" t="s">
        <v>312</v>
      </c>
      <c r="C4" s="491"/>
      <c r="D4" s="492"/>
      <c r="E4" s="61"/>
      <c r="F4" s="60"/>
      <c r="G4" s="60"/>
      <c r="H4" s="335"/>
      <c r="I4" s="60"/>
    </row>
    <row r="5" spans="1:9" ht="15.5" x14ac:dyDescent="0.35">
      <c r="A5" s="62" t="s">
        <v>313</v>
      </c>
      <c r="B5" s="493" t="s">
        <v>314</v>
      </c>
      <c r="C5" s="493"/>
      <c r="D5" s="493"/>
      <c r="E5" s="63"/>
      <c r="F5" s="62"/>
      <c r="G5" s="64"/>
      <c r="H5" s="336"/>
      <c r="I5" s="64"/>
    </row>
    <row r="6" spans="1:9" ht="80.25" customHeight="1" x14ac:dyDescent="0.35">
      <c r="A6" s="6" t="s">
        <v>225</v>
      </c>
      <c r="B6" s="403" t="s">
        <v>315</v>
      </c>
      <c r="C6" s="403"/>
      <c r="D6" s="403"/>
      <c r="E6" s="81"/>
      <c r="F6" s="252" t="s">
        <v>70</v>
      </c>
      <c r="G6" s="6" t="s">
        <v>113</v>
      </c>
      <c r="H6" s="116">
        <f>IF(E6="Y",1,0)</f>
        <v>0</v>
      </c>
      <c r="I6" s="82"/>
    </row>
    <row r="7" spans="1:9" ht="50.15" customHeight="1" x14ac:dyDescent="0.35">
      <c r="A7" s="6" t="s">
        <v>228</v>
      </c>
      <c r="B7" s="403" t="s">
        <v>316</v>
      </c>
      <c r="C7" s="403"/>
      <c r="D7" s="403"/>
      <c r="E7" s="81"/>
      <c r="F7" s="252" t="s">
        <v>70</v>
      </c>
      <c r="G7" s="6" t="s">
        <v>113</v>
      </c>
      <c r="H7" s="116">
        <f>IF(E7="Y",1,0)</f>
        <v>0</v>
      </c>
      <c r="I7" s="82"/>
    </row>
    <row r="8" spans="1:9" ht="15.5" x14ac:dyDescent="0.35">
      <c r="A8" s="469" t="s">
        <v>317</v>
      </c>
      <c r="B8" s="469"/>
      <c r="C8" s="469"/>
      <c r="D8" s="469"/>
      <c r="E8" s="469"/>
      <c r="F8" s="469"/>
      <c r="G8" s="469"/>
      <c r="H8" s="337">
        <f>SUM(H6:H7)</f>
        <v>0</v>
      </c>
      <c r="I8" s="65"/>
    </row>
    <row r="9" spans="1:9" ht="15.5" x14ac:dyDescent="0.35">
      <c r="A9" s="62" t="s">
        <v>318</v>
      </c>
      <c r="B9" s="476" t="s">
        <v>319</v>
      </c>
      <c r="C9" s="476"/>
      <c r="D9" s="476"/>
      <c r="E9" s="63"/>
      <c r="F9" s="62"/>
      <c r="G9" s="64"/>
      <c r="H9" s="336"/>
      <c r="I9" s="64"/>
    </row>
    <row r="10" spans="1:9" ht="128.5" customHeight="1" x14ac:dyDescent="0.35">
      <c r="A10" s="6" t="s">
        <v>75</v>
      </c>
      <c r="B10" s="395" t="s">
        <v>320</v>
      </c>
      <c r="C10" s="396"/>
      <c r="D10" s="409"/>
      <c r="E10" s="81"/>
      <c r="F10" s="252" t="s">
        <v>79</v>
      </c>
      <c r="G10" s="244" t="s">
        <v>321</v>
      </c>
      <c r="H10" s="116">
        <f>IF(E10=100,1,IF(E10&gt;=50,0.5,0))</f>
        <v>0</v>
      </c>
      <c r="I10" s="82"/>
    </row>
    <row r="11" spans="1:9" ht="81" customHeight="1" x14ac:dyDescent="0.35">
      <c r="A11" s="6" t="s">
        <v>77</v>
      </c>
      <c r="B11" s="396" t="s">
        <v>322</v>
      </c>
      <c r="C11" s="396"/>
      <c r="D11" s="396"/>
      <c r="E11" s="81"/>
      <c r="F11" s="252" t="s">
        <v>79</v>
      </c>
      <c r="G11" s="244" t="s">
        <v>321</v>
      </c>
      <c r="H11" s="116">
        <f>IF(E11&gt;=90,1,IF(E11&gt;=50,0.5,0))</f>
        <v>0</v>
      </c>
      <c r="I11" s="82"/>
    </row>
    <row r="12" spans="1:9" ht="15.5" x14ac:dyDescent="0.35">
      <c r="A12" s="469" t="s">
        <v>323</v>
      </c>
      <c r="B12" s="469"/>
      <c r="C12" s="469"/>
      <c r="D12" s="469"/>
      <c r="E12" s="469"/>
      <c r="F12" s="469"/>
      <c r="G12" s="469"/>
      <c r="H12" s="337">
        <f>SUM(H10:H11)</f>
        <v>0</v>
      </c>
      <c r="I12" s="65"/>
    </row>
    <row r="13" spans="1:9" ht="15.75" customHeight="1" x14ac:dyDescent="0.35">
      <c r="A13" s="60" t="s">
        <v>324</v>
      </c>
      <c r="B13" s="494" t="s">
        <v>325</v>
      </c>
      <c r="C13" s="494"/>
      <c r="D13" s="495"/>
      <c r="E13" s="61"/>
      <c r="F13" s="60"/>
      <c r="G13" s="60"/>
      <c r="H13" s="335"/>
      <c r="I13" s="60"/>
    </row>
    <row r="14" spans="1:9" ht="80.150000000000006" customHeight="1" thickBot="1" x14ac:dyDescent="0.4">
      <c r="A14" s="496"/>
      <c r="B14" s="443" t="s">
        <v>326</v>
      </c>
      <c r="C14" s="444"/>
      <c r="D14" s="409"/>
      <c r="E14" s="255"/>
      <c r="F14" s="249"/>
      <c r="G14" s="8"/>
      <c r="H14" s="116"/>
      <c r="I14" s="272"/>
    </row>
    <row r="15" spans="1:9" ht="15.5" x14ac:dyDescent="0.35">
      <c r="A15" s="497"/>
      <c r="B15" s="501" t="s">
        <v>327</v>
      </c>
      <c r="C15" s="502"/>
      <c r="D15" s="510"/>
      <c r="E15" s="473"/>
      <c r="F15" s="441"/>
      <c r="G15" s="438"/>
      <c r="H15" s="382"/>
      <c r="I15" s="498"/>
    </row>
    <row r="16" spans="1:9" ht="15" customHeight="1" x14ac:dyDescent="0.35">
      <c r="A16" s="497"/>
      <c r="B16" s="503" t="s">
        <v>328</v>
      </c>
      <c r="C16" s="504"/>
      <c r="D16" s="422"/>
      <c r="E16" s="473"/>
      <c r="F16" s="441"/>
      <c r="G16" s="438"/>
      <c r="H16" s="382"/>
      <c r="I16" s="499"/>
    </row>
    <row r="17" spans="1:9" ht="55" x14ac:dyDescent="0.35">
      <c r="A17" s="497"/>
      <c r="B17" s="66" t="s">
        <v>329</v>
      </c>
      <c r="C17" s="67" t="s">
        <v>330</v>
      </c>
      <c r="D17" s="422"/>
      <c r="E17" s="473"/>
      <c r="F17" s="441"/>
      <c r="G17" s="438"/>
      <c r="H17" s="382"/>
      <c r="I17" s="499"/>
    </row>
    <row r="18" spans="1:9" ht="43" customHeight="1" x14ac:dyDescent="0.35">
      <c r="A18" s="497"/>
      <c r="B18" s="68" t="s">
        <v>331</v>
      </c>
      <c r="C18" s="67" t="s">
        <v>332</v>
      </c>
      <c r="D18" s="422"/>
      <c r="E18" s="473"/>
      <c r="F18" s="441"/>
      <c r="G18" s="438"/>
      <c r="H18" s="382"/>
      <c r="I18" s="499"/>
    </row>
    <row r="19" spans="1:9" ht="67" customHeight="1" thickBot="1" x14ac:dyDescent="0.4">
      <c r="A19" s="497"/>
      <c r="B19" s="505" t="s">
        <v>333</v>
      </c>
      <c r="C19" s="506"/>
      <c r="D19" s="423"/>
      <c r="E19" s="473"/>
      <c r="F19" s="441"/>
      <c r="G19" s="438"/>
      <c r="H19" s="382"/>
      <c r="I19" s="500"/>
    </row>
    <row r="20" spans="1:9" ht="30" customHeight="1" x14ac:dyDescent="0.35">
      <c r="A20" s="497"/>
      <c r="B20" s="507" t="s">
        <v>334</v>
      </c>
      <c r="C20" s="508"/>
      <c r="D20" s="509"/>
      <c r="E20" s="81"/>
      <c r="F20" s="252" t="s">
        <v>79</v>
      </c>
      <c r="G20" s="244" t="s">
        <v>113</v>
      </c>
      <c r="H20" s="338">
        <f>IF(E20&gt;=80,1,0)</f>
        <v>0</v>
      </c>
      <c r="I20" s="83"/>
    </row>
    <row r="21" spans="1:9" ht="15.5" x14ac:dyDescent="0.35">
      <c r="A21" s="469" t="s">
        <v>335</v>
      </c>
      <c r="B21" s="469"/>
      <c r="C21" s="469"/>
      <c r="D21" s="469"/>
      <c r="E21" s="469"/>
      <c r="F21" s="469"/>
      <c r="G21" s="469"/>
      <c r="H21" s="337">
        <f>SUM(H14:H20)</f>
        <v>0</v>
      </c>
      <c r="I21" s="65"/>
    </row>
    <row r="22" spans="1:9" ht="15.5" x14ac:dyDescent="0.35">
      <c r="A22" s="60" t="s">
        <v>336</v>
      </c>
      <c r="B22" s="494" t="s">
        <v>337</v>
      </c>
      <c r="C22" s="494"/>
      <c r="D22" s="494"/>
      <c r="E22" s="61"/>
      <c r="F22" s="69"/>
      <c r="G22" s="60"/>
      <c r="H22" s="335"/>
      <c r="I22" s="60"/>
    </row>
    <row r="23" spans="1:9" ht="15.75" customHeight="1" x14ac:dyDescent="0.35">
      <c r="A23" s="62" t="s">
        <v>338</v>
      </c>
      <c r="B23" s="476" t="s">
        <v>339</v>
      </c>
      <c r="C23" s="476"/>
      <c r="D23" s="476"/>
      <c r="E23" s="63"/>
      <c r="F23" s="70"/>
      <c r="G23" s="64"/>
      <c r="H23" s="336"/>
      <c r="I23" s="64"/>
    </row>
    <row r="24" spans="1:9" ht="136.5" customHeight="1" x14ac:dyDescent="0.35">
      <c r="A24" s="426" t="s">
        <v>225</v>
      </c>
      <c r="B24" s="410" t="s">
        <v>340</v>
      </c>
      <c r="C24" s="410"/>
      <c r="D24" s="410"/>
      <c r="E24" s="255"/>
      <c r="F24" s="71"/>
      <c r="G24" s="6"/>
      <c r="H24" s="116"/>
      <c r="I24" s="84"/>
    </row>
    <row r="25" spans="1:9" ht="15.5" x14ac:dyDescent="0.35">
      <c r="A25" s="428"/>
      <c r="B25" s="474" t="s">
        <v>341</v>
      </c>
      <c r="C25" s="410"/>
      <c r="D25" s="475"/>
      <c r="E25" s="81"/>
      <c r="F25" s="71" t="s">
        <v>70</v>
      </c>
      <c r="G25" s="385" t="s">
        <v>321</v>
      </c>
      <c r="H25" s="387">
        <f>IF(AND(E25="Y",E26="Y",E27&gt;=90),1,IF(AND(E25="Y",E26="Y",E27&gt;=50),0.5,0))</f>
        <v>0</v>
      </c>
      <c r="I25" s="84"/>
    </row>
    <row r="26" spans="1:9" ht="47.5" customHeight="1" x14ac:dyDescent="0.35">
      <c r="A26" s="428"/>
      <c r="B26" s="474" t="s">
        <v>342</v>
      </c>
      <c r="C26" s="410"/>
      <c r="D26" s="475"/>
      <c r="E26" s="81"/>
      <c r="F26" s="71" t="s">
        <v>70</v>
      </c>
      <c r="G26" s="428"/>
      <c r="H26" s="442"/>
      <c r="I26" s="84"/>
    </row>
    <row r="27" spans="1:9" ht="49.5" customHeight="1" x14ac:dyDescent="0.35">
      <c r="A27" s="429"/>
      <c r="B27" s="474" t="s">
        <v>343</v>
      </c>
      <c r="C27" s="410"/>
      <c r="D27" s="475"/>
      <c r="E27" s="81"/>
      <c r="F27" s="71" t="s">
        <v>79</v>
      </c>
      <c r="G27" s="429"/>
      <c r="H27" s="388"/>
      <c r="I27" s="84"/>
    </row>
    <row r="28" spans="1:9" ht="15.5" x14ac:dyDescent="0.35">
      <c r="A28" s="426" t="s">
        <v>228</v>
      </c>
      <c r="B28" s="477" t="s">
        <v>344</v>
      </c>
      <c r="C28" s="478"/>
      <c r="D28" s="479"/>
      <c r="E28" s="255"/>
      <c r="F28" s="71"/>
      <c r="G28" s="250"/>
      <c r="H28" s="339"/>
      <c r="I28" s="84"/>
    </row>
    <row r="29" spans="1:9" ht="15.5" x14ac:dyDescent="0.35">
      <c r="A29" s="428"/>
      <c r="B29" s="480" t="s">
        <v>345</v>
      </c>
      <c r="C29" s="478"/>
      <c r="D29" s="479"/>
      <c r="E29" s="81"/>
      <c r="F29" s="72" t="s">
        <v>73</v>
      </c>
      <c r="G29" s="6" t="s">
        <v>113</v>
      </c>
      <c r="H29" s="116">
        <f>IF(ISBLANK(E29),0,IF(AND(E29&lt;0.5,E29&gt;-0.5),1,0))</f>
        <v>0</v>
      </c>
      <c r="I29" s="84"/>
    </row>
    <row r="30" spans="1:9" ht="36" customHeight="1" x14ac:dyDescent="0.35">
      <c r="A30" s="428"/>
      <c r="B30" s="480" t="s">
        <v>346</v>
      </c>
      <c r="C30" s="478"/>
      <c r="D30" s="479"/>
      <c r="E30" s="81"/>
      <c r="F30" s="72" t="s">
        <v>79</v>
      </c>
      <c r="G30" s="6" t="s">
        <v>113</v>
      </c>
      <c r="H30" s="116">
        <f>IF(E30&gt;=70,1,0)</f>
        <v>0</v>
      </c>
      <c r="I30" s="84"/>
    </row>
    <row r="31" spans="1:9" ht="15.5" x14ac:dyDescent="0.35">
      <c r="A31" s="428"/>
      <c r="B31" s="481" t="s">
        <v>347</v>
      </c>
      <c r="C31" s="481"/>
      <c r="D31" s="481"/>
      <c r="E31" s="73"/>
      <c r="F31" s="72"/>
      <c r="G31" s="6"/>
      <c r="H31" s="116"/>
      <c r="I31" s="84"/>
    </row>
    <row r="32" spans="1:9" ht="46.5" x14ac:dyDescent="0.35">
      <c r="A32" s="428"/>
      <c r="B32" s="482" t="s">
        <v>348</v>
      </c>
      <c r="C32" s="482"/>
      <c r="D32" s="482"/>
      <c r="E32" s="81"/>
      <c r="F32" s="72" t="s">
        <v>79</v>
      </c>
      <c r="G32" s="244" t="s">
        <v>349</v>
      </c>
      <c r="H32" s="116">
        <f>MIN(ROUNDDOWN(E32*0.01,1),0.5)</f>
        <v>0</v>
      </c>
      <c r="I32" s="84"/>
    </row>
    <row r="33" spans="1:9" ht="228" customHeight="1" x14ac:dyDescent="0.35">
      <c r="A33" s="429"/>
      <c r="B33" s="483" t="s">
        <v>350</v>
      </c>
      <c r="C33" s="483"/>
      <c r="D33" s="483"/>
      <c r="E33" s="81"/>
      <c r="F33" s="72" t="s">
        <v>79</v>
      </c>
      <c r="G33" s="244" t="s">
        <v>321</v>
      </c>
      <c r="H33" s="116">
        <f>IF(E33&gt;=70,1,IF(E33&gt;=50,0.5,0))</f>
        <v>0</v>
      </c>
      <c r="I33" s="84"/>
    </row>
    <row r="34" spans="1:9" ht="15.5" x14ac:dyDescent="0.35">
      <c r="A34" s="469" t="s">
        <v>351</v>
      </c>
      <c r="B34" s="469"/>
      <c r="C34" s="469"/>
      <c r="D34" s="469"/>
      <c r="E34" s="469"/>
      <c r="F34" s="469"/>
      <c r="G34" s="469"/>
      <c r="H34" s="337">
        <f>SUM(H25,MAX(H29,H30,MIN(SUM(H32:H33),1)))</f>
        <v>0</v>
      </c>
      <c r="I34" s="65"/>
    </row>
    <row r="35" spans="1:9" ht="15.75" customHeight="1" x14ac:dyDescent="0.35">
      <c r="A35" s="62" t="s">
        <v>352</v>
      </c>
      <c r="B35" s="468" t="s">
        <v>353</v>
      </c>
      <c r="C35" s="468"/>
      <c r="D35" s="468"/>
      <c r="E35" s="63"/>
      <c r="F35" s="62"/>
      <c r="G35" s="64"/>
      <c r="H35" s="336"/>
      <c r="I35" s="64"/>
    </row>
    <row r="36" spans="1:9" ht="81" customHeight="1" x14ac:dyDescent="0.35">
      <c r="A36" s="242" t="s">
        <v>75</v>
      </c>
      <c r="B36" s="403" t="s">
        <v>354</v>
      </c>
      <c r="C36" s="403"/>
      <c r="D36" s="403"/>
      <c r="E36" s="81"/>
      <c r="F36" s="72" t="s">
        <v>73</v>
      </c>
      <c r="G36" s="244" t="s">
        <v>355</v>
      </c>
      <c r="H36" s="116">
        <f>IF(E36&gt;=2,2,IF(E36&gt;=1.5,1,0))</f>
        <v>0</v>
      </c>
      <c r="I36" s="84"/>
    </row>
    <row r="37" spans="1:9" ht="33.65" customHeight="1" x14ac:dyDescent="0.35">
      <c r="A37" s="242" t="s">
        <v>77</v>
      </c>
      <c r="B37" s="403" t="s">
        <v>356</v>
      </c>
      <c r="C37" s="403"/>
      <c r="D37" s="403"/>
      <c r="E37" s="81"/>
      <c r="F37" s="72" t="s">
        <v>70</v>
      </c>
      <c r="G37" s="244" t="s">
        <v>267</v>
      </c>
      <c r="H37" s="116">
        <f>IF(E37="Y",0.5,0)</f>
        <v>0</v>
      </c>
      <c r="I37" s="84"/>
    </row>
    <row r="38" spans="1:9" ht="63" customHeight="1" x14ac:dyDescent="0.35">
      <c r="A38" s="242" t="s">
        <v>80</v>
      </c>
      <c r="B38" s="403" t="s">
        <v>357</v>
      </c>
      <c r="C38" s="403"/>
      <c r="D38" s="403"/>
      <c r="E38" s="81"/>
      <c r="F38" s="72" t="s">
        <v>358</v>
      </c>
      <c r="G38" s="244" t="s">
        <v>359</v>
      </c>
      <c r="H38" s="116">
        <f>IF(E38="A",0.5,IF(E38="B",1,0))</f>
        <v>0</v>
      </c>
      <c r="I38" s="84"/>
    </row>
    <row r="39" spans="1:9" ht="15.5" x14ac:dyDescent="0.35">
      <c r="A39" s="469" t="s">
        <v>360</v>
      </c>
      <c r="B39" s="469"/>
      <c r="C39" s="469"/>
      <c r="D39" s="469"/>
      <c r="E39" s="469"/>
      <c r="F39" s="469"/>
      <c r="G39" s="469"/>
      <c r="H39" s="337">
        <f>SUM(H36:H38)</f>
        <v>0</v>
      </c>
      <c r="I39" s="65"/>
    </row>
    <row r="40" spans="1:9" ht="15.75" customHeight="1" x14ac:dyDescent="0.35">
      <c r="A40" s="62" t="s">
        <v>361</v>
      </c>
      <c r="B40" s="468" t="s">
        <v>362</v>
      </c>
      <c r="C40" s="468"/>
      <c r="D40" s="468"/>
      <c r="E40" s="63"/>
      <c r="F40" s="62"/>
      <c r="G40" s="64"/>
      <c r="H40" s="336"/>
      <c r="I40" s="64"/>
    </row>
    <row r="41" spans="1:9" ht="15.65" customHeight="1" x14ac:dyDescent="0.35">
      <c r="A41" s="242" t="s">
        <v>75</v>
      </c>
      <c r="B41" s="484" t="s">
        <v>363</v>
      </c>
      <c r="C41" s="484"/>
      <c r="D41" s="484"/>
      <c r="E41" s="81"/>
      <c r="F41" s="72" t="s">
        <v>70</v>
      </c>
      <c r="G41" s="244" t="s">
        <v>267</v>
      </c>
      <c r="H41" s="116">
        <f>IF(E41="Y",0.5,0)</f>
        <v>0</v>
      </c>
      <c r="I41" s="84"/>
    </row>
    <row r="42" spans="1:9" ht="64.5" customHeight="1" x14ac:dyDescent="0.35">
      <c r="A42" s="242" t="s">
        <v>77</v>
      </c>
      <c r="B42" s="403" t="s">
        <v>364</v>
      </c>
      <c r="C42" s="403"/>
      <c r="D42" s="403"/>
      <c r="E42" s="81"/>
      <c r="F42" s="72" t="s">
        <v>70</v>
      </c>
      <c r="G42" s="244" t="s">
        <v>113</v>
      </c>
      <c r="H42" s="116">
        <f>IF(E42="Y",1,0)</f>
        <v>0</v>
      </c>
      <c r="I42" s="84"/>
    </row>
    <row r="43" spans="1:9" ht="47.15" customHeight="1" x14ac:dyDescent="0.35">
      <c r="A43" s="242" t="s">
        <v>80</v>
      </c>
      <c r="B43" s="403" t="s">
        <v>365</v>
      </c>
      <c r="C43" s="403"/>
      <c r="D43" s="403"/>
      <c r="E43" s="81"/>
      <c r="F43" s="72" t="s">
        <v>70</v>
      </c>
      <c r="G43" s="244" t="s">
        <v>267</v>
      </c>
      <c r="H43" s="116">
        <f>IF(E43="Y",0.5,0)</f>
        <v>0</v>
      </c>
      <c r="I43" s="84"/>
    </row>
    <row r="44" spans="1:9" ht="15.5" x14ac:dyDescent="0.35">
      <c r="A44" s="469" t="s">
        <v>366</v>
      </c>
      <c r="B44" s="469"/>
      <c r="C44" s="469"/>
      <c r="D44" s="469"/>
      <c r="E44" s="469"/>
      <c r="F44" s="469"/>
      <c r="G44" s="469"/>
      <c r="H44" s="337">
        <f>SUM(H41:H43)</f>
        <v>0</v>
      </c>
      <c r="I44" s="65"/>
    </row>
    <row r="45" spans="1:9" ht="15.5" x14ac:dyDescent="0.35">
      <c r="A45" s="57" t="s">
        <v>367</v>
      </c>
      <c r="B45" s="472" t="s">
        <v>368</v>
      </c>
      <c r="C45" s="472"/>
      <c r="D45" s="472"/>
      <c r="E45" s="472"/>
      <c r="F45" s="472"/>
      <c r="G45" s="57">
        <v>5</v>
      </c>
      <c r="H45" s="340">
        <f>MIN(SUM(H52,H58,H62,H69),5)</f>
        <v>0</v>
      </c>
      <c r="I45" s="74"/>
    </row>
    <row r="46" spans="1:9" ht="15.5" x14ac:dyDescent="0.35">
      <c r="A46" s="60" t="s">
        <v>369</v>
      </c>
      <c r="B46" s="466" t="s">
        <v>370</v>
      </c>
      <c r="C46" s="467"/>
      <c r="D46" s="467"/>
      <c r="E46" s="61"/>
      <c r="F46" s="60"/>
      <c r="G46" s="60">
        <v>5</v>
      </c>
      <c r="H46" s="335"/>
      <c r="I46" s="60"/>
    </row>
    <row r="47" spans="1:9" ht="48.65" customHeight="1" x14ac:dyDescent="0.35">
      <c r="A47" s="75"/>
      <c r="B47" s="485" t="s">
        <v>371</v>
      </c>
      <c r="C47" s="485"/>
      <c r="D47" s="485"/>
      <c r="E47" s="255"/>
      <c r="F47" s="72"/>
      <c r="G47" s="244"/>
      <c r="H47" s="116"/>
      <c r="I47" s="84"/>
    </row>
    <row r="48" spans="1:9" ht="15.75" customHeight="1" x14ac:dyDescent="0.35">
      <c r="A48" s="242" t="s">
        <v>75</v>
      </c>
      <c r="B48" s="403" t="s">
        <v>372</v>
      </c>
      <c r="C48" s="403"/>
      <c r="D48" s="403"/>
      <c r="E48" s="81"/>
      <c r="F48" s="72" t="s">
        <v>70</v>
      </c>
      <c r="G48" s="244" t="s">
        <v>113</v>
      </c>
      <c r="H48" s="116">
        <f>IF(E48="Y",1,0)</f>
        <v>0</v>
      </c>
      <c r="I48" s="84"/>
    </row>
    <row r="49" spans="1:9" ht="32.15" customHeight="1" x14ac:dyDescent="0.35">
      <c r="A49" s="242" t="s">
        <v>77</v>
      </c>
      <c r="B49" s="403" t="s">
        <v>373</v>
      </c>
      <c r="C49" s="403"/>
      <c r="D49" s="403"/>
      <c r="E49" s="81"/>
      <c r="F49" s="72" t="s">
        <v>70</v>
      </c>
      <c r="G49" s="244" t="s">
        <v>113</v>
      </c>
      <c r="H49" s="116">
        <f>IF(E49="Y",1,0)</f>
        <v>0</v>
      </c>
      <c r="I49" s="84"/>
    </row>
    <row r="50" spans="1:9" ht="32.15" customHeight="1" x14ac:dyDescent="0.35">
      <c r="A50" s="242" t="s">
        <v>80</v>
      </c>
      <c r="B50" s="403" t="s">
        <v>374</v>
      </c>
      <c r="C50" s="403"/>
      <c r="D50" s="403"/>
      <c r="E50" s="81"/>
      <c r="F50" s="72" t="s">
        <v>70</v>
      </c>
      <c r="G50" s="244" t="s">
        <v>267</v>
      </c>
      <c r="H50" s="116">
        <f>IF(E50="Y",0.5,0)</f>
        <v>0</v>
      </c>
      <c r="I50" s="84"/>
    </row>
    <row r="51" spans="1:9" ht="31.5" customHeight="1" x14ac:dyDescent="0.35">
      <c r="A51" s="242" t="s">
        <v>85</v>
      </c>
      <c r="B51" s="403" t="s">
        <v>375</v>
      </c>
      <c r="C51" s="403" t="s">
        <v>248</v>
      </c>
      <c r="D51" s="403"/>
      <c r="E51" s="81"/>
      <c r="F51" s="72" t="s">
        <v>70</v>
      </c>
      <c r="G51" s="244" t="s">
        <v>267</v>
      </c>
      <c r="H51" s="116">
        <f>IF(E51="Y",0.5,0)</f>
        <v>0</v>
      </c>
      <c r="I51" s="84"/>
    </row>
    <row r="52" spans="1:9" ht="15.5" x14ac:dyDescent="0.35">
      <c r="A52" s="469" t="s">
        <v>376</v>
      </c>
      <c r="B52" s="469"/>
      <c r="C52" s="469"/>
      <c r="D52" s="469"/>
      <c r="E52" s="469"/>
      <c r="F52" s="469"/>
      <c r="G52" s="469"/>
      <c r="H52" s="337">
        <f>SUM(H48:H51)</f>
        <v>0</v>
      </c>
      <c r="I52" s="65"/>
    </row>
    <row r="53" spans="1:9" ht="15.5" x14ac:dyDescent="0.35">
      <c r="A53" s="60" t="s">
        <v>377</v>
      </c>
      <c r="B53" s="466" t="s">
        <v>378</v>
      </c>
      <c r="C53" s="467"/>
      <c r="D53" s="467"/>
      <c r="E53" s="61"/>
      <c r="F53" s="60"/>
      <c r="G53" s="60"/>
      <c r="H53" s="335"/>
      <c r="I53" s="60"/>
    </row>
    <row r="54" spans="1:9" ht="32.15" customHeight="1" x14ac:dyDescent="0.35">
      <c r="A54" s="242"/>
      <c r="B54" s="403" t="s">
        <v>379</v>
      </c>
      <c r="C54" s="403"/>
      <c r="D54" s="403"/>
      <c r="E54" s="255"/>
      <c r="F54" s="252"/>
      <c r="G54" s="6"/>
      <c r="H54" s="116"/>
      <c r="I54" s="51"/>
    </row>
    <row r="55" spans="1:9" ht="31" customHeight="1" x14ac:dyDescent="0.35">
      <c r="A55" s="242" t="s">
        <v>75</v>
      </c>
      <c r="B55" s="403" t="s">
        <v>380</v>
      </c>
      <c r="C55" s="403"/>
      <c r="D55" s="403"/>
      <c r="E55" s="81"/>
      <c r="F55" s="252" t="s">
        <v>70</v>
      </c>
      <c r="G55" s="6" t="s">
        <v>113</v>
      </c>
      <c r="H55" s="116">
        <f>IF(E55="Y",1,0)</f>
        <v>0</v>
      </c>
      <c r="I55" s="51"/>
    </row>
    <row r="56" spans="1:9" ht="64.5" customHeight="1" x14ac:dyDescent="0.35">
      <c r="A56" s="242" t="s">
        <v>77</v>
      </c>
      <c r="B56" s="403" t="s">
        <v>381</v>
      </c>
      <c r="C56" s="403"/>
      <c r="D56" s="403"/>
      <c r="E56" s="81"/>
      <c r="F56" s="252" t="s">
        <v>70</v>
      </c>
      <c r="G56" s="6" t="s">
        <v>267</v>
      </c>
      <c r="H56" s="116">
        <f>IF(E56="Y",0.5,0)</f>
        <v>0</v>
      </c>
      <c r="I56" s="51"/>
    </row>
    <row r="57" spans="1:9" ht="65.150000000000006" customHeight="1" x14ac:dyDescent="0.35">
      <c r="A57" s="242" t="s">
        <v>80</v>
      </c>
      <c r="B57" s="403" t="s">
        <v>382</v>
      </c>
      <c r="C57" s="403" t="s">
        <v>252</v>
      </c>
      <c r="D57" s="403"/>
      <c r="E57" s="81"/>
      <c r="F57" s="252" t="s">
        <v>358</v>
      </c>
      <c r="G57" s="244" t="s">
        <v>355</v>
      </c>
      <c r="H57" s="116">
        <f>IF(E57="A",1,IF(E57="B",2,0))</f>
        <v>0</v>
      </c>
      <c r="I57" s="51"/>
    </row>
    <row r="58" spans="1:9" ht="15.5" x14ac:dyDescent="0.35">
      <c r="A58" s="469" t="s">
        <v>383</v>
      </c>
      <c r="B58" s="469"/>
      <c r="C58" s="469"/>
      <c r="D58" s="469"/>
      <c r="E58" s="469"/>
      <c r="F58" s="469"/>
      <c r="G58" s="469"/>
      <c r="H58" s="337">
        <f>SUM(H55:H57)</f>
        <v>0</v>
      </c>
      <c r="I58" s="65"/>
    </row>
    <row r="59" spans="1:9" ht="15.5" x14ac:dyDescent="0.35">
      <c r="A59" s="60" t="s">
        <v>384</v>
      </c>
      <c r="B59" s="466" t="s">
        <v>385</v>
      </c>
      <c r="C59" s="467" t="s">
        <v>254</v>
      </c>
      <c r="D59" s="467"/>
      <c r="E59" s="61"/>
      <c r="F59" s="60"/>
      <c r="G59" s="60"/>
      <c r="H59" s="335"/>
      <c r="I59" s="60"/>
    </row>
    <row r="60" spans="1:9" ht="15.75" customHeight="1" x14ac:dyDescent="0.35">
      <c r="A60" s="62" t="s">
        <v>386</v>
      </c>
      <c r="B60" s="468" t="s">
        <v>387</v>
      </c>
      <c r="C60" s="468"/>
      <c r="D60" s="468"/>
      <c r="E60" s="63"/>
      <c r="F60" s="62"/>
      <c r="G60" s="64"/>
      <c r="H60" s="336"/>
      <c r="I60" s="64"/>
    </row>
    <row r="61" spans="1:9" ht="97.5" customHeight="1" x14ac:dyDescent="0.35">
      <c r="A61" s="242"/>
      <c r="B61" s="403" t="s">
        <v>388</v>
      </c>
      <c r="C61" s="403"/>
      <c r="D61" s="403"/>
      <c r="E61" s="81"/>
      <c r="F61" s="252" t="s">
        <v>70</v>
      </c>
      <c r="G61" s="244" t="s">
        <v>267</v>
      </c>
      <c r="H61" s="116">
        <f>IF(E61="Y",0.5,0)</f>
        <v>0</v>
      </c>
      <c r="I61" s="51"/>
    </row>
    <row r="62" spans="1:9" ht="15.5" x14ac:dyDescent="0.35">
      <c r="A62" s="469" t="s">
        <v>389</v>
      </c>
      <c r="B62" s="469"/>
      <c r="C62" s="469"/>
      <c r="D62" s="469"/>
      <c r="E62" s="469"/>
      <c r="F62" s="469"/>
      <c r="G62" s="469"/>
      <c r="H62" s="337">
        <f>H61</f>
        <v>0</v>
      </c>
      <c r="I62" s="65"/>
    </row>
    <row r="63" spans="1:9" ht="15.75" customHeight="1" x14ac:dyDescent="0.35">
      <c r="A63" s="62" t="s">
        <v>390</v>
      </c>
      <c r="B63" s="468" t="s">
        <v>391</v>
      </c>
      <c r="C63" s="468"/>
      <c r="D63" s="468"/>
      <c r="E63" s="63"/>
      <c r="F63" s="62" t="s">
        <v>79</v>
      </c>
      <c r="G63" s="64"/>
      <c r="H63" s="336"/>
      <c r="I63" s="64"/>
    </row>
    <row r="64" spans="1:9" ht="15.5" x14ac:dyDescent="0.35">
      <c r="A64" s="242"/>
      <c r="B64" s="403" t="s">
        <v>392</v>
      </c>
      <c r="C64" s="470"/>
      <c r="D64" s="470"/>
      <c r="E64" s="255"/>
      <c r="F64" s="252"/>
      <c r="G64" s="244"/>
      <c r="H64" s="116"/>
      <c r="I64" s="51"/>
    </row>
    <row r="65" spans="1:9" ht="33.65" customHeight="1" x14ac:dyDescent="0.35">
      <c r="A65" s="242" t="s">
        <v>75</v>
      </c>
      <c r="B65" s="403" t="s">
        <v>393</v>
      </c>
      <c r="C65" s="470"/>
      <c r="D65" s="470"/>
      <c r="E65" s="255" t="s">
        <v>141</v>
      </c>
      <c r="F65" s="252" t="s">
        <v>141</v>
      </c>
      <c r="G65" s="244" t="s">
        <v>141</v>
      </c>
      <c r="H65" s="116" t="s">
        <v>141</v>
      </c>
      <c r="I65" s="51"/>
    </row>
    <row r="66" spans="1:9" ht="80.150000000000006" customHeight="1" x14ac:dyDescent="0.35">
      <c r="A66" s="242" t="s">
        <v>77</v>
      </c>
      <c r="B66" s="403" t="s">
        <v>394</v>
      </c>
      <c r="C66" s="470"/>
      <c r="D66" s="470"/>
      <c r="E66" s="81"/>
      <c r="F66" s="252" t="s">
        <v>70</v>
      </c>
      <c r="G66" s="244" t="s">
        <v>267</v>
      </c>
      <c r="H66" s="116">
        <f>IF(E66="Y",0.5,0)</f>
        <v>0</v>
      </c>
      <c r="I66" s="51"/>
    </row>
    <row r="67" spans="1:9" ht="34" customHeight="1" x14ac:dyDescent="0.35">
      <c r="A67" s="242" t="s">
        <v>80</v>
      </c>
      <c r="B67" s="403" t="s">
        <v>395</v>
      </c>
      <c r="C67" s="470"/>
      <c r="D67" s="470"/>
      <c r="E67" s="81"/>
      <c r="F67" s="252" t="s">
        <v>70</v>
      </c>
      <c r="G67" s="244" t="s">
        <v>267</v>
      </c>
      <c r="H67" s="116">
        <f>IF(E67="Y",0.5,0)</f>
        <v>0</v>
      </c>
      <c r="I67" s="51"/>
    </row>
    <row r="68" spans="1:9" ht="49" customHeight="1" x14ac:dyDescent="0.35">
      <c r="A68" s="242" t="s">
        <v>85</v>
      </c>
      <c r="B68" s="403" t="s">
        <v>396</v>
      </c>
      <c r="C68" s="470"/>
      <c r="D68" s="470"/>
      <c r="E68" s="81"/>
      <c r="F68" s="252" t="s">
        <v>70</v>
      </c>
      <c r="G68" s="244" t="s">
        <v>113</v>
      </c>
      <c r="H68" s="116">
        <f>IF(E68="Y",1,0)</f>
        <v>0</v>
      </c>
      <c r="I68" s="51"/>
    </row>
    <row r="69" spans="1:9" ht="15.5" x14ac:dyDescent="0.35">
      <c r="A69" s="469" t="s">
        <v>397</v>
      </c>
      <c r="B69" s="469"/>
      <c r="C69" s="469"/>
      <c r="D69" s="469"/>
      <c r="E69" s="469"/>
      <c r="F69" s="469"/>
      <c r="G69" s="469"/>
      <c r="H69" s="337">
        <f>SUM(H66:H68)</f>
        <v>0</v>
      </c>
      <c r="I69" s="65"/>
    </row>
    <row r="70" spans="1:9" ht="15.5" x14ac:dyDescent="0.35">
      <c r="A70" s="57" t="s">
        <v>398</v>
      </c>
      <c r="B70" s="472" t="s">
        <v>399</v>
      </c>
      <c r="C70" s="472"/>
      <c r="D70" s="472"/>
      <c r="E70" s="472"/>
      <c r="F70" s="472" t="s">
        <v>73</v>
      </c>
      <c r="G70" s="57">
        <v>5</v>
      </c>
      <c r="H70" s="340">
        <f>MIN(SUM(H73,H79,H82,H86,H92),5)</f>
        <v>0</v>
      </c>
      <c r="I70" s="74"/>
    </row>
    <row r="71" spans="1:9" ht="15.5" x14ac:dyDescent="0.35">
      <c r="A71" s="60" t="s">
        <v>400</v>
      </c>
      <c r="B71" s="466" t="s">
        <v>401</v>
      </c>
      <c r="C71" s="467"/>
      <c r="D71" s="467"/>
      <c r="E71" s="61"/>
      <c r="F71" s="60" t="s">
        <v>73</v>
      </c>
      <c r="G71" s="60" t="s">
        <v>141</v>
      </c>
      <c r="H71" s="335"/>
      <c r="I71" s="60"/>
    </row>
    <row r="72" spans="1:9" ht="47.5" customHeight="1" x14ac:dyDescent="0.35">
      <c r="A72" s="242"/>
      <c r="B72" s="470" t="s">
        <v>402</v>
      </c>
      <c r="C72" s="470"/>
      <c r="D72" s="470"/>
      <c r="E72" s="81"/>
      <c r="F72" s="252" t="s">
        <v>358</v>
      </c>
      <c r="G72" s="244" t="s">
        <v>355</v>
      </c>
      <c r="H72" s="116">
        <f>IF(E72="A",1,IF(E72="B",2,0))</f>
        <v>0</v>
      </c>
      <c r="I72" s="51"/>
    </row>
    <row r="73" spans="1:9" ht="15.5" x14ac:dyDescent="0.35">
      <c r="A73" s="469" t="s">
        <v>403</v>
      </c>
      <c r="B73" s="469"/>
      <c r="C73" s="469"/>
      <c r="D73" s="469"/>
      <c r="E73" s="469"/>
      <c r="F73" s="469"/>
      <c r="G73" s="469"/>
      <c r="H73" s="337">
        <f>H72</f>
        <v>0</v>
      </c>
      <c r="I73" s="65"/>
    </row>
    <row r="74" spans="1:9" ht="15.5" x14ac:dyDescent="0.35">
      <c r="A74" s="60" t="s">
        <v>404</v>
      </c>
      <c r="B74" s="466" t="s">
        <v>405</v>
      </c>
      <c r="C74" s="467"/>
      <c r="D74" s="467"/>
      <c r="E74" s="61"/>
      <c r="F74" s="60"/>
      <c r="G74" s="60"/>
      <c r="H74" s="335"/>
      <c r="I74" s="60"/>
    </row>
    <row r="75" spans="1:9" ht="15.75" customHeight="1" x14ac:dyDescent="0.35">
      <c r="A75" s="62" t="s">
        <v>406</v>
      </c>
      <c r="B75" s="468" t="s">
        <v>407</v>
      </c>
      <c r="C75" s="468"/>
      <c r="D75" s="468"/>
      <c r="E75" s="63"/>
      <c r="F75" s="62"/>
      <c r="G75" s="64"/>
      <c r="H75" s="336"/>
      <c r="I75" s="64"/>
    </row>
    <row r="76" spans="1:9" ht="79.5" customHeight="1" x14ac:dyDescent="0.35">
      <c r="A76" s="242"/>
      <c r="B76" s="403" t="s">
        <v>408</v>
      </c>
      <c r="C76" s="403"/>
      <c r="D76" s="403"/>
      <c r="E76" s="255"/>
      <c r="F76" s="252"/>
      <c r="G76" s="76"/>
      <c r="H76" s="332"/>
      <c r="I76" s="54"/>
    </row>
    <row r="77" spans="1:9" ht="51" customHeight="1" x14ac:dyDescent="0.35">
      <c r="A77" s="242" t="s">
        <v>75</v>
      </c>
      <c r="B77" s="403" t="s">
        <v>409</v>
      </c>
      <c r="C77" s="403"/>
      <c r="D77" s="403"/>
      <c r="E77" s="81"/>
      <c r="F77" s="252" t="s">
        <v>70</v>
      </c>
      <c r="G77" s="244" t="s">
        <v>113</v>
      </c>
      <c r="H77" s="116">
        <f>IF(E77="Y",1,0)</f>
        <v>0</v>
      </c>
      <c r="I77" s="54"/>
    </row>
    <row r="78" spans="1:9" ht="48.75" customHeight="1" x14ac:dyDescent="0.35">
      <c r="A78" s="242" t="s">
        <v>77</v>
      </c>
      <c r="B78" s="403" t="s">
        <v>410</v>
      </c>
      <c r="C78" s="403"/>
      <c r="D78" s="403"/>
      <c r="E78" s="81"/>
      <c r="F78" s="252" t="s">
        <v>70</v>
      </c>
      <c r="G78" s="244" t="s">
        <v>113</v>
      </c>
      <c r="H78" s="116">
        <f>IF(E78="Y",1,0)</f>
        <v>0</v>
      </c>
      <c r="I78" s="54"/>
    </row>
    <row r="79" spans="1:9" ht="15.5" x14ac:dyDescent="0.35">
      <c r="A79" s="469" t="s">
        <v>411</v>
      </c>
      <c r="B79" s="469"/>
      <c r="C79" s="469"/>
      <c r="D79" s="469"/>
      <c r="E79" s="469"/>
      <c r="F79" s="469"/>
      <c r="G79" s="469"/>
      <c r="H79" s="337">
        <f>SUM(H77:H78)</f>
        <v>0</v>
      </c>
      <c r="I79" s="65"/>
    </row>
    <row r="80" spans="1:9" ht="15.75" customHeight="1" x14ac:dyDescent="0.35">
      <c r="A80" s="62" t="s">
        <v>412</v>
      </c>
      <c r="B80" s="468" t="s">
        <v>413</v>
      </c>
      <c r="C80" s="468"/>
      <c r="D80" s="468"/>
      <c r="E80" s="63"/>
      <c r="F80" s="62"/>
      <c r="G80" s="64"/>
      <c r="H80" s="336"/>
      <c r="I80" s="64"/>
    </row>
    <row r="81" spans="1:9" ht="80.5" customHeight="1" x14ac:dyDescent="0.35">
      <c r="A81" s="242"/>
      <c r="B81" s="403" t="s">
        <v>414</v>
      </c>
      <c r="C81" s="403"/>
      <c r="D81" s="403"/>
      <c r="E81" s="81"/>
      <c r="F81" s="252" t="s">
        <v>70</v>
      </c>
      <c r="G81" s="244" t="s">
        <v>113</v>
      </c>
      <c r="H81" s="116">
        <f>IF(E81="Y",1,0)</f>
        <v>0</v>
      </c>
      <c r="I81" s="54"/>
    </row>
    <row r="82" spans="1:9" ht="15.5" x14ac:dyDescent="0.35">
      <c r="A82" s="469" t="s">
        <v>415</v>
      </c>
      <c r="B82" s="469"/>
      <c r="C82" s="469"/>
      <c r="D82" s="469"/>
      <c r="E82" s="469"/>
      <c r="F82" s="469"/>
      <c r="G82" s="469"/>
      <c r="H82" s="337">
        <f>SUM(H80:H81)</f>
        <v>0</v>
      </c>
      <c r="I82" s="65"/>
    </row>
    <row r="83" spans="1:9" ht="15.5" x14ac:dyDescent="0.35">
      <c r="A83" s="60" t="s">
        <v>416</v>
      </c>
      <c r="B83" s="466" t="s">
        <v>417</v>
      </c>
      <c r="C83" s="467"/>
      <c r="D83" s="467"/>
      <c r="E83" s="61"/>
      <c r="F83" s="60"/>
      <c r="G83" s="60"/>
      <c r="H83" s="335"/>
      <c r="I83" s="60"/>
    </row>
    <row r="84" spans="1:9" ht="15.75" customHeight="1" x14ac:dyDescent="0.35">
      <c r="A84" s="62" t="s">
        <v>418</v>
      </c>
      <c r="B84" s="468" t="s">
        <v>419</v>
      </c>
      <c r="C84" s="468"/>
      <c r="D84" s="468"/>
      <c r="E84" s="63"/>
      <c r="F84" s="62"/>
      <c r="G84" s="64"/>
      <c r="H84" s="336"/>
      <c r="I84" s="64"/>
    </row>
    <row r="85" spans="1:9" ht="65.25" customHeight="1" x14ac:dyDescent="0.35">
      <c r="A85" s="251" t="s">
        <v>75</v>
      </c>
      <c r="B85" s="403" t="s">
        <v>420</v>
      </c>
      <c r="C85" s="403"/>
      <c r="D85" s="403"/>
      <c r="E85" s="81"/>
      <c r="F85" s="252" t="s">
        <v>70</v>
      </c>
      <c r="G85" s="244" t="s">
        <v>113</v>
      </c>
      <c r="H85" s="116">
        <f>IF(E85="Y",1,0)</f>
        <v>0</v>
      </c>
      <c r="I85" s="51"/>
    </row>
    <row r="86" spans="1:9" ht="15.5" x14ac:dyDescent="0.35">
      <c r="A86" s="469" t="s">
        <v>421</v>
      </c>
      <c r="B86" s="469"/>
      <c r="C86" s="469"/>
      <c r="D86" s="469"/>
      <c r="E86" s="469"/>
      <c r="F86" s="469"/>
      <c r="G86" s="469"/>
      <c r="H86" s="337">
        <f>H85</f>
        <v>0</v>
      </c>
      <c r="I86" s="65"/>
    </row>
    <row r="87" spans="1:9" ht="15.75" customHeight="1" x14ac:dyDescent="0.35">
      <c r="A87" s="62" t="s">
        <v>422</v>
      </c>
      <c r="B87" s="468" t="s">
        <v>423</v>
      </c>
      <c r="C87" s="468"/>
      <c r="D87" s="468"/>
      <c r="E87" s="63"/>
      <c r="F87" s="62"/>
      <c r="G87" s="64"/>
      <c r="H87" s="336"/>
      <c r="I87" s="64"/>
    </row>
    <row r="88" spans="1:9" ht="34.5" customHeight="1" x14ac:dyDescent="0.35">
      <c r="A88" s="251"/>
      <c r="B88" s="403" t="s">
        <v>424</v>
      </c>
      <c r="C88" s="403"/>
      <c r="D88" s="403"/>
      <c r="E88" s="255"/>
      <c r="F88" s="72"/>
      <c r="G88" s="244"/>
      <c r="H88" s="302"/>
      <c r="I88" s="51"/>
    </row>
    <row r="89" spans="1:9" ht="92.25" customHeight="1" x14ac:dyDescent="0.35">
      <c r="A89" s="6" t="s">
        <v>75</v>
      </c>
      <c r="B89" s="403" t="s">
        <v>425</v>
      </c>
      <c r="C89" s="403"/>
      <c r="D89" s="403"/>
      <c r="E89" s="81"/>
      <c r="F89" s="72" t="s">
        <v>70</v>
      </c>
      <c r="G89" s="244" t="s">
        <v>267</v>
      </c>
      <c r="H89" s="116">
        <f>IF(E89="Y",0.5,0)</f>
        <v>0</v>
      </c>
      <c r="I89" s="51"/>
    </row>
    <row r="90" spans="1:9" ht="15.5" x14ac:dyDescent="0.35">
      <c r="A90" s="251" t="s">
        <v>77</v>
      </c>
      <c r="B90" s="403" t="s">
        <v>426</v>
      </c>
      <c r="C90" s="403"/>
      <c r="D90" s="403"/>
      <c r="E90" s="81"/>
      <c r="F90" s="72" t="s">
        <v>70</v>
      </c>
      <c r="G90" s="244" t="s">
        <v>267</v>
      </c>
      <c r="H90" s="116">
        <f>IF(E90="Y",0.5,0)</f>
        <v>0</v>
      </c>
      <c r="I90" s="51"/>
    </row>
    <row r="91" spans="1:9" ht="15.5" x14ac:dyDescent="0.35">
      <c r="A91" s="251" t="s">
        <v>80</v>
      </c>
      <c r="B91" s="403" t="s">
        <v>427</v>
      </c>
      <c r="C91" s="403"/>
      <c r="D91" s="403"/>
      <c r="E91" s="81"/>
      <c r="F91" s="72" t="s">
        <v>70</v>
      </c>
      <c r="G91" s="244" t="s">
        <v>267</v>
      </c>
      <c r="H91" s="116">
        <f>IF(E91="Y",0.5,0)</f>
        <v>0</v>
      </c>
      <c r="I91" s="51"/>
    </row>
    <row r="92" spans="1:9" ht="15.5" x14ac:dyDescent="0.35">
      <c r="A92" s="469" t="s">
        <v>428</v>
      </c>
      <c r="B92" s="469"/>
      <c r="C92" s="469"/>
      <c r="D92" s="469"/>
      <c r="E92" s="469"/>
      <c r="F92" s="469"/>
      <c r="G92" s="469"/>
      <c r="H92" s="337">
        <f>SUM(H89:H91)</f>
        <v>0</v>
      </c>
      <c r="I92" s="65"/>
    </row>
    <row r="93" spans="1:9" ht="15.5" x14ac:dyDescent="0.35">
      <c r="A93" s="57"/>
      <c r="B93" s="472" t="s">
        <v>304</v>
      </c>
      <c r="C93" s="472"/>
      <c r="D93" s="472"/>
      <c r="E93" s="472"/>
      <c r="F93" s="472"/>
      <c r="G93" s="57">
        <v>2</v>
      </c>
      <c r="H93" s="340">
        <f>MIN(SUM(H95:H96),2)</f>
        <v>0</v>
      </c>
      <c r="I93" s="74"/>
    </row>
    <row r="94" spans="1:9" ht="62" x14ac:dyDescent="0.35">
      <c r="A94" s="62"/>
      <c r="B94" s="471" t="s">
        <v>429</v>
      </c>
      <c r="C94" s="471"/>
      <c r="D94" s="471"/>
      <c r="E94" s="77"/>
      <c r="F94" s="62"/>
      <c r="G94" s="77" t="s">
        <v>197</v>
      </c>
      <c r="H94" s="336"/>
      <c r="I94" s="254" t="s">
        <v>198</v>
      </c>
    </row>
    <row r="95" spans="1:9" ht="120.75" customHeight="1" x14ac:dyDescent="0.35">
      <c r="A95" s="251"/>
      <c r="B95" s="403" t="s">
        <v>430</v>
      </c>
      <c r="C95" s="403"/>
      <c r="D95" s="403"/>
      <c r="E95" s="81"/>
      <c r="F95" s="78" t="s">
        <v>73</v>
      </c>
      <c r="G95" s="381" t="s">
        <v>431</v>
      </c>
      <c r="H95" s="302">
        <f>E95</f>
        <v>0</v>
      </c>
      <c r="I95" s="85" t="s">
        <v>201</v>
      </c>
    </row>
    <row r="96" spans="1:9" ht="120.75" customHeight="1" x14ac:dyDescent="0.35">
      <c r="A96" s="79"/>
      <c r="B96" s="403"/>
      <c r="C96" s="403"/>
      <c r="D96" s="403"/>
      <c r="E96" s="81"/>
      <c r="F96" s="78" t="s">
        <v>73</v>
      </c>
      <c r="G96" s="381"/>
      <c r="H96" s="302">
        <f>E96</f>
        <v>0</v>
      </c>
      <c r="I96" s="85" t="s">
        <v>202</v>
      </c>
    </row>
  </sheetData>
  <sheetProtection algorithmName="SHA-512" hashValue="HhXU9oxvLxfS1NHgLv29eY/nVQanxS1U25qlSr4yLQbH3M2kpie9yPQD/iU8q3Ob9HysMjIRKHeONZcE+NBhxQ==" saltValue="3h6QMj1JtbCqytVHVLJlaw==" spinCount="100000" sheet="1" formatCells="0" selectLockedCells="1"/>
  <mergeCells count="105">
    <mergeCell ref="I15:I19"/>
    <mergeCell ref="B15:C15"/>
    <mergeCell ref="B16:C16"/>
    <mergeCell ref="B19:C19"/>
    <mergeCell ref="B22:D22"/>
    <mergeCell ref="G25:G27"/>
    <mergeCell ref="H25:H27"/>
    <mergeCell ref="B20:D20"/>
    <mergeCell ref="D15:D19"/>
    <mergeCell ref="F15:F19"/>
    <mergeCell ref="H15:H19"/>
    <mergeCell ref="B1:D1"/>
    <mergeCell ref="A2:F2"/>
    <mergeCell ref="B3:F3"/>
    <mergeCell ref="B4:D4"/>
    <mergeCell ref="B5:D5"/>
    <mergeCell ref="B10:D10"/>
    <mergeCell ref="B11:D11"/>
    <mergeCell ref="B13:D13"/>
    <mergeCell ref="B14:D14"/>
    <mergeCell ref="B6:D6"/>
    <mergeCell ref="B7:D7"/>
    <mergeCell ref="B9:D9"/>
    <mergeCell ref="A14:A20"/>
    <mergeCell ref="A8:G8"/>
    <mergeCell ref="A12:G12"/>
    <mergeCell ref="B40:D40"/>
    <mergeCell ref="B41:D41"/>
    <mergeCell ref="B42:D42"/>
    <mergeCell ref="B93:F93"/>
    <mergeCell ref="B84:D84"/>
    <mergeCell ref="B85:D85"/>
    <mergeCell ref="B87:D87"/>
    <mergeCell ref="B88:D88"/>
    <mergeCell ref="B89:D89"/>
    <mergeCell ref="A82:G82"/>
    <mergeCell ref="B91:D91"/>
    <mergeCell ref="B90:D90"/>
    <mergeCell ref="A86:G86"/>
    <mergeCell ref="A92:G92"/>
    <mergeCell ref="B83:D83"/>
    <mergeCell ref="B55:D55"/>
    <mergeCell ref="B56:D56"/>
    <mergeCell ref="B49:D49"/>
    <mergeCell ref="B48:D48"/>
    <mergeCell ref="B43:D43"/>
    <mergeCell ref="B45:F45"/>
    <mergeCell ref="B46:D46"/>
    <mergeCell ref="B47:D47"/>
    <mergeCell ref="A44:G44"/>
    <mergeCell ref="A39:G39"/>
    <mergeCell ref="E15:E19"/>
    <mergeCell ref="G15:G19"/>
    <mergeCell ref="B26:D26"/>
    <mergeCell ref="B23:D23"/>
    <mergeCell ref="B24:D24"/>
    <mergeCell ref="B28:D28"/>
    <mergeCell ref="B35:D35"/>
    <mergeCell ref="B25:D25"/>
    <mergeCell ref="B37:D37"/>
    <mergeCell ref="B38:D38"/>
    <mergeCell ref="B27:D27"/>
    <mergeCell ref="B36:D36"/>
    <mergeCell ref="A24:A27"/>
    <mergeCell ref="A28:A33"/>
    <mergeCell ref="A21:G21"/>
    <mergeCell ref="A34:G34"/>
    <mergeCell ref="B29:D29"/>
    <mergeCell ref="B30:D30"/>
    <mergeCell ref="B31:D31"/>
    <mergeCell ref="B32:D32"/>
    <mergeCell ref="B33:D33"/>
    <mergeCell ref="B94:D94"/>
    <mergeCell ref="B95:D96"/>
    <mergeCell ref="B59:D59"/>
    <mergeCell ref="B70:F70"/>
    <mergeCell ref="B66:D66"/>
    <mergeCell ref="B67:D67"/>
    <mergeCell ref="B68:D68"/>
    <mergeCell ref="A52:G52"/>
    <mergeCell ref="A58:G58"/>
    <mergeCell ref="A62:G62"/>
    <mergeCell ref="A69:G69"/>
    <mergeCell ref="G95:G96"/>
    <mergeCell ref="A79:G79"/>
    <mergeCell ref="B60:D60"/>
    <mergeCell ref="B61:D61"/>
    <mergeCell ref="B63:D63"/>
    <mergeCell ref="B65:D65"/>
    <mergeCell ref="B57:D57"/>
    <mergeCell ref="B53:D53"/>
    <mergeCell ref="B54:D54"/>
    <mergeCell ref="B64:D64"/>
    <mergeCell ref="B77:D77"/>
    <mergeCell ref="B81:D81"/>
    <mergeCell ref="B80:D80"/>
    <mergeCell ref="B76:D76"/>
    <mergeCell ref="B78:D78"/>
    <mergeCell ref="B74:D74"/>
    <mergeCell ref="B75:D75"/>
    <mergeCell ref="A73:G73"/>
    <mergeCell ref="B71:D71"/>
    <mergeCell ref="B72:D72"/>
    <mergeCell ref="B50:D50"/>
    <mergeCell ref="B51:D51"/>
  </mergeCells>
  <dataValidations count="8">
    <dataValidation allowBlank="1" showErrorMessage="1" sqref="H96" xr:uid="{00000000-0002-0000-0500-000000000000}"/>
    <dataValidation allowBlank="1" showInputMessage="1" showErrorMessage="1" prompt="Please list down short description of your innovation." sqref="I95:I96" xr:uid="{00000000-0002-0000-0500-000001000000}"/>
    <dataValidation type="decimal" allowBlank="1" showErrorMessage="1" error="Please enter 0.5 or 1 or 1.5 or 2." prompt="Please Enter 0 or 1 or 1.5 or 2." sqref="H95" xr:uid="{00000000-0002-0000-0500-000002000000}">
      <formula1>0</formula1>
      <formula2>2</formula2>
    </dataValidation>
    <dataValidation type="list" allowBlank="1" showInputMessage="1" showErrorMessage="1" sqref="E6:E7 E41:E43 E37 E48:E51 E55:E56 E61 E66:E68 E77:E78 E81 E89:E91 E25:E26 E85" xr:uid="{00000000-0002-0000-0500-000003000000}">
      <formula1>"Y,N"</formula1>
    </dataValidation>
    <dataValidation type="decimal" allowBlank="1" showInputMessage="1" showErrorMessage="1" sqref="E10:E11 E27:E28 E36 E32:E33 E30" xr:uid="{00000000-0002-0000-0500-000004000000}">
      <formula1>0</formula1>
      <formula2>100</formula2>
    </dataValidation>
    <dataValidation type="list" allowBlank="1" showInputMessage="1" showErrorMessage="1" sqref="E20 E72 E38 E57" xr:uid="{00000000-0002-0000-0500-000005000000}">
      <formula1>"A,B"</formula1>
    </dataValidation>
    <dataValidation type="list" showErrorMessage="1" error="Please enter 0.5 or 1 or 1.5 or 2." prompt="Please Enter 0.5 or 1 or 1.5 or 2." sqref="E95:E96" xr:uid="{00000000-0002-0000-0500-000006000000}">
      <formula1>"0, 0.5, 1.0, 1.5, 2.0"</formula1>
    </dataValidation>
    <dataValidation type="decimal" allowBlank="1" showInputMessage="1" showErrorMessage="1" sqref="E29" xr:uid="{00000000-0002-0000-0500-000007000000}">
      <formula1>-1000</formula1>
      <formula2>1000</formula2>
    </dataValidation>
  </dataValidations>
  <pageMargins left="0.7" right="0.7" top="0.75" bottom="0.75" header="0.3" footer="0.3"/>
  <pageSetup paperSize="9" scale="50" orientation="portrait" r:id="rId1"/>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2"/>
  <sheetViews>
    <sheetView zoomScaleNormal="100" workbookViewId="0">
      <selection activeCell="C5" sqref="C5"/>
    </sheetView>
  </sheetViews>
  <sheetFormatPr defaultColWidth="8.7265625" defaultRowHeight="15.5" x14ac:dyDescent="0.35"/>
  <cols>
    <col min="1" max="1" width="8.26953125" style="267" customWidth="1"/>
    <col min="2" max="2" width="65.7265625" style="239" customWidth="1"/>
    <col min="3" max="4" width="10.7265625" style="239" customWidth="1"/>
    <col min="5" max="5" width="19" style="239" customWidth="1"/>
    <col min="6" max="6" width="10.7265625" style="239" customWidth="1"/>
    <col min="7" max="7" width="30.7265625" style="239" customWidth="1"/>
    <col min="8" max="9" width="50.7265625" style="239" customWidth="1"/>
    <col min="10" max="10" width="15.54296875" style="239" customWidth="1"/>
    <col min="11" max="11" width="17.26953125" style="239" customWidth="1"/>
    <col min="12" max="16384" width="8.7265625" style="239"/>
  </cols>
  <sheetData>
    <row r="1" spans="1:7" ht="31" x14ac:dyDescent="0.35">
      <c r="A1" s="2"/>
      <c r="B1" s="3" t="s">
        <v>432</v>
      </c>
      <c r="C1" s="19" t="s">
        <v>65</v>
      </c>
      <c r="D1" s="19" t="s">
        <v>66</v>
      </c>
      <c r="E1" s="20" t="s">
        <v>103</v>
      </c>
      <c r="F1" s="19" t="s">
        <v>104</v>
      </c>
      <c r="G1" s="3" t="s">
        <v>67</v>
      </c>
    </row>
    <row r="2" spans="1:7" ht="21" x14ac:dyDescent="0.35">
      <c r="A2" s="515" t="s">
        <v>33</v>
      </c>
      <c r="B2" s="515"/>
      <c r="C2" s="515"/>
      <c r="D2" s="515"/>
      <c r="E2" s="21">
        <v>15</v>
      </c>
      <c r="F2" s="22">
        <f>MIN(SUM(F3,F22,F33,F49),15)</f>
        <v>0</v>
      </c>
      <c r="G2" s="23" t="s">
        <v>105</v>
      </c>
    </row>
    <row r="3" spans="1:7" x14ac:dyDescent="0.35">
      <c r="A3" s="24" t="s">
        <v>433</v>
      </c>
      <c r="B3" s="511" t="s">
        <v>56</v>
      </c>
      <c r="C3" s="511"/>
      <c r="D3" s="511"/>
      <c r="E3" s="25">
        <v>5</v>
      </c>
      <c r="F3" s="26">
        <f>MIN(SUM(F17,F10,F21), 5)</f>
        <v>0</v>
      </c>
      <c r="G3" s="24"/>
    </row>
    <row r="4" spans="1:7" x14ac:dyDescent="0.35">
      <c r="A4" s="27" t="s">
        <v>434</v>
      </c>
      <c r="B4" s="28" t="s">
        <v>435</v>
      </c>
      <c r="C4" s="28"/>
      <c r="D4" s="29"/>
      <c r="E4" s="30"/>
      <c r="F4" s="31"/>
      <c r="G4" s="30"/>
    </row>
    <row r="5" spans="1:7" ht="31" x14ac:dyDescent="0.35">
      <c r="A5" s="6" t="s">
        <v>75</v>
      </c>
      <c r="B5" s="7" t="s">
        <v>436</v>
      </c>
      <c r="C5" s="10"/>
      <c r="D5" s="32" t="s">
        <v>70</v>
      </c>
      <c r="E5" s="244" t="s">
        <v>130</v>
      </c>
      <c r="F5" s="33">
        <f>IF(C5="Y",2,0)</f>
        <v>0</v>
      </c>
      <c r="G5" s="52"/>
    </row>
    <row r="6" spans="1:7" ht="31" x14ac:dyDescent="0.35">
      <c r="A6" s="424" t="s">
        <v>77</v>
      </c>
      <c r="B6" s="7" t="s">
        <v>437</v>
      </c>
      <c r="C6" s="34"/>
      <c r="D6" s="32"/>
      <c r="E6" s="244"/>
      <c r="F6" s="33"/>
      <c r="G6" s="51"/>
    </row>
    <row r="7" spans="1:7" x14ac:dyDescent="0.35">
      <c r="A7" s="424"/>
      <c r="B7" s="7" t="s">
        <v>438</v>
      </c>
      <c r="C7" s="35" t="s">
        <v>141</v>
      </c>
      <c r="D7" s="32" t="s">
        <v>141</v>
      </c>
      <c r="E7" s="11" t="s">
        <v>141</v>
      </c>
      <c r="F7" s="32" t="s">
        <v>141</v>
      </c>
      <c r="G7" s="51"/>
    </row>
    <row r="8" spans="1:7" ht="31" x14ac:dyDescent="0.35">
      <c r="A8" s="424"/>
      <c r="B8" s="7" t="s">
        <v>439</v>
      </c>
      <c r="C8" s="35" t="s">
        <v>141</v>
      </c>
      <c r="D8" s="32" t="s">
        <v>141</v>
      </c>
      <c r="E8" s="11" t="s">
        <v>141</v>
      </c>
      <c r="F8" s="32" t="s">
        <v>141</v>
      </c>
      <c r="G8" s="51"/>
    </row>
    <row r="9" spans="1:7" ht="62" x14ac:dyDescent="0.35">
      <c r="A9" s="6" t="s">
        <v>80</v>
      </c>
      <c r="B9" s="7" t="s">
        <v>440</v>
      </c>
      <c r="C9" s="10"/>
      <c r="D9" s="32" t="s">
        <v>70</v>
      </c>
      <c r="E9" s="244" t="s">
        <v>113</v>
      </c>
      <c r="F9" s="33">
        <f>IF(C9="Y",1,0)</f>
        <v>0</v>
      </c>
      <c r="G9" s="51"/>
    </row>
    <row r="10" spans="1:7" x14ac:dyDescent="0.35">
      <c r="A10" s="36"/>
      <c r="B10" s="512" t="s">
        <v>441</v>
      </c>
      <c r="C10" s="512"/>
      <c r="D10" s="512"/>
      <c r="E10" s="512"/>
      <c r="F10" s="37">
        <f>SUM(F5:F9)</f>
        <v>0</v>
      </c>
      <c r="G10" s="38"/>
    </row>
    <row r="11" spans="1:7" x14ac:dyDescent="0.35">
      <c r="A11" s="27" t="s">
        <v>442</v>
      </c>
      <c r="B11" s="28" t="s">
        <v>443</v>
      </c>
      <c r="C11" s="28"/>
      <c r="D11" s="29"/>
      <c r="E11" s="30"/>
      <c r="F11" s="31"/>
      <c r="G11" s="30"/>
    </row>
    <row r="12" spans="1:7" ht="62" x14ac:dyDescent="0.35">
      <c r="A12" s="6"/>
      <c r="B12" s="9" t="s">
        <v>444</v>
      </c>
      <c r="C12" s="32"/>
      <c r="D12" s="32"/>
      <c r="E12" s="72" t="str">
        <f>IF(C13="N","Assessor, Please check GM application date","")</f>
        <v/>
      </c>
      <c r="F12" s="33"/>
      <c r="G12" s="51"/>
    </row>
    <row r="13" spans="1:7" x14ac:dyDescent="0.35">
      <c r="A13" s="6" t="s">
        <v>445</v>
      </c>
      <c r="B13" s="9" t="s">
        <v>446</v>
      </c>
      <c r="C13" s="10"/>
      <c r="D13" s="32" t="s">
        <v>70</v>
      </c>
      <c r="E13" s="244"/>
      <c r="F13" s="33"/>
      <c r="G13" s="51"/>
    </row>
    <row r="14" spans="1:7" ht="46.5" x14ac:dyDescent="0.35">
      <c r="A14" s="248" t="s">
        <v>75</v>
      </c>
      <c r="B14" s="39" t="s">
        <v>447</v>
      </c>
      <c r="C14" s="10"/>
      <c r="D14" s="32" t="s">
        <v>70</v>
      </c>
      <c r="E14" s="40" t="s">
        <v>130</v>
      </c>
      <c r="F14" s="33">
        <f>IF(C14="Y",2,0)</f>
        <v>0</v>
      </c>
      <c r="G14" s="51"/>
    </row>
    <row r="15" spans="1:7" ht="62" x14ac:dyDescent="0.35">
      <c r="A15" s="248" t="s">
        <v>77</v>
      </c>
      <c r="B15" s="41" t="s">
        <v>448</v>
      </c>
      <c r="C15" s="10"/>
      <c r="D15" s="32" t="s">
        <v>70</v>
      </c>
      <c r="E15" s="244" t="s">
        <v>130</v>
      </c>
      <c r="F15" s="33">
        <f>IF(C15="Y",2,0)</f>
        <v>0</v>
      </c>
      <c r="G15" s="51"/>
    </row>
    <row r="16" spans="1:7" ht="61" customHeight="1" x14ac:dyDescent="0.35">
      <c r="A16" s="248" t="s">
        <v>80</v>
      </c>
      <c r="B16" s="41" t="s">
        <v>449</v>
      </c>
      <c r="C16" s="10"/>
      <c r="D16" s="32" t="s">
        <v>70</v>
      </c>
      <c r="E16" s="244" t="s">
        <v>113</v>
      </c>
      <c r="F16" s="33">
        <f>IF(C16="Y",1,0)</f>
        <v>0</v>
      </c>
      <c r="G16" s="51"/>
    </row>
    <row r="17" spans="1:7" x14ac:dyDescent="0.35">
      <c r="A17" s="36"/>
      <c r="B17" s="512" t="s">
        <v>450</v>
      </c>
      <c r="C17" s="512"/>
      <c r="D17" s="512"/>
      <c r="E17" s="512"/>
      <c r="F17" s="37">
        <f>SUM(F14:F16)</f>
        <v>0</v>
      </c>
      <c r="G17" s="38"/>
    </row>
    <row r="18" spans="1:7" x14ac:dyDescent="0.35">
      <c r="A18" s="27" t="s">
        <v>451</v>
      </c>
      <c r="B18" s="28" t="s">
        <v>452</v>
      </c>
      <c r="C18" s="28"/>
      <c r="D18" s="29"/>
      <c r="E18" s="30"/>
      <c r="F18" s="31"/>
      <c r="G18" s="30"/>
    </row>
    <row r="19" spans="1:7" ht="31" x14ac:dyDescent="0.35">
      <c r="A19" s="248" t="s">
        <v>75</v>
      </c>
      <c r="B19" s="39" t="s">
        <v>453</v>
      </c>
      <c r="C19" s="10"/>
      <c r="D19" s="32" t="s">
        <v>70</v>
      </c>
      <c r="E19" s="40" t="s">
        <v>267</v>
      </c>
      <c r="F19" s="33">
        <f>IF(C19="Y",0.5,0)</f>
        <v>0</v>
      </c>
      <c r="G19" s="51"/>
    </row>
    <row r="20" spans="1:7" ht="31" x14ac:dyDescent="0.35">
      <c r="A20" s="248" t="s">
        <v>77</v>
      </c>
      <c r="B20" s="41" t="s">
        <v>454</v>
      </c>
      <c r="C20" s="10"/>
      <c r="D20" s="32" t="s">
        <v>70</v>
      </c>
      <c r="E20" s="244" t="s">
        <v>113</v>
      </c>
      <c r="F20" s="33">
        <f>IF(C20="Y",1,0)</f>
        <v>0</v>
      </c>
      <c r="G20" s="51"/>
    </row>
    <row r="21" spans="1:7" x14ac:dyDescent="0.35">
      <c r="A21" s="36"/>
      <c r="B21" s="512" t="s">
        <v>455</v>
      </c>
      <c r="C21" s="512"/>
      <c r="D21" s="512"/>
      <c r="E21" s="512"/>
      <c r="F21" s="37">
        <f>SUM(F18:F20)</f>
        <v>0</v>
      </c>
      <c r="G21" s="38"/>
    </row>
    <row r="22" spans="1:7" x14ac:dyDescent="0.35">
      <c r="A22" s="24" t="s">
        <v>456</v>
      </c>
      <c r="B22" s="511" t="s">
        <v>58</v>
      </c>
      <c r="C22" s="511"/>
      <c r="D22" s="511"/>
      <c r="E22" s="25">
        <v>5</v>
      </c>
      <c r="F22" s="26">
        <f>MIN(SUM(F27,F32),5)</f>
        <v>0</v>
      </c>
      <c r="G22" s="24"/>
    </row>
    <row r="23" spans="1:7" x14ac:dyDescent="0.35">
      <c r="A23" s="27" t="s">
        <v>457</v>
      </c>
      <c r="B23" s="28" t="s">
        <v>458</v>
      </c>
      <c r="C23" s="28"/>
      <c r="D23" s="29"/>
      <c r="E23" s="30"/>
      <c r="F23" s="31"/>
      <c r="G23" s="30"/>
    </row>
    <row r="24" spans="1:7" ht="46.5" x14ac:dyDescent="0.35">
      <c r="A24" s="248" t="s">
        <v>75</v>
      </c>
      <c r="B24" s="9" t="s">
        <v>459</v>
      </c>
      <c r="C24" s="10"/>
      <c r="D24" s="32" t="s">
        <v>70</v>
      </c>
      <c r="E24" s="244" t="s">
        <v>113</v>
      </c>
      <c r="F24" s="33">
        <f>IF(C24="Y",1,0)</f>
        <v>0</v>
      </c>
      <c r="G24" s="51"/>
    </row>
    <row r="25" spans="1:7" ht="77.5" x14ac:dyDescent="0.35">
      <c r="A25" s="248" t="s">
        <v>77</v>
      </c>
      <c r="B25" s="9" t="s">
        <v>460</v>
      </c>
      <c r="C25" s="10"/>
      <c r="D25" s="32" t="s">
        <v>70</v>
      </c>
      <c r="E25" s="244" t="s">
        <v>130</v>
      </c>
      <c r="F25" s="33">
        <f>IF(C25="Y",2,0)</f>
        <v>0</v>
      </c>
      <c r="G25" s="51"/>
    </row>
    <row r="26" spans="1:7" ht="31" x14ac:dyDescent="0.35">
      <c r="A26" s="248" t="s">
        <v>80</v>
      </c>
      <c r="B26" s="9" t="s">
        <v>461</v>
      </c>
      <c r="C26" s="10"/>
      <c r="D26" s="32" t="s">
        <v>70</v>
      </c>
      <c r="E26" s="244" t="s">
        <v>113</v>
      </c>
      <c r="F26" s="33">
        <f>IF(C26="Y",1,0)</f>
        <v>0</v>
      </c>
      <c r="G26" s="51"/>
    </row>
    <row r="27" spans="1:7" x14ac:dyDescent="0.35">
      <c r="A27" s="36"/>
      <c r="B27" s="512" t="s">
        <v>462</v>
      </c>
      <c r="C27" s="512"/>
      <c r="D27" s="512"/>
      <c r="E27" s="512"/>
      <c r="F27" s="37">
        <f>SUM(F24:F26)</f>
        <v>0</v>
      </c>
      <c r="G27" s="38"/>
    </row>
    <row r="28" spans="1:7" x14ac:dyDescent="0.35">
      <c r="A28" s="27" t="s">
        <v>463</v>
      </c>
      <c r="B28" s="28" t="s">
        <v>464</v>
      </c>
      <c r="C28" s="28"/>
      <c r="D28" s="29"/>
      <c r="E28" s="30"/>
      <c r="F28" s="31"/>
      <c r="G28" s="30"/>
    </row>
    <row r="29" spans="1:7" ht="77.5" x14ac:dyDescent="0.35">
      <c r="A29" s="248" t="s">
        <v>75</v>
      </c>
      <c r="B29" s="9" t="s">
        <v>465</v>
      </c>
      <c r="C29" s="10"/>
      <c r="D29" s="32" t="s">
        <v>70</v>
      </c>
      <c r="E29" s="42" t="s">
        <v>130</v>
      </c>
      <c r="F29" s="33">
        <f>IF(C29="Y",2,0)</f>
        <v>0</v>
      </c>
      <c r="G29" s="51"/>
    </row>
    <row r="30" spans="1:7" ht="46.5" x14ac:dyDescent="0.35">
      <c r="A30" s="248" t="s">
        <v>77</v>
      </c>
      <c r="B30" s="9" t="s">
        <v>466</v>
      </c>
      <c r="C30" s="10"/>
      <c r="D30" s="32" t="s">
        <v>70</v>
      </c>
      <c r="E30" s="43" t="s">
        <v>239</v>
      </c>
      <c r="F30" s="33">
        <f>IF(C30="Y",3,0)</f>
        <v>0</v>
      </c>
      <c r="G30" s="53"/>
    </row>
    <row r="31" spans="1:7" ht="31" x14ac:dyDescent="0.35">
      <c r="A31" s="248" t="s">
        <v>80</v>
      </c>
      <c r="B31" s="9" t="s">
        <v>467</v>
      </c>
      <c r="C31" s="10"/>
      <c r="D31" s="32" t="s">
        <v>70</v>
      </c>
      <c r="E31" s="43" t="s">
        <v>113</v>
      </c>
      <c r="F31" s="33">
        <f>IF(C31="Y",1,0)</f>
        <v>0</v>
      </c>
      <c r="G31" s="53"/>
    </row>
    <row r="32" spans="1:7" x14ac:dyDescent="0.35">
      <c r="A32" s="36"/>
      <c r="B32" s="512" t="s">
        <v>468</v>
      </c>
      <c r="C32" s="512"/>
      <c r="D32" s="512"/>
      <c r="E32" s="512"/>
      <c r="F32" s="37">
        <f>SUM(F29:F31)</f>
        <v>0</v>
      </c>
      <c r="G32" s="38"/>
    </row>
    <row r="33" spans="1:7" x14ac:dyDescent="0.35">
      <c r="A33" s="24" t="s">
        <v>469</v>
      </c>
      <c r="B33" s="511" t="s">
        <v>60</v>
      </c>
      <c r="C33" s="511"/>
      <c r="D33" s="511"/>
      <c r="E33" s="25">
        <v>5</v>
      </c>
      <c r="F33" s="26">
        <f>MIN(SUM(F38,F43,F48),5)</f>
        <v>0</v>
      </c>
      <c r="G33" s="24"/>
    </row>
    <row r="34" spans="1:7" x14ac:dyDescent="0.35">
      <c r="A34" s="27" t="s">
        <v>470</v>
      </c>
      <c r="B34" s="28" t="s">
        <v>471</v>
      </c>
      <c r="C34" s="28"/>
      <c r="D34" s="29"/>
      <c r="E34" s="30"/>
      <c r="F34" s="31"/>
      <c r="G34" s="30"/>
    </row>
    <row r="35" spans="1:7" ht="46.5" x14ac:dyDescent="0.35">
      <c r="A35" s="248" t="s">
        <v>75</v>
      </c>
      <c r="B35" s="256" t="s">
        <v>472</v>
      </c>
      <c r="C35" s="10"/>
      <c r="D35" s="32" t="s">
        <v>70</v>
      </c>
      <c r="E35" s="244" t="s">
        <v>113</v>
      </c>
      <c r="F35" s="33">
        <f>IF(C35="Y",1,0)</f>
        <v>0</v>
      </c>
      <c r="G35" s="51"/>
    </row>
    <row r="36" spans="1:7" ht="31" x14ac:dyDescent="0.35">
      <c r="A36" s="248" t="s">
        <v>77</v>
      </c>
      <c r="B36" s="256" t="s">
        <v>473</v>
      </c>
      <c r="C36" s="10"/>
      <c r="D36" s="32" t="s">
        <v>70</v>
      </c>
      <c r="E36" s="244" t="s">
        <v>113</v>
      </c>
      <c r="F36" s="33">
        <f>IF(C36="Y",1,0)</f>
        <v>0</v>
      </c>
      <c r="G36" s="51"/>
    </row>
    <row r="37" spans="1:7" ht="46.5" x14ac:dyDescent="0.35">
      <c r="A37" s="248" t="s">
        <v>80</v>
      </c>
      <c r="B37" s="256" t="s">
        <v>474</v>
      </c>
      <c r="C37" s="10"/>
      <c r="D37" s="32" t="s">
        <v>70</v>
      </c>
      <c r="E37" s="244" t="s">
        <v>113</v>
      </c>
      <c r="F37" s="33">
        <f>IF(C37="Y",1,0)</f>
        <v>0</v>
      </c>
      <c r="G37" s="51"/>
    </row>
    <row r="38" spans="1:7" x14ac:dyDescent="0.35">
      <c r="A38" s="36"/>
      <c r="B38" s="512" t="s">
        <v>475</v>
      </c>
      <c r="C38" s="512"/>
      <c r="D38" s="512"/>
      <c r="E38" s="512"/>
      <c r="F38" s="37">
        <f>SUM(F35:F37)</f>
        <v>0</v>
      </c>
      <c r="G38" s="38"/>
    </row>
    <row r="39" spans="1:7" x14ac:dyDescent="0.35">
      <c r="A39" s="27" t="s">
        <v>476</v>
      </c>
      <c r="B39" s="28" t="s">
        <v>477</v>
      </c>
      <c r="C39" s="28"/>
      <c r="D39" s="29"/>
      <c r="E39" s="30"/>
      <c r="F39" s="31"/>
      <c r="G39" s="30"/>
    </row>
    <row r="40" spans="1:7" ht="124" x14ac:dyDescent="0.35">
      <c r="A40" s="8"/>
      <c r="B40" s="9" t="s">
        <v>478</v>
      </c>
      <c r="C40" s="34"/>
      <c r="D40" s="32"/>
      <c r="E40" s="244"/>
      <c r="F40" s="33"/>
      <c r="G40" s="51"/>
    </row>
    <row r="41" spans="1:7" x14ac:dyDescent="0.35">
      <c r="A41" s="248" t="s">
        <v>75</v>
      </c>
      <c r="B41" s="44" t="s">
        <v>479</v>
      </c>
      <c r="C41" s="10"/>
      <c r="D41" s="32" t="s">
        <v>70</v>
      </c>
      <c r="E41" s="244" t="s">
        <v>113</v>
      </c>
      <c r="F41" s="33">
        <f>IF(C41="Y",1,0)</f>
        <v>0</v>
      </c>
      <c r="G41" s="51"/>
    </row>
    <row r="42" spans="1:7" x14ac:dyDescent="0.35">
      <c r="A42" s="248" t="s">
        <v>77</v>
      </c>
      <c r="B42" s="44" t="s">
        <v>480</v>
      </c>
      <c r="C42" s="10"/>
      <c r="D42" s="32" t="s">
        <v>70</v>
      </c>
      <c r="E42" s="244" t="s">
        <v>267</v>
      </c>
      <c r="F42" s="33">
        <f>IF(C42="Y",0.5,0)</f>
        <v>0</v>
      </c>
      <c r="G42" s="51"/>
    </row>
    <row r="43" spans="1:7" ht="15.65" customHeight="1" x14ac:dyDescent="0.35">
      <c r="A43" s="36"/>
      <c r="B43" s="512" t="s">
        <v>481</v>
      </c>
      <c r="C43" s="512"/>
      <c r="D43" s="512"/>
      <c r="E43" s="512"/>
      <c r="F43" s="37">
        <f>SUM(F40:F42)</f>
        <v>0</v>
      </c>
      <c r="G43" s="38"/>
    </row>
    <row r="44" spans="1:7" x14ac:dyDescent="0.35">
      <c r="A44" s="27" t="s">
        <v>482</v>
      </c>
      <c r="B44" s="28" t="s">
        <v>483</v>
      </c>
      <c r="C44" s="28"/>
      <c r="D44" s="29"/>
      <c r="E44" s="30"/>
      <c r="F44" s="31"/>
      <c r="G44" s="30"/>
    </row>
    <row r="45" spans="1:7" ht="62" x14ac:dyDescent="0.35">
      <c r="A45" s="513"/>
      <c r="B45" s="45" t="s">
        <v>484</v>
      </c>
      <c r="C45" s="34"/>
      <c r="D45" s="32"/>
      <c r="E45" s="244"/>
      <c r="F45" s="33"/>
      <c r="G45" s="53"/>
    </row>
    <row r="46" spans="1:7" ht="46.5" x14ac:dyDescent="0.35">
      <c r="A46" s="513"/>
      <c r="B46" s="46" t="s">
        <v>485</v>
      </c>
      <c r="C46" s="10"/>
      <c r="D46" s="32" t="s">
        <v>70</v>
      </c>
      <c r="E46" s="244" t="s">
        <v>113</v>
      </c>
      <c r="F46" s="33">
        <f>IF(C46="Y",1,0)</f>
        <v>0</v>
      </c>
      <c r="G46" s="51"/>
    </row>
    <row r="47" spans="1:7" ht="46.5" x14ac:dyDescent="0.35">
      <c r="A47" s="513"/>
      <c r="B47" s="47" t="s">
        <v>486</v>
      </c>
      <c r="C47" s="10"/>
      <c r="D47" s="32" t="s">
        <v>70</v>
      </c>
      <c r="E47" s="244" t="s">
        <v>113</v>
      </c>
      <c r="F47" s="33">
        <f>IF(C47="Y",1,0)</f>
        <v>0</v>
      </c>
      <c r="G47" s="51"/>
    </row>
    <row r="48" spans="1:7" ht="15.65" customHeight="1" x14ac:dyDescent="0.35">
      <c r="A48" s="36"/>
      <c r="B48" s="512" t="s">
        <v>487</v>
      </c>
      <c r="C48" s="512"/>
      <c r="D48" s="512"/>
      <c r="E48" s="512"/>
      <c r="F48" s="37">
        <f>SUM(F45:F47)</f>
        <v>0</v>
      </c>
      <c r="G48" s="38"/>
    </row>
    <row r="49" spans="1:7" x14ac:dyDescent="0.35">
      <c r="A49" s="24"/>
      <c r="B49" s="511" t="s">
        <v>488</v>
      </c>
      <c r="C49" s="511"/>
      <c r="D49" s="511"/>
      <c r="E49" s="25">
        <v>3</v>
      </c>
      <c r="F49" s="26">
        <f>MIN(SUM(F51:F52),3)</f>
        <v>0</v>
      </c>
      <c r="G49" s="24"/>
    </row>
    <row r="50" spans="1:7" ht="62" x14ac:dyDescent="0.35">
      <c r="A50" s="27"/>
      <c r="B50" s="28" t="s">
        <v>489</v>
      </c>
      <c r="C50" s="28"/>
      <c r="D50" s="29"/>
      <c r="E50" s="48"/>
      <c r="F50" s="49"/>
      <c r="G50" s="50" t="s">
        <v>198</v>
      </c>
    </row>
    <row r="51" spans="1:7" ht="161.25" customHeight="1" x14ac:dyDescent="0.35">
      <c r="A51" s="424"/>
      <c r="B51" s="514" t="s">
        <v>490</v>
      </c>
      <c r="C51" s="10"/>
      <c r="D51" s="32" t="s">
        <v>73</v>
      </c>
      <c r="E51" s="244" t="s">
        <v>130</v>
      </c>
      <c r="F51" s="33">
        <f>C51</f>
        <v>0</v>
      </c>
      <c r="G51" s="82" t="s">
        <v>201</v>
      </c>
    </row>
    <row r="52" spans="1:7" ht="161.25" customHeight="1" x14ac:dyDescent="0.35">
      <c r="A52" s="424"/>
      <c r="B52" s="514"/>
      <c r="C52" s="10"/>
      <c r="D52" s="32" t="s">
        <v>73</v>
      </c>
      <c r="E52" s="244" t="s">
        <v>130</v>
      </c>
      <c r="F52" s="33">
        <f>C52</f>
        <v>0</v>
      </c>
      <c r="G52" s="274" t="s">
        <v>491</v>
      </c>
    </row>
  </sheetData>
  <sheetProtection algorithmName="SHA-512" hashValue="DG8s3PPyNFGfqkWk1wssEJXSI4jiiSe19t3fX8Q7eOScRWIAB20oV4TOTSFI9RWltvkvgld2ZUcDwv73FxP04g==" saltValue="fNm2KQSn32dmt0HJIcEi1g==" spinCount="100000" sheet="1" selectLockedCells="1"/>
  <mergeCells count="17">
    <mergeCell ref="B21:E21"/>
    <mergeCell ref="A2:D2"/>
    <mergeCell ref="B3:D3"/>
    <mergeCell ref="B10:E10"/>
    <mergeCell ref="B17:E17"/>
    <mergeCell ref="A6:A8"/>
    <mergeCell ref="B51:B52"/>
    <mergeCell ref="A51:A52"/>
    <mergeCell ref="B27:E27"/>
    <mergeCell ref="B32:E32"/>
    <mergeCell ref="B38:E38"/>
    <mergeCell ref="B49:D49"/>
    <mergeCell ref="B22:D22"/>
    <mergeCell ref="B33:D33"/>
    <mergeCell ref="B43:E43"/>
    <mergeCell ref="A45:A47"/>
    <mergeCell ref="B48:E48"/>
  </mergeCells>
  <conditionalFormatting sqref="E12">
    <cfRule type="expression" dxfId="0" priority="1">
      <formula>$E$12="Assessor, Please check GM application date"</formula>
    </cfRule>
  </conditionalFormatting>
  <dataValidations count="4">
    <dataValidation type="list" allowBlank="1" showInputMessage="1" showErrorMessage="1" sqref="C29:C31 C13:C16 C35:C37 C46:C47 C5 C9 C19:C20 C24:C26" xr:uid="{00000000-0002-0000-0600-000000000000}">
      <formula1>"Y,N"</formula1>
    </dataValidation>
    <dataValidation type="decimal" allowBlank="1" showErrorMessage="1" error="Please enter 0.5 or 1 or 1.5 or 2." prompt="Please Enter 0 or 1 or 1.5 or 2." sqref="F51:F52" xr:uid="{00000000-0002-0000-0600-000001000000}">
      <formula1>0</formula1>
      <formula2>2</formula2>
    </dataValidation>
    <dataValidation allowBlank="1" showInputMessage="1" showErrorMessage="1" prompt="Please list down short description of your innovation." sqref="G51:G52" xr:uid="{00000000-0002-0000-0600-000002000000}"/>
    <dataValidation type="list" showErrorMessage="1" error="Please enter 0.5 or 1 or 1.5 or 2." prompt="Please Enter 0.5 or 1 or 1.5 or 2." sqref="C51:C52" xr:uid="{00000000-0002-0000-0600-000003000000}">
      <formula1>"0, 0.5, 1.0, 1.5, 2.0"</formula1>
    </dataValidation>
  </dataValidations>
  <pageMargins left="0.7" right="0.7" top="0.75" bottom="0.75" header="0.3" footer="0.3"/>
  <pageSetup paperSize="9" scale="5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6"/>
  <sheetViews>
    <sheetView topLeftCell="A64" zoomScaleNormal="100" workbookViewId="0">
      <selection activeCell="E9" sqref="E9:F9"/>
    </sheetView>
  </sheetViews>
  <sheetFormatPr defaultRowHeight="15.5" x14ac:dyDescent="0.35"/>
  <cols>
    <col min="1" max="1" width="8.26953125" style="1" customWidth="1"/>
    <col min="2" max="2" width="65.7265625" customWidth="1"/>
    <col min="3" max="3" width="9.453125" customWidth="1"/>
    <col min="4" max="4" width="12.453125" customWidth="1"/>
    <col min="5" max="6" width="12" style="13" customWidth="1"/>
    <col min="7" max="7" width="18.453125" customWidth="1"/>
    <col min="8" max="8" width="50.453125" style="286" customWidth="1"/>
    <col min="9" max="9" width="50.7265625" style="286" customWidth="1"/>
    <col min="10" max="10" width="17.26953125" hidden="1" customWidth="1"/>
    <col min="11" max="14" width="9.1796875" hidden="1" customWidth="1"/>
  </cols>
  <sheetData>
    <row r="1" spans="1:14" ht="16" thickBot="1" x14ac:dyDescent="0.4">
      <c r="H1" s="262"/>
      <c r="I1" s="262"/>
    </row>
    <row r="2" spans="1:14" ht="21" x14ac:dyDescent="0.35">
      <c r="A2" s="518" t="s">
        <v>492</v>
      </c>
      <c r="B2" s="519"/>
      <c r="C2" s="519"/>
      <c r="D2" s="519"/>
      <c r="E2" s="519"/>
      <c r="F2" s="519"/>
      <c r="G2" s="520"/>
      <c r="H2" s="262"/>
      <c r="I2" s="262"/>
    </row>
    <row r="3" spans="1:14" ht="85.5" customHeight="1" x14ac:dyDescent="0.35">
      <c r="A3" s="531"/>
      <c r="B3" s="532"/>
      <c r="C3" s="532"/>
      <c r="D3" s="532"/>
      <c r="E3" s="532"/>
      <c r="F3" s="532"/>
      <c r="G3" s="533"/>
      <c r="H3" s="262"/>
      <c r="I3" s="262"/>
    </row>
    <row r="4" spans="1:14" ht="190.5" customHeight="1" thickBot="1" x14ac:dyDescent="0.4">
      <c r="A4" s="534" t="s">
        <v>493</v>
      </c>
      <c r="B4" s="535"/>
      <c r="C4" s="535"/>
      <c r="D4" s="535"/>
      <c r="E4" s="535"/>
      <c r="F4" s="535"/>
      <c r="G4" s="536"/>
      <c r="H4" s="262"/>
      <c r="I4" s="262"/>
    </row>
    <row r="5" spans="1:14" x14ac:dyDescent="0.35">
      <c r="H5" s="262"/>
      <c r="I5" s="262"/>
    </row>
    <row r="6" spans="1:14" ht="31" customHeight="1" x14ac:dyDescent="0.35">
      <c r="A6" s="2"/>
      <c r="B6" s="3" t="s">
        <v>494</v>
      </c>
      <c r="C6" s="528" t="s">
        <v>103</v>
      </c>
      <c r="D6" s="528"/>
      <c r="E6" s="528" t="s">
        <v>495</v>
      </c>
      <c r="F6" s="528"/>
      <c r="G6" s="19" t="s">
        <v>496</v>
      </c>
      <c r="H6" s="262"/>
      <c r="I6" s="262"/>
      <c r="K6" s="528" t="s">
        <v>495</v>
      </c>
      <c r="L6" s="528"/>
      <c r="M6" s="528" t="s">
        <v>495</v>
      </c>
      <c r="N6" s="528"/>
    </row>
    <row r="7" spans="1:14" ht="18.5" x14ac:dyDescent="0.35">
      <c r="A7" s="526" t="s">
        <v>34</v>
      </c>
      <c r="B7" s="527"/>
      <c r="C7" s="529">
        <f>'[3]Maintainability Score Summary'!$K$37</f>
        <v>124</v>
      </c>
      <c r="D7" s="348"/>
      <c r="E7" s="348"/>
      <c r="F7" s="348"/>
      <c r="G7" s="280"/>
      <c r="H7" s="262"/>
      <c r="I7" s="262"/>
      <c r="K7" s="348"/>
      <c r="L7" s="348"/>
      <c r="M7" s="348"/>
      <c r="N7" s="348"/>
    </row>
    <row r="8" spans="1:14" x14ac:dyDescent="0.35">
      <c r="A8" s="524" t="s">
        <v>497</v>
      </c>
      <c r="B8" s="524"/>
      <c r="C8" s="525">
        <f>'[3]Maintainability Score Summary'!$E$6</f>
        <v>8.5</v>
      </c>
      <c r="D8" s="525"/>
      <c r="E8" s="525">
        <f t="shared" ref="E8:E10" si="0">MAX(K8:N8)</f>
        <v>0</v>
      </c>
      <c r="F8" s="525"/>
      <c r="G8" s="279" t="str">
        <f>IF(G9="","",G9)</f>
        <v/>
      </c>
      <c r="H8" s="262"/>
      <c r="I8" s="262"/>
      <c r="K8" s="548">
        <f>'[3]Maintainability Score Summary'!$F$6</f>
        <v>0</v>
      </c>
      <c r="L8" s="525"/>
      <c r="M8" s="548">
        <f>'[4]Maintainability Score Summary'!$F$6</f>
        <v>0</v>
      </c>
      <c r="N8" s="525"/>
    </row>
    <row r="9" spans="1:14" x14ac:dyDescent="0.35">
      <c r="A9" s="11">
        <v>0.1</v>
      </c>
      <c r="B9" s="12" t="str">
        <f>'[3]Maintainability Score Summary'!$B$7</f>
        <v>General Project Requirement</v>
      </c>
      <c r="C9" s="530">
        <f>'[3]Maintainability Score Summary'!$E$7</f>
        <v>8.5</v>
      </c>
      <c r="D9" s="530"/>
      <c r="E9" s="530">
        <f t="shared" si="0"/>
        <v>0</v>
      </c>
      <c r="F9" s="530"/>
      <c r="G9" s="285"/>
      <c r="H9" s="262"/>
      <c r="I9" s="262"/>
      <c r="K9" s="540">
        <f>'[3]Maintainability Score Summary'!$F$7</f>
        <v>0</v>
      </c>
      <c r="L9" s="381"/>
      <c r="M9" s="540">
        <f>'[4]Maintainability Score Summary'!$F$7</f>
        <v>0</v>
      </c>
      <c r="N9" s="381"/>
    </row>
    <row r="10" spans="1:14" x14ac:dyDescent="0.35">
      <c r="A10" s="524" t="s">
        <v>498</v>
      </c>
      <c r="B10" s="524"/>
      <c r="C10" s="525">
        <f>'[3]Maintainability Score Summary'!$E$8</f>
        <v>14.5</v>
      </c>
      <c r="D10" s="525"/>
      <c r="E10" s="525">
        <f t="shared" si="0"/>
        <v>0</v>
      </c>
      <c r="F10" s="525"/>
      <c r="G10" s="279" t="str">
        <f>IF(OR(G11="",G13="",G17=""),"",SUM(G17,G13,G11))</f>
        <v/>
      </c>
      <c r="H10" s="262"/>
      <c r="I10" s="262"/>
      <c r="K10" s="548">
        <f>'[3]Maintainability Score Summary'!$F$8</f>
        <v>0</v>
      </c>
      <c r="L10" s="525"/>
      <c r="M10" s="548">
        <f>'[4]Maintainability Score Summary'!$F$8</f>
        <v>0</v>
      </c>
      <c r="N10" s="525"/>
    </row>
    <row r="11" spans="1:14" x14ac:dyDescent="0.35">
      <c r="A11" s="521" t="str">
        <f>'[3]Maintainability Score Summary'!$A$9</f>
        <v>Part A - General Façade</v>
      </c>
      <c r="B11" s="522"/>
      <c r="C11" s="523">
        <f>'[3]Maintainability Score Summary'!$E$9</f>
        <v>2</v>
      </c>
      <c r="D11" s="523"/>
      <c r="E11" s="523">
        <f>MAX(K11:N11)</f>
        <v>0</v>
      </c>
      <c r="F11" s="523"/>
      <c r="G11" s="281" t="str">
        <f>IF(G12="","",G12)</f>
        <v/>
      </c>
      <c r="H11" s="262"/>
      <c r="I11" s="262"/>
      <c r="K11" s="549">
        <f>'[3]Maintainability Score Summary'!$F$9</f>
        <v>0</v>
      </c>
      <c r="L11" s="523"/>
      <c r="M11" s="549">
        <f>'[4]Maintainability Score Summary'!$F$9</f>
        <v>0</v>
      </c>
      <c r="N11" s="523"/>
    </row>
    <row r="12" spans="1:14" x14ac:dyDescent="0.35">
      <c r="A12" s="6">
        <v>1.1000000000000001</v>
      </c>
      <c r="B12" s="7" t="str">
        <f>'[3]Maintainability Score Summary'!$B$10</f>
        <v>General Façade</v>
      </c>
      <c r="C12" s="381">
        <f>'[3]Maintainability Score Summary'!$E$10</f>
        <v>2</v>
      </c>
      <c r="D12" s="381"/>
      <c r="E12" s="381">
        <f t="shared" ref="E12:E13" si="1">MAX(K12:N12)</f>
        <v>0</v>
      </c>
      <c r="F12" s="381"/>
      <c r="G12" s="285"/>
      <c r="H12" s="262"/>
      <c r="I12" s="262"/>
      <c r="K12" s="540">
        <f>'[3]Maintainability Score Summary'!$F$10</f>
        <v>0</v>
      </c>
      <c r="L12" s="381"/>
      <c r="M12" s="540">
        <f>'[4]Maintainability Score Summary'!$F$10</f>
        <v>0</v>
      </c>
      <c r="N12" s="381"/>
    </row>
    <row r="13" spans="1:14" x14ac:dyDescent="0.35">
      <c r="A13" s="521" t="str">
        <f>'[3]Maintainability Score Summary'!$A$11</f>
        <v>Part B - Façade System</v>
      </c>
      <c r="B13" s="522"/>
      <c r="C13" s="523">
        <f>'[3]Maintainability Score Summary'!$E$11</f>
        <v>4</v>
      </c>
      <c r="D13" s="523"/>
      <c r="E13" s="523">
        <f t="shared" si="1"/>
        <v>0</v>
      </c>
      <c r="F13" s="523"/>
      <c r="G13" s="281" t="str">
        <f>IF(G14="","",G14)</f>
        <v/>
      </c>
      <c r="H13" s="262"/>
      <c r="I13" s="262"/>
      <c r="K13" s="549">
        <f>'[3]Maintainability Score Summary'!$F$11</f>
        <v>0</v>
      </c>
      <c r="L13" s="523"/>
      <c r="M13" s="549">
        <f>'[4]Maintainability Score Summary'!$F$11</f>
        <v>0</v>
      </c>
      <c r="N13" s="523"/>
    </row>
    <row r="14" spans="1:14" x14ac:dyDescent="0.35">
      <c r="A14" s="6">
        <v>1.2</v>
      </c>
      <c r="B14" s="7" t="str">
        <f>'[3]Maintainability Score Summary'!$B$12</f>
        <v>Cladding system: Tile/ Stone/ Metal/ Others</v>
      </c>
      <c r="C14" s="381">
        <f>'[3]Maintainability Score Summary'!$E$12</f>
        <v>4</v>
      </c>
      <c r="D14" s="381"/>
      <c r="E14" s="381">
        <f>MAX(K14:N14)</f>
        <v>0</v>
      </c>
      <c r="F14" s="381"/>
      <c r="G14" s="537"/>
      <c r="H14" s="262"/>
      <c r="I14" s="262"/>
      <c r="K14" s="550">
        <f>'[3]Maintainability Score Summary'!$F$12</f>
        <v>0</v>
      </c>
      <c r="L14" s="550"/>
      <c r="M14" s="550">
        <f>'[4]Maintainability Score Summary'!$F$12</f>
        <v>0</v>
      </c>
      <c r="N14" s="550"/>
    </row>
    <row r="15" spans="1:14" x14ac:dyDescent="0.35">
      <c r="A15" s="6">
        <v>1.3</v>
      </c>
      <c r="B15" s="7" t="str">
        <f>'[3]Maintainability Score Summary'!$B$13</f>
        <v>Curtain Wall: Glazing/ Others</v>
      </c>
      <c r="C15" s="381"/>
      <c r="D15" s="381"/>
      <c r="E15" s="381"/>
      <c r="F15" s="381"/>
      <c r="G15" s="537"/>
      <c r="H15" s="262"/>
      <c r="I15" s="262"/>
      <c r="K15" s="550"/>
      <c r="L15" s="550"/>
      <c r="M15" s="550"/>
      <c r="N15" s="550"/>
    </row>
    <row r="16" spans="1:14" x14ac:dyDescent="0.35">
      <c r="A16" s="6">
        <v>1.4</v>
      </c>
      <c r="B16" s="7" t="str">
        <f>'[3]Maintainability Score Summary'!$B$14</f>
        <v>Masonry and Lightweight Concrete Panels</v>
      </c>
      <c r="C16" s="381"/>
      <c r="D16" s="381"/>
      <c r="E16" s="381"/>
      <c r="F16" s="381"/>
      <c r="G16" s="537"/>
      <c r="H16" s="262"/>
      <c r="I16" s="262"/>
      <c r="K16" s="550"/>
      <c r="L16" s="550"/>
      <c r="M16" s="550"/>
      <c r="N16" s="550"/>
    </row>
    <row r="17" spans="1:14" x14ac:dyDescent="0.35">
      <c r="A17" s="521" t="str">
        <f>'[3]Maintainability Score Summary'!$A$15</f>
        <v>Part C - Others</v>
      </c>
      <c r="B17" s="522"/>
      <c r="C17" s="523">
        <f>'[3]Maintainability Score Summary'!$E$15</f>
        <v>8.5</v>
      </c>
      <c r="D17" s="523"/>
      <c r="E17" s="523">
        <f t="shared" ref="E17:E68" si="2">MAX(K17:N17)</f>
        <v>0</v>
      </c>
      <c r="F17" s="523"/>
      <c r="G17" s="281" t="str">
        <f>IF(OR(G18="",G19="",G20=""),"",SUM(G18:G20))</f>
        <v/>
      </c>
      <c r="H17" s="262"/>
      <c r="I17" s="262"/>
      <c r="K17" s="549">
        <f>'[3]Maintainability Score Summary'!$F$15</f>
        <v>0</v>
      </c>
      <c r="L17" s="549"/>
      <c r="M17" s="549">
        <f>'[4]Maintainability Score Summary'!$F$15</f>
        <v>0</v>
      </c>
      <c r="N17" s="549"/>
    </row>
    <row r="18" spans="1:14" x14ac:dyDescent="0.35">
      <c r="A18" s="6" t="s">
        <v>499</v>
      </c>
      <c r="B18" s="7" t="str">
        <f>'[3]Maintainability Score Summary'!$B$16</f>
        <v>Façade Features/ considerations</v>
      </c>
      <c r="C18" s="381">
        <f>'[3]Maintainability Score Summary'!$E$16</f>
        <v>3.5</v>
      </c>
      <c r="D18" s="381"/>
      <c r="E18" s="381">
        <f t="shared" si="2"/>
        <v>0</v>
      </c>
      <c r="F18" s="381"/>
      <c r="G18" s="285"/>
      <c r="H18" s="262"/>
      <c r="I18" s="262"/>
      <c r="K18" s="540">
        <f>'[3]Maintainability Score Summary'!$F$16</f>
        <v>0</v>
      </c>
      <c r="L18" s="540"/>
      <c r="M18" s="540">
        <f>'[4]Maintainability Score Summary'!$F$16</f>
        <v>0</v>
      </c>
      <c r="N18" s="540"/>
    </row>
    <row r="19" spans="1:14" x14ac:dyDescent="0.35">
      <c r="A19" s="6" t="s">
        <v>500</v>
      </c>
      <c r="B19" s="7" t="str">
        <f>'[3]Maintainability Score Summary'!$B$17</f>
        <v>Entrance lobby</v>
      </c>
      <c r="C19" s="381">
        <f>'[3]Maintainability Score Summary'!$E$17</f>
        <v>3</v>
      </c>
      <c r="D19" s="381"/>
      <c r="E19" s="381">
        <f t="shared" si="2"/>
        <v>0</v>
      </c>
      <c r="F19" s="381"/>
      <c r="G19" s="285"/>
      <c r="H19" s="262"/>
      <c r="I19" s="262"/>
      <c r="K19" s="540">
        <f>'[3]Maintainability Score Summary'!$F$17</f>
        <v>0</v>
      </c>
      <c r="L19" s="540"/>
      <c r="M19" s="540">
        <f>'[4]Maintainability Score Summary'!$F$17</f>
        <v>0</v>
      </c>
      <c r="N19" s="540"/>
    </row>
    <row r="20" spans="1:14" x14ac:dyDescent="0.35">
      <c r="A20" s="6" t="s">
        <v>501</v>
      </c>
      <c r="B20" s="7" t="str">
        <f>'[3]Maintainability Score Summary'!$B$18</f>
        <v>Roof</v>
      </c>
      <c r="C20" s="381">
        <f>'[3]Maintainability Score Summary'!$E$18</f>
        <v>2</v>
      </c>
      <c r="D20" s="381"/>
      <c r="E20" s="381">
        <f t="shared" si="2"/>
        <v>0</v>
      </c>
      <c r="F20" s="381"/>
      <c r="G20" s="285"/>
      <c r="H20" s="262"/>
      <c r="I20" s="262"/>
      <c r="K20" s="540">
        <f>'[3]Maintainability Score Summary'!$F$18</f>
        <v>0</v>
      </c>
      <c r="L20" s="540"/>
      <c r="M20" s="540">
        <f>'[4]Maintainability Score Summary'!$F$18</f>
        <v>0</v>
      </c>
      <c r="N20" s="540"/>
    </row>
    <row r="21" spans="1:14" x14ac:dyDescent="0.35">
      <c r="A21" s="524" t="s">
        <v>502</v>
      </c>
      <c r="B21" s="524" t="s">
        <v>58</v>
      </c>
      <c r="C21" s="525">
        <f>'[3]Maintainability Score Summary'!$E$19</f>
        <v>19</v>
      </c>
      <c r="D21" s="525"/>
      <c r="E21" s="525">
        <f t="shared" si="2"/>
        <v>0</v>
      </c>
      <c r="F21" s="525"/>
      <c r="G21" s="279" t="str">
        <f>IF(OR(G22="",G23="",G24="",G25="",G26="",G27=""),"",SUM(G22:G27))</f>
        <v/>
      </c>
      <c r="H21" s="262"/>
      <c r="I21" s="262"/>
      <c r="K21" s="548">
        <f>'[3]Maintainability Score Summary'!$F$19</f>
        <v>0</v>
      </c>
      <c r="L21" s="525"/>
      <c r="M21" s="548">
        <f>'[4]Maintainability Score Summary'!$F$19</f>
        <v>0</v>
      </c>
      <c r="N21" s="525"/>
    </row>
    <row r="22" spans="1:14" x14ac:dyDescent="0.35">
      <c r="A22" s="6">
        <v>2.1</v>
      </c>
      <c r="B22" s="9" t="str">
        <f>'[3]Maintainability Score Summary'!$B$20</f>
        <v>Floors</v>
      </c>
      <c r="C22" s="381">
        <f>'[3]Maintainability Score Summary'!$E$20</f>
        <v>2.5</v>
      </c>
      <c r="D22" s="381"/>
      <c r="E22" s="381">
        <f t="shared" si="2"/>
        <v>0</v>
      </c>
      <c r="F22" s="381"/>
      <c r="G22" s="285"/>
      <c r="H22" s="262"/>
      <c r="I22" s="262"/>
      <c r="K22" s="540">
        <f>'[3]Maintainability Score Summary'!$F$20</f>
        <v>0</v>
      </c>
      <c r="L22" s="381"/>
      <c r="M22" s="540">
        <f>'[4]Maintainability Score Summary'!$F$20</f>
        <v>0</v>
      </c>
      <c r="N22" s="381"/>
    </row>
    <row r="23" spans="1:14" x14ac:dyDescent="0.35">
      <c r="A23" s="6">
        <v>2.2000000000000002</v>
      </c>
      <c r="B23" s="9" t="str">
        <f>'[3]Maintainability Score Summary'!$B$21</f>
        <v>Walls and Partitions</v>
      </c>
      <c r="C23" s="381">
        <f>'[3]Maintainability Score Summary'!$E$21</f>
        <v>1</v>
      </c>
      <c r="D23" s="381"/>
      <c r="E23" s="381">
        <f t="shared" si="2"/>
        <v>0</v>
      </c>
      <c r="F23" s="381"/>
      <c r="G23" s="285"/>
      <c r="H23" s="262"/>
      <c r="I23" s="262"/>
      <c r="K23" s="540">
        <f>'[3]Maintainability Score Summary'!$F$21</f>
        <v>0</v>
      </c>
      <c r="L23" s="381"/>
      <c r="M23" s="540">
        <f>'[4]Maintainability Score Summary'!$F$21</f>
        <v>0</v>
      </c>
      <c r="N23" s="381"/>
    </row>
    <row r="24" spans="1:14" x14ac:dyDescent="0.35">
      <c r="A24" s="6">
        <v>2.2999999999999998</v>
      </c>
      <c r="B24" s="9" t="str">
        <f>'[3]Maintainability Score Summary'!$B$22</f>
        <v>Ceiling</v>
      </c>
      <c r="C24" s="381">
        <f>'[3]Maintainability Score Summary'!$E$22</f>
        <v>4.5</v>
      </c>
      <c r="D24" s="381"/>
      <c r="E24" s="381">
        <f t="shared" si="2"/>
        <v>0</v>
      </c>
      <c r="F24" s="381"/>
      <c r="G24" s="285"/>
      <c r="H24" s="262"/>
      <c r="I24" s="262"/>
      <c r="K24" s="540">
        <f>'[3]Maintainability Score Summary'!$F$22</f>
        <v>0</v>
      </c>
      <c r="L24" s="381"/>
      <c r="M24" s="540">
        <f>'[4]Maintainability Score Summary'!$F$22</f>
        <v>0</v>
      </c>
      <c r="N24" s="381"/>
    </row>
    <row r="25" spans="1:14" x14ac:dyDescent="0.35">
      <c r="A25" s="6">
        <v>2.4</v>
      </c>
      <c r="B25" s="9" t="str">
        <f>'[3]Maintainability Score Summary'!$B$23</f>
        <v>Wet Rooms and Storage</v>
      </c>
      <c r="C25" s="381">
        <f>'[3]Maintainability Score Summary'!$E$23</f>
        <v>8</v>
      </c>
      <c r="D25" s="381"/>
      <c r="E25" s="381">
        <f t="shared" si="2"/>
        <v>0</v>
      </c>
      <c r="F25" s="381"/>
      <c r="G25" s="285"/>
      <c r="H25" s="262"/>
      <c r="I25" s="262"/>
      <c r="K25" s="540">
        <f>'[3]Maintainability Score Summary'!$F$23</f>
        <v>0</v>
      </c>
      <c r="L25" s="381"/>
      <c r="M25" s="540">
        <f>'[4]Maintainability Score Summary'!$F$23</f>
        <v>0</v>
      </c>
      <c r="N25" s="381"/>
    </row>
    <row r="26" spans="1:14" x14ac:dyDescent="0.35">
      <c r="A26" s="6">
        <v>2.5</v>
      </c>
      <c r="B26" s="9" t="str">
        <f>'[3]Maintainability Score Summary'!$B$24</f>
        <v>Basements</v>
      </c>
      <c r="C26" s="381">
        <f>'[3]Maintainability Score Summary'!$E$24</f>
        <v>1</v>
      </c>
      <c r="D26" s="381"/>
      <c r="E26" s="381">
        <f t="shared" si="2"/>
        <v>0</v>
      </c>
      <c r="F26" s="381"/>
      <c r="G26" s="285"/>
      <c r="H26" s="262"/>
      <c r="I26" s="262"/>
      <c r="K26" s="540">
        <f>'[3]Maintainability Score Summary'!$F$24</f>
        <v>0</v>
      </c>
      <c r="L26" s="381"/>
      <c r="M26" s="540">
        <f>'[4]Maintainability Score Summary'!$F$24</f>
        <v>0</v>
      </c>
      <c r="N26" s="381"/>
    </row>
    <row r="27" spans="1:14" x14ac:dyDescent="0.35">
      <c r="A27" s="6">
        <v>2.6</v>
      </c>
      <c r="B27" s="9" t="str">
        <f>'[3]Maintainability Score Summary'!$B$25</f>
        <v>Loading Bay/ Back of House Service Areas</v>
      </c>
      <c r="C27" s="381">
        <f>'[3]Maintainability Score Summary'!$E$25</f>
        <v>2</v>
      </c>
      <c r="D27" s="381"/>
      <c r="E27" s="381">
        <f t="shared" si="2"/>
        <v>0</v>
      </c>
      <c r="F27" s="381"/>
      <c r="G27" s="285"/>
      <c r="H27" s="262"/>
      <c r="I27" s="262"/>
      <c r="K27" s="540">
        <f>'[3]Maintainability Score Summary'!$F$25</f>
        <v>0</v>
      </c>
      <c r="L27" s="381"/>
      <c r="M27" s="540">
        <f>'[4]Maintainability Score Summary'!$F$25</f>
        <v>0</v>
      </c>
      <c r="N27" s="381"/>
    </row>
    <row r="28" spans="1:14" x14ac:dyDescent="0.35">
      <c r="A28" s="524" t="s">
        <v>503</v>
      </c>
      <c r="B28" s="524"/>
      <c r="C28" s="525">
        <f>'[3]Maintainability Score Summary'!$E$26</f>
        <v>26.5</v>
      </c>
      <c r="D28" s="525"/>
      <c r="E28" s="525">
        <f t="shared" si="2"/>
        <v>0</v>
      </c>
      <c r="F28" s="525"/>
      <c r="G28" s="279" t="str">
        <f>IF(OR(G29="",G32=""),"",G29+G32)</f>
        <v/>
      </c>
      <c r="H28" s="262"/>
      <c r="I28" s="262"/>
      <c r="K28" s="548">
        <f>'[3]Maintainability Score Summary'!$F$26</f>
        <v>0</v>
      </c>
      <c r="L28" s="525"/>
      <c r="M28" s="548">
        <f>'[4]Maintainability Score Summary'!$F$26</f>
        <v>0</v>
      </c>
      <c r="N28" s="525"/>
    </row>
    <row r="29" spans="1:14" x14ac:dyDescent="0.35">
      <c r="A29" s="521" t="str">
        <f>'[3]Maintainability Score Summary'!$A$27</f>
        <v>Part A - Cooling Systems</v>
      </c>
      <c r="B29" s="522"/>
      <c r="C29" s="523">
        <f>'[3]Maintainability Score Summary'!$E$27</f>
        <v>13.5</v>
      </c>
      <c r="D29" s="523"/>
      <c r="E29" s="523">
        <f t="shared" si="2"/>
        <v>0</v>
      </c>
      <c r="F29" s="523"/>
      <c r="G29" s="281" t="str">
        <f>IF(OR(G30="",G31=""),"",SUM(G30:G31))</f>
        <v/>
      </c>
      <c r="H29" s="262"/>
      <c r="I29" s="262"/>
      <c r="K29" s="549">
        <f>'[3]Maintainability Score Summary'!$F$27</f>
        <v>0</v>
      </c>
      <c r="L29" s="523"/>
      <c r="M29" s="549">
        <f>'[4]Maintainability Score Summary'!$F$27</f>
        <v>0</v>
      </c>
      <c r="N29" s="523"/>
    </row>
    <row r="30" spans="1:14" x14ac:dyDescent="0.35">
      <c r="A30" s="6">
        <v>3.1</v>
      </c>
      <c r="B30" s="9" t="str">
        <f>'[3]Maintainability Score Summary'!$B$28</f>
        <v>Chiller Plant</v>
      </c>
      <c r="C30" s="381">
        <f>'[3]Maintainability Score Summary'!$E$28</f>
        <v>13.5</v>
      </c>
      <c r="D30" s="381"/>
      <c r="E30" s="381">
        <f t="shared" si="2"/>
        <v>0</v>
      </c>
      <c r="F30" s="381"/>
      <c r="G30" s="285"/>
      <c r="H30" s="262"/>
      <c r="I30" s="262"/>
      <c r="K30" s="540">
        <f>'[3]Maintainability Score Summary'!$F$28</f>
        <v>0</v>
      </c>
      <c r="L30" s="381"/>
      <c r="M30" s="540">
        <f>'[4]Maintainability Score Summary'!$F$28</f>
        <v>0</v>
      </c>
      <c r="N30" s="381"/>
    </row>
    <row r="31" spans="1:14" x14ac:dyDescent="0.35">
      <c r="A31" s="6">
        <v>3.2</v>
      </c>
      <c r="B31" s="9" t="str">
        <f>'[3]Maintainability Score Summary'!$B$29</f>
        <v>VRF</v>
      </c>
      <c r="C31" s="381">
        <f>'[3]Maintainability Score Summary'!$E$29</f>
        <v>1.5</v>
      </c>
      <c r="D31" s="381"/>
      <c r="E31" s="381">
        <f t="shared" si="2"/>
        <v>0</v>
      </c>
      <c r="F31" s="381"/>
      <c r="G31" s="285"/>
      <c r="H31" s="262"/>
      <c r="I31" s="262"/>
      <c r="K31" s="540">
        <f>'[3]Maintainability Score Summary'!$F$29</f>
        <v>0</v>
      </c>
      <c r="L31" s="381"/>
      <c r="M31" s="540">
        <f>'[4]Maintainability Score Summary'!$F$29</f>
        <v>0</v>
      </c>
      <c r="N31" s="381"/>
    </row>
    <row r="32" spans="1:14" x14ac:dyDescent="0.35">
      <c r="A32" s="521" t="str">
        <f>'[3]Maintainability Score Summary'!$A$30</f>
        <v>Part B - Other systems</v>
      </c>
      <c r="B32" s="522"/>
      <c r="C32" s="523">
        <f>'[3]Maintainability Score Summary'!$E$30</f>
        <v>13</v>
      </c>
      <c r="D32" s="523"/>
      <c r="E32" s="523">
        <f t="shared" si="2"/>
        <v>0</v>
      </c>
      <c r="F32" s="523"/>
      <c r="G32" s="281" t="str">
        <f>IF(OR(G33="",G34="",G35="",G36=""),"",SUM(G33:G36))</f>
        <v/>
      </c>
      <c r="H32" s="262"/>
      <c r="I32" s="262"/>
      <c r="K32" s="549">
        <f>'[3]Maintainability Score Summary'!$F$30</f>
        <v>0</v>
      </c>
      <c r="L32" s="523"/>
      <c r="M32" s="549">
        <f>'[4]Maintainability Score Summary'!$F$30</f>
        <v>0</v>
      </c>
      <c r="N32" s="523"/>
    </row>
    <row r="33" spans="1:14" x14ac:dyDescent="0.35">
      <c r="A33" s="6">
        <v>3.3</v>
      </c>
      <c r="B33" s="9" t="str">
        <f>'[3]Maintainability Score Summary'!$B$31</f>
        <v>Air Distribution System</v>
      </c>
      <c r="C33" s="381">
        <f>'[3]Maintainability Score Summary'!$E$31</f>
        <v>8</v>
      </c>
      <c r="D33" s="381"/>
      <c r="E33" s="381">
        <f t="shared" si="2"/>
        <v>0</v>
      </c>
      <c r="F33" s="381"/>
      <c r="G33" s="285"/>
      <c r="H33" s="262"/>
      <c r="I33" s="262"/>
      <c r="K33" s="540">
        <f>'[3]Maintainability Score Summary'!$F$31</f>
        <v>0</v>
      </c>
      <c r="L33" s="381"/>
      <c r="M33" s="540">
        <f>'[4]Maintainability Score Summary'!$F$31</f>
        <v>0</v>
      </c>
      <c r="N33" s="381"/>
    </row>
    <row r="34" spans="1:14" x14ac:dyDescent="0.35">
      <c r="A34" s="6">
        <v>3.4</v>
      </c>
      <c r="B34" s="9" t="str">
        <f>'[3]Maintainability Score Summary'!$B$32</f>
        <v>Domestic Water Supply</v>
      </c>
      <c r="C34" s="381">
        <f>'[3]Maintainability Score Summary'!$E$32</f>
        <v>0.5</v>
      </c>
      <c r="D34" s="381"/>
      <c r="E34" s="381">
        <f t="shared" si="2"/>
        <v>0</v>
      </c>
      <c r="F34" s="381"/>
      <c r="G34" s="285"/>
      <c r="H34" s="262"/>
      <c r="I34" s="262"/>
      <c r="K34" s="540">
        <f>'[3]Maintainability Score Summary'!$F$32</f>
        <v>0</v>
      </c>
      <c r="L34" s="381"/>
      <c r="M34" s="540">
        <f>'[4]Maintainability Score Summary'!$F$32</f>
        <v>0</v>
      </c>
      <c r="N34" s="381"/>
    </row>
    <row r="35" spans="1:14" x14ac:dyDescent="0.35">
      <c r="A35" s="6">
        <v>3.5</v>
      </c>
      <c r="B35" s="9" t="str">
        <f>'[3]Maintainability Score Summary'!$B$33</f>
        <v>Sanitary System</v>
      </c>
      <c r="C35" s="381">
        <f>'[3]Maintainability Score Summary'!$E$33</f>
        <v>1.5</v>
      </c>
      <c r="D35" s="381"/>
      <c r="E35" s="381">
        <f t="shared" si="2"/>
        <v>0</v>
      </c>
      <c r="F35" s="381"/>
      <c r="G35" s="285"/>
      <c r="H35" s="262"/>
      <c r="I35" s="262"/>
      <c r="K35" s="540">
        <f>'[3]Maintainability Score Summary'!$F$33</f>
        <v>0</v>
      </c>
      <c r="L35" s="381"/>
      <c r="M35" s="540">
        <f>'[4]Maintainability Score Summary'!$F$33</f>
        <v>0</v>
      </c>
      <c r="N35" s="381"/>
    </row>
    <row r="36" spans="1:14" x14ac:dyDescent="0.35">
      <c r="A36" s="6">
        <v>3.6</v>
      </c>
      <c r="B36" s="9" t="str">
        <f>'[3]Maintainability Score Summary'!$B$34</f>
        <v>Fire Protection System</v>
      </c>
      <c r="C36" s="381">
        <f>'[3]Maintainability Score Summary'!$E$34</f>
        <v>3</v>
      </c>
      <c r="D36" s="381"/>
      <c r="E36" s="381">
        <f t="shared" si="2"/>
        <v>0</v>
      </c>
      <c r="F36" s="381"/>
      <c r="G36" s="285"/>
      <c r="H36" s="262"/>
      <c r="I36" s="262"/>
      <c r="K36" s="540">
        <f>'[3]Maintainability Score Summary'!$F$34</f>
        <v>0</v>
      </c>
      <c r="L36" s="381"/>
      <c r="M36" s="540">
        <f>'[4]Maintainability Score Summary'!$F$34</f>
        <v>0</v>
      </c>
      <c r="N36" s="381"/>
    </row>
    <row r="37" spans="1:14" x14ac:dyDescent="0.35">
      <c r="A37" s="524" t="s">
        <v>504</v>
      </c>
      <c r="B37" s="524" t="s">
        <v>477</v>
      </c>
      <c r="C37" s="525">
        <f>'[3]Maintainability Score Summary'!$E$35</f>
        <v>11</v>
      </c>
      <c r="D37" s="525"/>
      <c r="E37" s="525">
        <f t="shared" si="2"/>
        <v>0</v>
      </c>
      <c r="F37" s="525"/>
      <c r="G37" s="279" t="str">
        <f>IF(OR(G38="",G39="",G40="",G41="",G42=""),"",SUM(G38:G42))</f>
        <v/>
      </c>
      <c r="H37" s="262"/>
      <c r="I37" s="262"/>
      <c r="K37" s="548">
        <f>'[3]Maintainability Score Summary'!$F$35</f>
        <v>0</v>
      </c>
      <c r="L37" s="525"/>
      <c r="M37" s="548">
        <f>'[4]Maintainability Score Summary'!$F$35</f>
        <v>0</v>
      </c>
      <c r="N37" s="525"/>
    </row>
    <row r="38" spans="1:14" x14ac:dyDescent="0.35">
      <c r="A38" s="6">
        <v>4.0999999999999996</v>
      </c>
      <c r="B38" s="9" t="str">
        <f>'[3]Maintainability Score Summary'!$B$36</f>
        <v>Lighting System</v>
      </c>
      <c r="C38" s="381">
        <f>'[3]Maintainability Score Summary'!$E$36</f>
        <v>2.5</v>
      </c>
      <c r="D38" s="381"/>
      <c r="E38" s="381">
        <f t="shared" si="2"/>
        <v>0</v>
      </c>
      <c r="F38" s="381"/>
      <c r="G38" s="285"/>
      <c r="H38" s="262"/>
      <c r="I38" s="262"/>
      <c r="K38" s="540">
        <f>'[3]Maintainability Score Summary'!$F$36</f>
        <v>0</v>
      </c>
      <c r="L38" s="381"/>
      <c r="M38" s="540">
        <f>'[4]Maintainability Score Summary'!$F$36</f>
        <v>0</v>
      </c>
      <c r="N38" s="381"/>
    </row>
    <row r="39" spans="1:14" x14ac:dyDescent="0.35">
      <c r="A39" s="6">
        <v>4.2</v>
      </c>
      <c r="B39" s="9" t="str">
        <f>'[3]Maintainability Score Summary'!$B$37</f>
        <v>Power Distribution System</v>
      </c>
      <c r="C39" s="381">
        <f>'[3]Maintainability Score Summary'!$E$37</f>
        <v>2.5</v>
      </c>
      <c r="D39" s="381"/>
      <c r="E39" s="381">
        <f t="shared" si="2"/>
        <v>0</v>
      </c>
      <c r="F39" s="381"/>
      <c r="G39" s="285"/>
      <c r="H39" s="262"/>
      <c r="I39" s="262"/>
      <c r="K39" s="540">
        <f>'[3]Maintainability Score Summary'!$F$37</f>
        <v>0</v>
      </c>
      <c r="L39" s="381"/>
      <c r="M39" s="540">
        <f>'[4]Maintainability Score Summary'!$F$37</f>
        <v>0</v>
      </c>
      <c r="N39" s="381"/>
    </row>
    <row r="40" spans="1:14" x14ac:dyDescent="0.35">
      <c r="A40" s="6">
        <v>4.3</v>
      </c>
      <c r="B40" s="9" t="str">
        <f>'[3]Maintainability Score Summary'!$B$38</f>
        <v>Extra Low Voltage System</v>
      </c>
      <c r="C40" s="381">
        <f>'[3]Maintainability Score Summary'!$E$38</f>
        <v>3.5</v>
      </c>
      <c r="D40" s="381"/>
      <c r="E40" s="381">
        <f t="shared" si="2"/>
        <v>0</v>
      </c>
      <c r="F40" s="381"/>
      <c r="G40" s="285"/>
      <c r="H40" s="262"/>
      <c r="I40" s="262"/>
      <c r="K40" s="540">
        <f>'[3]Maintainability Score Summary'!$F$38</f>
        <v>0</v>
      </c>
      <c r="L40" s="381"/>
      <c r="M40" s="540">
        <f>'[4]Maintainability Score Summary'!$F$38</f>
        <v>0</v>
      </c>
      <c r="N40" s="381"/>
    </row>
    <row r="41" spans="1:14" x14ac:dyDescent="0.35">
      <c r="A41" s="6">
        <v>4.4000000000000004</v>
      </c>
      <c r="B41" s="9" t="str">
        <f>'[3]Maintainability Score Summary'!$B$39</f>
        <v>Lightning Protection System</v>
      </c>
      <c r="C41" s="381">
        <f>'[3]Maintainability Score Summary'!$E$39</f>
        <v>1</v>
      </c>
      <c r="D41" s="381"/>
      <c r="E41" s="381">
        <f t="shared" si="2"/>
        <v>0</v>
      </c>
      <c r="F41" s="381"/>
      <c r="G41" s="285"/>
      <c r="H41" s="262"/>
      <c r="I41" s="262"/>
      <c r="K41" s="540">
        <f>'[3]Maintainability Score Summary'!$F$39</f>
        <v>0</v>
      </c>
      <c r="L41" s="381"/>
      <c r="M41" s="540">
        <f>'[4]Maintainability Score Summary'!$F$39</f>
        <v>0</v>
      </c>
      <c r="N41" s="381"/>
    </row>
    <row r="42" spans="1:14" x14ac:dyDescent="0.35">
      <c r="A42" s="6">
        <v>4.5</v>
      </c>
      <c r="B42" s="9" t="str">
        <f>'[3]Maintainability Score Summary'!$B$40</f>
        <v>Vertical Transportation System</v>
      </c>
      <c r="C42" s="381">
        <f>'[3]Maintainability Score Summary'!$E$40</f>
        <v>1.5</v>
      </c>
      <c r="D42" s="381"/>
      <c r="E42" s="381">
        <f t="shared" si="2"/>
        <v>0</v>
      </c>
      <c r="F42" s="381"/>
      <c r="G42" s="285"/>
      <c r="H42" s="262"/>
      <c r="I42" s="262"/>
      <c r="K42" s="540">
        <f>'[3]Maintainability Score Summary'!$F$40</f>
        <v>0</v>
      </c>
      <c r="L42" s="381"/>
      <c r="M42" s="540">
        <f>'[4]Maintainability Score Summary'!$F$40</f>
        <v>0</v>
      </c>
      <c r="N42" s="381"/>
    </row>
    <row r="43" spans="1:14" x14ac:dyDescent="0.35">
      <c r="A43" s="524" t="s">
        <v>505</v>
      </c>
      <c r="B43" s="524"/>
      <c r="C43" s="525">
        <f>'[3]Maintainability Score Summary'!$L$6</f>
        <v>10.5</v>
      </c>
      <c r="D43" s="525"/>
      <c r="E43" s="525">
        <f t="shared" si="2"/>
        <v>0</v>
      </c>
      <c r="F43" s="525"/>
      <c r="G43" s="279" t="str">
        <f>IF(OR(G44="",G45="",G46="",G47="",G48=""),"",SUM(G44:G48))</f>
        <v/>
      </c>
      <c r="H43" s="262"/>
      <c r="I43" s="262"/>
      <c r="K43" s="548">
        <f>'[3]Maintainability Score Summary'!$M$6</f>
        <v>0</v>
      </c>
      <c r="L43" s="525"/>
      <c r="M43" s="548">
        <f>'[4]Maintainability Score Summary'!$M$6</f>
        <v>0</v>
      </c>
      <c r="N43" s="525"/>
    </row>
    <row r="44" spans="1:14" x14ac:dyDescent="0.35">
      <c r="A44" s="6">
        <v>5.0999999999999996</v>
      </c>
      <c r="B44" s="9" t="str">
        <f>'[3]Maintainability Score Summary'!$I$7</f>
        <v>Softscape</v>
      </c>
      <c r="C44" s="381">
        <f>'[3]Maintainability Score Summary'!$L$7</f>
        <v>2</v>
      </c>
      <c r="D44" s="381"/>
      <c r="E44" s="381">
        <f t="shared" si="2"/>
        <v>0</v>
      </c>
      <c r="F44" s="381"/>
      <c r="G44" s="285"/>
      <c r="H44" s="262"/>
      <c r="I44" s="262"/>
      <c r="K44" s="540">
        <f>'[3]Maintainability Score Summary'!$M$7</f>
        <v>0</v>
      </c>
      <c r="L44" s="381"/>
      <c r="M44" s="540">
        <f>'[4]Maintainability Score Summary'!$M$7</f>
        <v>0</v>
      </c>
      <c r="N44" s="381"/>
    </row>
    <row r="45" spans="1:14" x14ac:dyDescent="0.35">
      <c r="A45" s="6">
        <v>5.2</v>
      </c>
      <c r="B45" s="9" t="str">
        <f>'[3]Maintainability Score Summary'!$I$8</f>
        <v>Hardscape</v>
      </c>
      <c r="C45" s="381">
        <f>'[3]Maintainability Score Summary'!$L$8</f>
        <v>2.5</v>
      </c>
      <c r="D45" s="381"/>
      <c r="E45" s="381">
        <f t="shared" si="2"/>
        <v>0</v>
      </c>
      <c r="F45" s="381"/>
      <c r="G45" s="285"/>
      <c r="H45" s="262"/>
      <c r="I45" s="262"/>
      <c r="K45" s="540">
        <f>'[3]Maintainability Score Summary'!$M$8</f>
        <v>0</v>
      </c>
      <c r="L45" s="381"/>
      <c r="M45" s="540">
        <f>'[4]Maintainability Score Summary'!$M$8</f>
        <v>0</v>
      </c>
      <c r="N45" s="381"/>
    </row>
    <row r="46" spans="1:14" x14ac:dyDescent="0.35">
      <c r="A46" s="6">
        <v>5.3</v>
      </c>
      <c r="B46" s="9" t="str">
        <f>'[3]Maintainability Score Summary'!$I$9</f>
        <v>Vertical Greenery</v>
      </c>
      <c r="C46" s="381">
        <f>'[3]Maintainability Score Summary'!$L$9</f>
        <v>0.5</v>
      </c>
      <c r="D46" s="381"/>
      <c r="E46" s="381">
        <f t="shared" si="2"/>
        <v>0</v>
      </c>
      <c r="F46" s="381"/>
      <c r="G46" s="285"/>
      <c r="H46" s="262"/>
      <c r="I46" s="262"/>
      <c r="K46" s="540">
        <f>'[3]Maintainability Score Summary'!$M$9</f>
        <v>0</v>
      </c>
      <c r="L46" s="381"/>
      <c r="M46" s="540">
        <f>'[4]Maintainability Score Summary'!$M$9</f>
        <v>0</v>
      </c>
      <c r="N46" s="381"/>
    </row>
    <row r="47" spans="1:14" x14ac:dyDescent="0.35">
      <c r="A47" s="6">
        <v>5.4</v>
      </c>
      <c r="B47" s="9" t="str">
        <f>'[3]Maintainability Score Summary'!$I$10</f>
        <v>Roof, Sky Terraces, Planter boxes on building edge/façade</v>
      </c>
      <c r="C47" s="381">
        <f>'[3]Maintainability Score Summary'!$L$10</f>
        <v>3</v>
      </c>
      <c r="D47" s="381"/>
      <c r="E47" s="381">
        <f t="shared" si="2"/>
        <v>0</v>
      </c>
      <c r="F47" s="381"/>
      <c r="G47" s="285"/>
      <c r="H47" s="262"/>
      <c r="I47" s="262"/>
      <c r="K47" s="540">
        <f>'[3]Maintainability Score Summary'!$M$10</f>
        <v>0</v>
      </c>
      <c r="L47" s="381"/>
      <c r="M47" s="540">
        <f>'[4]Maintainability Score Summary'!$M$10</f>
        <v>0</v>
      </c>
      <c r="N47" s="381"/>
    </row>
    <row r="48" spans="1:14" x14ac:dyDescent="0.35">
      <c r="A48" s="6">
        <v>5.5</v>
      </c>
      <c r="B48" s="9" t="str">
        <f>'[3]Maintainability Score Summary'!$I$11</f>
        <v>Standalone Structures</v>
      </c>
      <c r="C48" s="381">
        <f>'[3]Maintainability Score Summary'!$L$11</f>
        <v>2.5</v>
      </c>
      <c r="D48" s="381"/>
      <c r="E48" s="381">
        <f t="shared" si="2"/>
        <v>0</v>
      </c>
      <c r="F48" s="381"/>
      <c r="G48" s="285"/>
      <c r="H48" s="262"/>
      <c r="I48" s="262"/>
      <c r="K48" s="540">
        <f>'[3]Maintainability Score Summary'!$M$11</f>
        <v>0</v>
      </c>
      <c r="L48" s="381"/>
      <c r="M48" s="540">
        <f>'[4]Maintainability Score Summary'!$M$11</f>
        <v>0</v>
      </c>
      <c r="N48" s="381"/>
    </row>
    <row r="49" spans="1:14" x14ac:dyDescent="0.35">
      <c r="A49" s="524" t="s">
        <v>506</v>
      </c>
      <c r="B49" s="524"/>
      <c r="C49" s="525">
        <f>'[3]Maintainability Score Summary'!$L$12</f>
        <v>11</v>
      </c>
      <c r="D49" s="525"/>
      <c r="E49" s="525">
        <f t="shared" si="2"/>
        <v>0</v>
      </c>
      <c r="F49" s="525"/>
      <c r="G49" s="279" t="str">
        <f>IF(OR(G50="",G51=""),"",SUM(G50:G51))</f>
        <v/>
      </c>
      <c r="H49" s="262"/>
      <c r="I49" s="262"/>
      <c r="K49" s="548">
        <f>'[3]Maintainability Score Summary'!$M$12</f>
        <v>0</v>
      </c>
      <c r="L49" s="525"/>
      <c r="M49" s="548">
        <f>'[4]Maintainability Score Summary'!$M$12</f>
        <v>0</v>
      </c>
      <c r="N49" s="525"/>
    </row>
    <row r="50" spans="1:14" x14ac:dyDescent="0.35">
      <c r="A50" s="6">
        <v>6.1</v>
      </c>
      <c r="B50" s="9" t="str">
        <f>'[3]Maintainability Score Summary'!$I$13</f>
        <v>Cybersecurity</v>
      </c>
      <c r="C50" s="381">
        <f>'[3]Maintainability Score Summary'!$L$13</f>
        <v>1</v>
      </c>
      <c r="D50" s="381"/>
      <c r="E50" s="381">
        <f t="shared" si="2"/>
        <v>0</v>
      </c>
      <c r="F50" s="381"/>
      <c r="G50" s="285"/>
      <c r="H50" s="262"/>
      <c r="I50" s="262"/>
      <c r="K50" s="540">
        <f>'[3]Maintainability Score Summary'!$M$13</f>
        <v>0</v>
      </c>
      <c r="L50" s="381"/>
      <c r="M50" s="540">
        <f>'[4]Maintainability Score Summary'!$M$13</f>
        <v>0</v>
      </c>
      <c r="N50" s="381"/>
    </row>
    <row r="51" spans="1:14" x14ac:dyDescent="0.35">
      <c r="A51" s="6">
        <v>6.2</v>
      </c>
      <c r="B51" s="9" t="str">
        <f>'[3]Maintainability Score Summary'!$I$14</f>
        <v>Adoption of Smart FM solutions</v>
      </c>
      <c r="C51" s="381">
        <f>'[3]Maintainability Score Summary'!$L$14</f>
        <v>10</v>
      </c>
      <c r="D51" s="381"/>
      <c r="E51" s="381">
        <f t="shared" si="2"/>
        <v>0</v>
      </c>
      <c r="F51" s="381"/>
      <c r="G51" s="285"/>
      <c r="H51" s="262"/>
      <c r="I51" s="262"/>
      <c r="K51" s="540">
        <f>'[3]Maintainability Score Summary'!$M$14</f>
        <v>0</v>
      </c>
      <c r="L51" s="381"/>
      <c r="M51" s="540">
        <f>'[4]Maintainability Score Summary'!$M$14</f>
        <v>0</v>
      </c>
      <c r="N51" s="381"/>
    </row>
    <row r="52" spans="1:14" x14ac:dyDescent="0.35">
      <c r="A52" s="524" t="s">
        <v>507</v>
      </c>
      <c r="B52" s="524"/>
      <c r="C52" s="525">
        <f>'[3]Maintainability Score Summary'!$L$15</f>
        <v>10.5</v>
      </c>
      <c r="D52" s="525"/>
      <c r="E52" s="525">
        <f t="shared" si="2"/>
        <v>0</v>
      </c>
      <c r="F52" s="525"/>
      <c r="G52" s="279" t="str">
        <f>IF(OR(G53="",G54="",G55="",G56=""),"",SUM(G53:G56))</f>
        <v/>
      </c>
      <c r="H52" s="262"/>
      <c r="I52" s="262"/>
      <c r="K52" s="548">
        <f>'[3]Maintainability Score Summary'!$M$15</f>
        <v>0</v>
      </c>
      <c r="L52" s="525"/>
      <c r="M52" s="548">
        <f>'[4]Maintainability Score Summary'!$M$15</f>
        <v>0</v>
      </c>
      <c r="N52" s="525"/>
    </row>
    <row r="53" spans="1:14" x14ac:dyDescent="0.35">
      <c r="A53" s="6">
        <v>7.1</v>
      </c>
      <c r="B53" s="9" t="str">
        <f>'[3]Maintainability Score Summary'!$I$16</f>
        <v>Central Computer</v>
      </c>
      <c r="C53" s="381">
        <f>'[3]Maintainability Score Summary'!$L$16</f>
        <v>2</v>
      </c>
      <c r="D53" s="381"/>
      <c r="E53" s="381">
        <f t="shared" si="2"/>
        <v>0</v>
      </c>
      <c r="F53" s="381"/>
      <c r="G53" s="285"/>
      <c r="H53" s="262"/>
      <c r="I53" s="262"/>
      <c r="K53" s="540">
        <f>'[3]Maintainability Score Summary'!$M$16</f>
        <v>0</v>
      </c>
      <c r="L53" s="381"/>
      <c r="M53" s="540">
        <f>'[4]Maintainability Score Summary'!$M$16</f>
        <v>0</v>
      </c>
      <c r="N53" s="381"/>
    </row>
    <row r="54" spans="1:14" x14ac:dyDescent="0.35">
      <c r="A54" s="6">
        <v>7.2</v>
      </c>
      <c r="B54" s="9" t="str">
        <f>'[3]Maintainability Score Summary'!$I$17</f>
        <v>Software Integration</v>
      </c>
      <c r="C54" s="381">
        <f>'[3]Maintainability Score Summary'!$L$17</f>
        <v>4</v>
      </c>
      <c r="D54" s="381"/>
      <c r="E54" s="381">
        <f t="shared" si="2"/>
        <v>0</v>
      </c>
      <c r="F54" s="381"/>
      <c r="G54" s="285"/>
      <c r="H54" s="262"/>
      <c r="I54" s="262"/>
      <c r="K54" s="540">
        <f>'[3]Maintainability Score Summary'!$M$17</f>
        <v>0</v>
      </c>
      <c r="L54" s="381"/>
      <c r="M54" s="540">
        <f>'[4]Maintainability Score Summary'!$M$17</f>
        <v>0</v>
      </c>
      <c r="N54" s="381"/>
    </row>
    <row r="55" spans="1:14" x14ac:dyDescent="0.35">
      <c r="A55" s="6">
        <v>7.3</v>
      </c>
      <c r="B55" s="9" t="str">
        <f>'[3]Maintainability Score Summary'!$I$18</f>
        <v>Controllers</v>
      </c>
      <c r="C55" s="381">
        <f>'[3]Maintainability Score Summary'!$L$18</f>
        <v>2.5</v>
      </c>
      <c r="D55" s="381"/>
      <c r="E55" s="381">
        <f t="shared" si="2"/>
        <v>0</v>
      </c>
      <c r="F55" s="381"/>
      <c r="G55" s="285"/>
      <c r="H55" s="262"/>
      <c r="I55" s="262"/>
      <c r="K55" s="540">
        <f>'[3]Maintainability Score Summary'!$M$18</f>
        <v>0</v>
      </c>
      <c r="L55" s="381"/>
      <c r="M55" s="540">
        <f>'[4]Maintainability Score Summary'!$M$18</f>
        <v>0</v>
      </c>
      <c r="N55" s="381"/>
    </row>
    <row r="56" spans="1:14" x14ac:dyDescent="0.35">
      <c r="A56" s="6">
        <v>7.4</v>
      </c>
      <c r="B56" s="9" t="str">
        <f>'[3]Maintainability Score Summary'!$I$19</f>
        <v>Integration with M&amp;E systems</v>
      </c>
      <c r="C56" s="381">
        <f>'[3]Maintainability Score Summary'!$L$19</f>
        <v>2</v>
      </c>
      <c r="D56" s="381"/>
      <c r="E56" s="381">
        <f t="shared" si="2"/>
        <v>0</v>
      </c>
      <c r="F56" s="381"/>
      <c r="G56" s="285"/>
      <c r="H56" s="262"/>
      <c r="I56" s="262"/>
      <c r="K56" s="540">
        <f>'[3]Maintainability Score Summary'!$M$19</f>
        <v>0</v>
      </c>
      <c r="L56" s="381"/>
      <c r="M56" s="540">
        <f>'[4]Maintainability Score Summary'!$M$19</f>
        <v>0</v>
      </c>
      <c r="N56" s="381"/>
    </row>
    <row r="57" spans="1:14" x14ac:dyDescent="0.35">
      <c r="A57" s="524" t="s">
        <v>508</v>
      </c>
      <c r="B57" s="524"/>
      <c r="C57" s="525">
        <f>'[3]Maintainability Score Summary'!$L$20</f>
        <v>12.5</v>
      </c>
      <c r="D57" s="525"/>
      <c r="E57" s="525">
        <f t="shared" si="2"/>
        <v>0</v>
      </c>
      <c r="F57" s="525"/>
      <c r="G57" s="279" t="str">
        <f>IF(OR(G58="",G61=""),"",G58+G61)</f>
        <v/>
      </c>
      <c r="H57" s="262"/>
      <c r="I57" s="262"/>
      <c r="K57" s="548">
        <f>'[3]Maintainability Score Summary'!$M$20</f>
        <v>0</v>
      </c>
      <c r="L57" s="525"/>
      <c r="M57" s="548">
        <f>'[4]Maintainability Score Summary'!$M$20</f>
        <v>0</v>
      </c>
      <c r="N57" s="525"/>
    </row>
    <row r="58" spans="1:14" x14ac:dyDescent="0.35">
      <c r="A58" s="521" t="str">
        <f>'[3]Maintainability Score Summary'!$H$21</f>
        <v>Part A - Asset Management</v>
      </c>
      <c r="B58" s="522"/>
      <c r="C58" s="523">
        <f>'[3]Maintainability Score Summary'!$L$21</f>
        <v>3</v>
      </c>
      <c r="D58" s="523"/>
      <c r="E58" s="523">
        <f t="shared" si="2"/>
        <v>0</v>
      </c>
      <c r="F58" s="523"/>
      <c r="G58" s="281" t="str">
        <f>IF(OR(G59="",G60=""),"",SUM(G59:G60))</f>
        <v/>
      </c>
      <c r="H58" s="262"/>
      <c r="I58" s="262"/>
      <c r="K58" s="549">
        <f>'[3]Maintainability Score Summary'!$M$21</f>
        <v>0</v>
      </c>
      <c r="L58" s="523"/>
      <c r="M58" s="549">
        <f>'[4]Maintainability Score Summary'!$M$21</f>
        <v>0</v>
      </c>
      <c r="N58" s="523"/>
    </row>
    <row r="59" spans="1:14" x14ac:dyDescent="0.35">
      <c r="A59" s="6">
        <v>8.1</v>
      </c>
      <c r="B59" s="9" t="str">
        <f>'[3]Maintainability Score Summary'!$I$22</f>
        <v>Failure Analysis</v>
      </c>
      <c r="C59" s="381">
        <f>'[3]Maintainability Score Summary'!$L$22</f>
        <v>1.5</v>
      </c>
      <c r="D59" s="381"/>
      <c r="E59" s="381">
        <f t="shared" si="2"/>
        <v>0</v>
      </c>
      <c r="F59" s="381"/>
      <c r="G59" s="285"/>
      <c r="H59" s="262"/>
      <c r="I59" s="262"/>
      <c r="K59" s="540">
        <f>'[3]Maintainability Score Summary'!$M$22</f>
        <v>0</v>
      </c>
      <c r="L59" s="381"/>
      <c r="M59" s="540">
        <f>'[4]Maintainability Score Summary'!$M$22</f>
        <v>0</v>
      </c>
      <c r="N59" s="381"/>
    </row>
    <row r="60" spans="1:14" x14ac:dyDescent="0.35">
      <c r="A60" s="6">
        <v>8.1999999999999993</v>
      </c>
      <c r="B60" s="9" t="str">
        <f>'[3]Maintainability Score Summary'!$I$23</f>
        <v>Life Cycle Management</v>
      </c>
      <c r="C60" s="381">
        <f>'[3]Maintainability Score Summary'!$L$23</f>
        <v>1.5</v>
      </c>
      <c r="D60" s="381"/>
      <c r="E60" s="381">
        <f t="shared" si="2"/>
        <v>0</v>
      </c>
      <c r="F60" s="381"/>
      <c r="G60" s="285"/>
      <c r="H60" s="262"/>
      <c r="I60" s="262"/>
      <c r="K60" s="540">
        <f>'[3]Maintainability Score Summary'!$M$23</f>
        <v>0</v>
      </c>
      <c r="L60" s="381"/>
      <c r="M60" s="540">
        <f>'[4]Maintainability Score Summary'!$M$23</f>
        <v>0</v>
      </c>
      <c r="N60" s="381"/>
    </row>
    <row r="61" spans="1:14" x14ac:dyDescent="0.35">
      <c r="A61" s="521" t="str">
        <f>'[3]Maintainability Score Summary'!$H$24</f>
        <v>Part B - Operations Management and Supply Chain Management</v>
      </c>
      <c r="B61" s="522"/>
      <c r="C61" s="523">
        <f>'[3]Maintainability Score Summary'!$L$24</f>
        <v>9.5</v>
      </c>
      <c r="D61" s="523"/>
      <c r="E61" s="523">
        <f t="shared" si="2"/>
        <v>0</v>
      </c>
      <c r="F61" s="523"/>
      <c r="G61" s="281" t="str">
        <f>IF(OR(G62="",G63="",G64="",G65=""),"",SUM(G62:G65))</f>
        <v/>
      </c>
      <c r="H61" s="262"/>
      <c r="I61" s="262"/>
      <c r="K61" s="549">
        <f>'[3]Maintainability Score Summary'!$M$24</f>
        <v>0</v>
      </c>
      <c r="L61" s="523"/>
      <c r="M61" s="549">
        <f>'[4]Maintainability Score Summary'!$M$24</f>
        <v>0</v>
      </c>
      <c r="N61" s="523"/>
    </row>
    <row r="62" spans="1:14" x14ac:dyDescent="0.35">
      <c r="A62" s="6">
        <v>8.3000000000000007</v>
      </c>
      <c r="B62" s="9" t="str">
        <f>'[3]Maintainability Score Summary'!$I$25</f>
        <v>Service Management</v>
      </c>
      <c r="C62" s="381">
        <f>'[3]Maintainability Score Summary'!$L$25</f>
        <v>2.5</v>
      </c>
      <c r="D62" s="381"/>
      <c r="E62" s="381">
        <f t="shared" si="2"/>
        <v>0</v>
      </c>
      <c r="F62" s="381"/>
      <c r="G62" s="285"/>
      <c r="H62" s="262"/>
      <c r="I62" s="262"/>
      <c r="K62" s="540">
        <f>'[3]Maintainability Score Summary'!$M$25</f>
        <v>0</v>
      </c>
      <c r="L62" s="381"/>
      <c r="M62" s="540">
        <f>'[4]Maintainability Score Summary'!$M$25</f>
        <v>0</v>
      </c>
      <c r="N62" s="381"/>
    </row>
    <row r="63" spans="1:14" x14ac:dyDescent="0.35">
      <c r="A63" s="6">
        <v>8.4</v>
      </c>
      <c r="B63" s="9" t="str">
        <f>'[3]Maintainability Score Summary'!$I$26</f>
        <v>Maintenance Management</v>
      </c>
      <c r="C63" s="381">
        <f>'[3]Maintainability Score Summary'!$L$26</f>
        <v>1.5</v>
      </c>
      <c r="D63" s="381"/>
      <c r="E63" s="381">
        <f t="shared" si="2"/>
        <v>0</v>
      </c>
      <c r="F63" s="381"/>
      <c r="G63" s="285"/>
      <c r="H63" s="262"/>
      <c r="I63" s="262"/>
      <c r="K63" s="540">
        <f>'[3]Maintainability Score Summary'!$M$26</f>
        <v>0</v>
      </c>
      <c r="L63" s="381"/>
      <c r="M63" s="540">
        <f>'[4]Maintainability Score Summary'!$M$26</f>
        <v>0</v>
      </c>
      <c r="N63" s="381"/>
    </row>
    <row r="64" spans="1:14" x14ac:dyDescent="0.35">
      <c r="A64" s="6">
        <v>8.5</v>
      </c>
      <c r="B64" s="9" t="str">
        <f>'[3]Maintainability Score Summary'!$I$27</f>
        <v>Other General Services</v>
      </c>
      <c r="C64" s="381">
        <f>'[3]Maintainability Score Summary'!$L$27</f>
        <v>1</v>
      </c>
      <c r="D64" s="381"/>
      <c r="E64" s="381">
        <f t="shared" si="2"/>
        <v>0</v>
      </c>
      <c r="F64" s="381"/>
      <c r="G64" s="285"/>
      <c r="H64" s="262"/>
      <c r="I64" s="262"/>
      <c r="K64" s="540">
        <f>'[3]Maintainability Score Summary'!$M$27</f>
        <v>0</v>
      </c>
      <c r="L64" s="381"/>
      <c r="M64" s="540">
        <f>'[4]Maintainability Score Summary'!$M$27</f>
        <v>0</v>
      </c>
      <c r="N64" s="381"/>
    </row>
    <row r="65" spans="1:14" x14ac:dyDescent="0.35">
      <c r="A65" s="6">
        <v>8.6</v>
      </c>
      <c r="B65" s="9" t="str">
        <f>'[3]Maintainability Score Summary'!$I$28</f>
        <v>Supply Chain Management</v>
      </c>
      <c r="C65" s="381">
        <f>'[3]Maintainability Score Summary'!$L$28</f>
        <v>4.5</v>
      </c>
      <c r="D65" s="381"/>
      <c r="E65" s="381">
        <f t="shared" si="2"/>
        <v>0</v>
      </c>
      <c r="F65" s="381"/>
      <c r="G65" s="285"/>
      <c r="H65" s="262"/>
      <c r="I65" s="262"/>
      <c r="K65" s="540">
        <f>'[3]Maintainability Score Summary'!$M$28</f>
        <v>0</v>
      </c>
      <c r="L65" s="381"/>
      <c r="M65" s="540">
        <f>'[4]Maintainability Score Summary'!$M$28</f>
        <v>0</v>
      </c>
      <c r="N65" s="381"/>
    </row>
    <row r="66" spans="1:14" x14ac:dyDescent="0.35">
      <c r="A66" s="524" t="s">
        <v>509</v>
      </c>
      <c r="B66" s="524"/>
      <c r="C66" s="525">
        <v>3</v>
      </c>
      <c r="D66" s="525"/>
      <c r="E66" s="525">
        <f t="shared" si="2"/>
        <v>0</v>
      </c>
      <c r="F66" s="525"/>
      <c r="G66" s="279" t="str">
        <f>IF(OR(G67="",G68=""),"",SUM(G67:G68))</f>
        <v/>
      </c>
      <c r="H66" s="262"/>
      <c r="I66" s="262"/>
      <c r="K66" s="525">
        <f>SUM(K67:K68)</f>
        <v>0</v>
      </c>
      <c r="L66" s="525"/>
      <c r="M66" s="525">
        <f>SUM(M67:M68)</f>
        <v>0</v>
      </c>
      <c r="N66" s="525"/>
    </row>
    <row r="67" spans="1:14" x14ac:dyDescent="0.35">
      <c r="A67" s="8"/>
      <c r="B67" s="9" t="s">
        <v>510</v>
      </c>
      <c r="C67" s="381">
        <f>'[3]Maintainability Score Summary'!$L$30</f>
        <v>2</v>
      </c>
      <c r="D67" s="381"/>
      <c r="E67" s="381">
        <f t="shared" si="2"/>
        <v>0</v>
      </c>
      <c r="F67" s="381"/>
      <c r="G67" s="285"/>
      <c r="H67" s="262"/>
      <c r="I67" s="262"/>
      <c r="K67" s="540">
        <f>'[3]Maintainability Score Summary'!$M$30</f>
        <v>0</v>
      </c>
      <c r="L67" s="381"/>
      <c r="M67" s="540">
        <f>'[4]Maintainability Score Summary'!$M$30</f>
        <v>0</v>
      </c>
      <c r="N67" s="381"/>
    </row>
    <row r="68" spans="1:14" x14ac:dyDescent="0.35">
      <c r="A68" s="8"/>
      <c r="B68" s="9" t="s">
        <v>511</v>
      </c>
      <c r="C68" s="381">
        <f>'[3]Maintainability Score Summary'!$L$31</f>
        <v>1</v>
      </c>
      <c r="D68" s="381"/>
      <c r="E68" s="381">
        <f t="shared" si="2"/>
        <v>0</v>
      </c>
      <c r="F68" s="381"/>
      <c r="G68" s="285"/>
      <c r="H68" s="262"/>
      <c r="I68" s="262"/>
      <c r="K68" s="540">
        <f>'[3]Maintainability Score Summary'!$M$31</f>
        <v>0</v>
      </c>
      <c r="L68" s="381"/>
      <c r="M68" s="540">
        <f>'[4]Maintainability Score Summary'!$M$31</f>
        <v>0</v>
      </c>
      <c r="N68" s="381"/>
    </row>
    <row r="69" spans="1:14" s="1" customFormat="1" x14ac:dyDescent="0.35">
      <c r="A69" s="14"/>
      <c r="B69" s="16" t="s">
        <v>512</v>
      </c>
      <c r="C69" s="541" t="str">
        <f>IF(J69=0,IF(OR(G57="",G52="",G49="",G43="",G37="",G28="",G21="",G10="",G8=""),"",G57+G52+G49+G43+G37+G28+G21+G10+G8),J69)</f>
        <v/>
      </c>
      <c r="D69" s="542"/>
      <c r="E69" s="542"/>
      <c r="F69" s="542"/>
      <c r="G69" s="543"/>
      <c r="H69" s="262"/>
      <c r="I69" s="287"/>
      <c r="J69" s="289">
        <f>MAX(K69:N69)</f>
        <v>0</v>
      </c>
      <c r="K69" s="516">
        <f>'[3]Maintainability Score Summary'!$K$36</f>
        <v>0</v>
      </c>
      <c r="L69" s="516"/>
      <c r="M69" s="516">
        <f>'[4]Maintainability Score Summary'!$K$36</f>
        <v>0</v>
      </c>
      <c r="N69" s="516"/>
    </row>
    <row r="70" spans="1:14" s="1" customFormat="1" x14ac:dyDescent="0.35">
      <c r="A70" s="14"/>
      <c r="B70" s="16" t="s">
        <v>513</v>
      </c>
      <c r="C70" s="538">
        <f>MAX(K70:N70)</f>
        <v>0</v>
      </c>
      <c r="D70" s="539"/>
      <c r="E70" s="539"/>
      <c r="F70" s="539"/>
      <c r="G70" s="285"/>
      <c r="H70" s="262"/>
      <c r="I70" s="287"/>
      <c r="J70" s="290"/>
      <c r="K70" s="541">
        <f>'[3]Maintainability Score Summary'!$K$38</f>
        <v>0</v>
      </c>
      <c r="L70" s="543"/>
      <c r="M70" s="541">
        <f>'[4]Maintainability Score Summary'!$K$38</f>
        <v>0</v>
      </c>
      <c r="N70" s="543"/>
    </row>
    <row r="71" spans="1:14" s="1" customFormat="1" x14ac:dyDescent="0.35">
      <c r="A71" s="14"/>
      <c r="B71" s="282" t="s">
        <v>514</v>
      </c>
      <c r="C71" s="538">
        <f>MAX(K71:N71)</f>
        <v>0</v>
      </c>
      <c r="D71" s="539"/>
      <c r="E71" s="539"/>
      <c r="F71" s="539"/>
      <c r="G71" s="283" t="str">
        <f>IF(OR(G67="",G68="",C69=""),"",IF(C69=J72,G67+G68,""))</f>
        <v/>
      </c>
      <c r="H71" s="262"/>
      <c r="I71" s="287"/>
      <c r="J71" s="290"/>
      <c r="K71" s="541">
        <f>'[3]Maintainability Score Summary'!$N$36</f>
        <v>0</v>
      </c>
      <c r="L71" s="542"/>
      <c r="M71" s="538">
        <f>'[4]Maintainability Score Summary'!$N$36</f>
        <v>0</v>
      </c>
      <c r="N71" s="538"/>
    </row>
    <row r="72" spans="1:14" s="1" customFormat="1" x14ac:dyDescent="0.35">
      <c r="A72" s="14"/>
      <c r="B72" s="544" t="s">
        <v>515</v>
      </c>
      <c r="C72" s="538" t="s">
        <v>516</v>
      </c>
      <c r="D72" s="538"/>
      <c r="E72" s="546">
        <f>MAX(K72:N72)</f>
        <v>0</v>
      </c>
      <c r="F72" s="546"/>
      <c r="G72" s="283">
        <f>IF(OR(C69="",G66=""),0,IF(C69=J72,(C69/(124-G70))*124,0))</f>
        <v>0</v>
      </c>
      <c r="H72" s="262"/>
      <c r="I72" s="287"/>
      <c r="J72" s="291" t="str">
        <f>IF(OR(G57="",G52="",G49="",G43="",G37="",G28="",G21="",G10="",G8=""),"",G57+G52+G49+G43+G37+G28+G21+G10+G8)</f>
        <v/>
      </c>
      <c r="K72" s="546">
        <f>'[3]Maintainability Score Summary'!$K$39</f>
        <v>0</v>
      </c>
      <c r="L72" s="546"/>
      <c r="M72" s="546">
        <f>'[4]Maintainability Score Summary'!$K$39</f>
        <v>0</v>
      </c>
      <c r="N72" s="546"/>
    </row>
    <row r="73" spans="1:14" s="1" customFormat="1" x14ac:dyDescent="0.35">
      <c r="A73" s="14"/>
      <c r="B73" s="545"/>
      <c r="C73" s="538" t="s">
        <v>517</v>
      </c>
      <c r="D73" s="538"/>
      <c r="E73" s="546">
        <f>MAX(K73:N73)</f>
        <v>0</v>
      </c>
      <c r="F73" s="546"/>
      <c r="G73" s="288">
        <f>IF(OR(G72="",G71=""),0,G72+G71)</f>
        <v>0</v>
      </c>
      <c r="H73" s="262"/>
      <c r="I73" s="287"/>
      <c r="J73" s="290"/>
      <c r="K73" s="546">
        <f>'[3]Maintainability Score Summary'!$M$39</f>
        <v>0</v>
      </c>
      <c r="L73" s="546"/>
      <c r="M73" s="546">
        <f>'[4]Maintainability Score Summary'!$M$39</f>
        <v>0</v>
      </c>
      <c r="N73" s="546"/>
    </row>
    <row r="74" spans="1:14" x14ac:dyDescent="0.35">
      <c r="A74" s="14"/>
      <c r="B74" s="16" t="s">
        <v>518</v>
      </c>
      <c r="C74" s="539" t="str">
        <f>IF(K74="",IF(M74="",K74,M74))</f>
        <v/>
      </c>
      <c r="D74" s="539"/>
      <c r="E74" s="539"/>
      <c r="F74" s="539"/>
      <c r="G74" s="284"/>
      <c r="H74" s="262"/>
      <c r="I74" s="262"/>
      <c r="J74" s="13" t="str">
        <f>IF(AND(C74="",G74=""),"",IF(C74="",G74,C74))</f>
        <v/>
      </c>
      <c r="K74" s="551" t="str">
        <f>'[3]Maintainability Score Summary'!$M$49</f>
        <v/>
      </c>
      <c r="L74" s="552"/>
      <c r="M74" s="551" t="str">
        <f>'[4]Maintainability Score Summary'!$M$49</f>
        <v/>
      </c>
      <c r="N74" s="552"/>
    </row>
    <row r="75" spans="1:14" x14ac:dyDescent="0.35">
      <c r="A75" s="14"/>
      <c r="B75" s="15" t="s">
        <v>519</v>
      </c>
      <c r="C75" s="541">
        <f>IF(J75=0,IF(G73=0,0,IF(G73/6&gt;15,15,G73/6)),J75)</f>
        <v>0</v>
      </c>
      <c r="D75" s="542"/>
      <c r="E75" s="542"/>
      <c r="F75" s="542"/>
      <c r="G75" s="543"/>
      <c r="H75" s="262"/>
      <c r="I75" s="262"/>
      <c r="J75" s="291">
        <f>MAX(K75:N75)</f>
        <v>0</v>
      </c>
      <c r="K75" s="517">
        <f>'[3]Maintainability Score Summary'!$M$43</f>
        <v>0</v>
      </c>
      <c r="L75" s="517"/>
      <c r="M75" s="517">
        <f>'[4]Maintainability Score Summary'!$M$43</f>
        <v>0</v>
      </c>
      <c r="N75" s="517"/>
    </row>
    <row r="76" spans="1:14" x14ac:dyDescent="0.35">
      <c r="A76" s="14"/>
      <c r="B76" s="15" t="s">
        <v>520</v>
      </c>
      <c r="C76" s="547" t="str">
        <f>IF(AND(C75=0,G73=""),"",IF(AND(C75&gt;=10,J74="Y"),"Yes","No"))</f>
        <v>No</v>
      </c>
      <c r="D76" s="547"/>
      <c r="E76" s="547"/>
      <c r="F76" s="547"/>
      <c r="G76" s="547"/>
      <c r="H76" s="262"/>
      <c r="I76" s="262"/>
      <c r="J76" t="str">
        <f>'[3]Maintainability Score Summary'!$M$45</f>
        <v/>
      </c>
    </row>
  </sheetData>
  <sheetProtection formatCells="0" selectLockedCells="1"/>
  <mergeCells count="291">
    <mergeCell ref="M70:N70"/>
    <mergeCell ref="M71:N71"/>
    <mergeCell ref="M72:N72"/>
    <mergeCell ref="M73:N73"/>
    <mergeCell ref="M74:N74"/>
    <mergeCell ref="M60:N60"/>
    <mergeCell ref="M61:N61"/>
    <mergeCell ref="M62:N62"/>
    <mergeCell ref="M63:N63"/>
    <mergeCell ref="M64:N64"/>
    <mergeCell ref="M65:N65"/>
    <mergeCell ref="M66:N66"/>
    <mergeCell ref="M67:N67"/>
    <mergeCell ref="M68:N68"/>
    <mergeCell ref="M51:N51"/>
    <mergeCell ref="M52:N52"/>
    <mergeCell ref="M53:N53"/>
    <mergeCell ref="M54:N54"/>
    <mergeCell ref="M55:N55"/>
    <mergeCell ref="M56:N56"/>
    <mergeCell ref="M57:N57"/>
    <mergeCell ref="M58:N58"/>
    <mergeCell ref="M59:N59"/>
    <mergeCell ref="M42:N42"/>
    <mergeCell ref="M43:N43"/>
    <mergeCell ref="M44:N44"/>
    <mergeCell ref="M45:N45"/>
    <mergeCell ref="M46:N46"/>
    <mergeCell ref="M47:N47"/>
    <mergeCell ref="M48:N48"/>
    <mergeCell ref="M49:N49"/>
    <mergeCell ref="M50:N50"/>
    <mergeCell ref="M33:N33"/>
    <mergeCell ref="M34:N34"/>
    <mergeCell ref="M35:N35"/>
    <mergeCell ref="M36:N36"/>
    <mergeCell ref="M37:N37"/>
    <mergeCell ref="M38:N38"/>
    <mergeCell ref="M39:N39"/>
    <mergeCell ref="M40:N40"/>
    <mergeCell ref="M41:N41"/>
    <mergeCell ref="M24:N24"/>
    <mergeCell ref="M25:N25"/>
    <mergeCell ref="M26:N26"/>
    <mergeCell ref="M27:N27"/>
    <mergeCell ref="M28:N28"/>
    <mergeCell ref="M29:N29"/>
    <mergeCell ref="M30:N30"/>
    <mergeCell ref="M31:N31"/>
    <mergeCell ref="M32:N32"/>
    <mergeCell ref="K72:L72"/>
    <mergeCell ref="K73:L73"/>
    <mergeCell ref="K70:L70"/>
    <mergeCell ref="K71:L71"/>
    <mergeCell ref="K74:L74"/>
    <mergeCell ref="M6:N6"/>
    <mergeCell ref="M7:N7"/>
    <mergeCell ref="M8:N8"/>
    <mergeCell ref="M9:N9"/>
    <mergeCell ref="M10:N10"/>
    <mergeCell ref="M11:N11"/>
    <mergeCell ref="M12:N12"/>
    <mergeCell ref="M13:N13"/>
    <mergeCell ref="M14:N16"/>
    <mergeCell ref="M17:N17"/>
    <mergeCell ref="M18:N18"/>
    <mergeCell ref="M19:N19"/>
    <mergeCell ref="M20:N20"/>
    <mergeCell ref="M21:N21"/>
    <mergeCell ref="M22:N22"/>
    <mergeCell ref="M23:N23"/>
    <mergeCell ref="K62:L62"/>
    <mergeCell ref="K63:L63"/>
    <mergeCell ref="K64:L64"/>
    <mergeCell ref="K65:L65"/>
    <mergeCell ref="K66:L66"/>
    <mergeCell ref="K67:L67"/>
    <mergeCell ref="K68:L68"/>
    <mergeCell ref="K6:L6"/>
    <mergeCell ref="K7:L7"/>
    <mergeCell ref="K8:L8"/>
    <mergeCell ref="K9:L9"/>
    <mergeCell ref="K10:L10"/>
    <mergeCell ref="K11:L11"/>
    <mergeCell ref="K12:L12"/>
    <mergeCell ref="K13:L13"/>
    <mergeCell ref="K14:L16"/>
    <mergeCell ref="K17:L17"/>
    <mergeCell ref="K18:L18"/>
    <mergeCell ref="K19:L19"/>
    <mergeCell ref="K20:L20"/>
    <mergeCell ref="K21:L21"/>
    <mergeCell ref="K22:L22"/>
    <mergeCell ref="K23:L23"/>
    <mergeCell ref="K24:L24"/>
    <mergeCell ref="K53:L53"/>
    <mergeCell ref="K54:L54"/>
    <mergeCell ref="K55:L55"/>
    <mergeCell ref="K56:L56"/>
    <mergeCell ref="K57:L57"/>
    <mergeCell ref="K58:L58"/>
    <mergeCell ref="K59:L59"/>
    <mergeCell ref="K60:L60"/>
    <mergeCell ref="K61:L61"/>
    <mergeCell ref="K44:L44"/>
    <mergeCell ref="K45:L45"/>
    <mergeCell ref="K46:L46"/>
    <mergeCell ref="K47:L47"/>
    <mergeCell ref="K48:L48"/>
    <mergeCell ref="K49:L49"/>
    <mergeCell ref="K50:L50"/>
    <mergeCell ref="K51:L51"/>
    <mergeCell ref="K52:L52"/>
    <mergeCell ref="K35:L35"/>
    <mergeCell ref="K36:L36"/>
    <mergeCell ref="K37:L37"/>
    <mergeCell ref="K38:L38"/>
    <mergeCell ref="K39:L39"/>
    <mergeCell ref="K40:L40"/>
    <mergeCell ref="K41:L41"/>
    <mergeCell ref="K42:L42"/>
    <mergeCell ref="K43:L43"/>
    <mergeCell ref="K26:L26"/>
    <mergeCell ref="K27:L27"/>
    <mergeCell ref="K28:L28"/>
    <mergeCell ref="K29:L29"/>
    <mergeCell ref="K30:L30"/>
    <mergeCell ref="K31:L31"/>
    <mergeCell ref="K32:L32"/>
    <mergeCell ref="K33:L33"/>
    <mergeCell ref="K34:L34"/>
    <mergeCell ref="K25:L25"/>
    <mergeCell ref="C75:G75"/>
    <mergeCell ref="B72:B73"/>
    <mergeCell ref="C72:D72"/>
    <mergeCell ref="C73:D73"/>
    <mergeCell ref="E72:F72"/>
    <mergeCell ref="E73:F73"/>
    <mergeCell ref="C76:G76"/>
    <mergeCell ref="C69:G69"/>
    <mergeCell ref="C71:F71"/>
    <mergeCell ref="E45:F45"/>
    <mergeCell ref="C46:D46"/>
    <mergeCell ref="E46:F46"/>
    <mergeCell ref="E40:F40"/>
    <mergeCell ref="C41:D41"/>
    <mergeCell ref="E41:F41"/>
    <mergeCell ref="C42:D42"/>
    <mergeCell ref="E42:F42"/>
    <mergeCell ref="E43:F43"/>
    <mergeCell ref="E38:F38"/>
    <mergeCell ref="C39:D39"/>
    <mergeCell ref="E39:F39"/>
    <mergeCell ref="E31:F31"/>
    <mergeCell ref="C33:D33"/>
    <mergeCell ref="A3:G3"/>
    <mergeCell ref="A4:G4"/>
    <mergeCell ref="G14:G16"/>
    <mergeCell ref="C68:D68"/>
    <mergeCell ref="E68:F68"/>
    <mergeCell ref="C70:F70"/>
    <mergeCell ref="C74:F74"/>
    <mergeCell ref="C67:D67"/>
    <mergeCell ref="E67:F67"/>
    <mergeCell ref="C66:D66"/>
    <mergeCell ref="E66:F66"/>
    <mergeCell ref="C50:D50"/>
    <mergeCell ref="E50:F50"/>
    <mergeCell ref="C51:D51"/>
    <mergeCell ref="E51:F51"/>
    <mergeCell ref="C47:D47"/>
    <mergeCell ref="E47:F47"/>
    <mergeCell ref="C48:D48"/>
    <mergeCell ref="E48:F48"/>
    <mergeCell ref="C49:D49"/>
    <mergeCell ref="E49:F49"/>
    <mergeCell ref="C44:D44"/>
    <mergeCell ref="E44:F44"/>
    <mergeCell ref="C45:D45"/>
    <mergeCell ref="E33:F33"/>
    <mergeCell ref="C34:D34"/>
    <mergeCell ref="E34:F34"/>
    <mergeCell ref="C35:D35"/>
    <mergeCell ref="E35:F35"/>
    <mergeCell ref="E32:F32"/>
    <mergeCell ref="E6:F6"/>
    <mergeCell ref="E7:F7"/>
    <mergeCell ref="E8:F8"/>
    <mergeCell ref="E10:F10"/>
    <mergeCell ref="E21:F21"/>
    <mergeCell ref="E28:F28"/>
    <mergeCell ref="E11:F11"/>
    <mergeCell ref="E13:F13"/>
    <mergeCell ref="E17:F17"/>
    <mergeCell ref="E14:F16"/>
    <mergeCell ref="E26:F26"/>
    <mergeCell ref="E27:F27"/>
    <mergeCell ref="E9:F9"/>
    <mergeCell ref="E22:F22"/>
    <mergeCell ref="E23:F23"/>
    <mergeCell ref="E24:F24"/>
    <mergeCell ref="E20:F20"/>
    <mergeCell ref="E12:F12"/>
    <mergeCell ref="E18:F18"/>
    <mergeCell ref="E19:F19"/>
    <mergeCell ref="E25:F25"/>
    <mergeCell ref="C6:D6"/>
    <mergeCell ref="C7:D7"/>
    <mergeCell ref="C8:D8"/>
    <mergeCell ref="C9:D9"/>
    <mergeCell ref="C10:D10"/>
    <mergeCell ref="C11:D11"/>
    <mergeCell ref="C13:D13"/>
    <mergeCell ref="C17:D17"/>
    <mergeCell ref="C29:D29"/>
    <mergeCell ref="C26:D26"/>
    <mergeCell ref="C27:D27"/>
    <mergeCell ref="C22:D22"/>
    <mergeCell ref="C23:D23"/>
    <mergeCell ref="C24:D24"/>
    <mergeCell ref="C18:D18"/>
    <mergeCell ref="C19:D19"/>
    <mergeCell ref="C14:D16"/>
    <mergeCell ref="C21:D21"/>
    <mergeCell ref="C25:D25"/>
    <mergeCell ref="A7:B7"/>
    <mergeCell ref="C12:D12"/>
    <mergeCell ref="C20:D20"/>
    <mergeCell ref="A43:B43"/>
    <mergeCell ref="A49:B49"/>
    <mergeCell ref="A66:B66"/>
    <mergeCell ref="C32:D32"/>
    <mergeCell ref="E37:F37"/>
    <mergeCell ref="C37:D37"/>
    <mergeCell ref="C28:D28"/>
    <mergeCell ref="A8:B8"/>
    <mergeCell ref="A10:B10"/>
    <mergeCell ref="A21:B21"/>
    <mergeCell ref="A28:B28"/>
    <mergeCell ref="A37:B37"/>
    <mergeCell ref="C43:D43"/>
    <mergeCell ref="C31:D31"/>
    <mergeCell ref="C36:D36"/>
    <mergeCell ref="C40:D40"/>
    <mergeCell ref="C30:D30"/>
    <mergeCell ref="E30:F30"/>
    <mergeCell ref="E29:F29"/>
    <mergeCell ref="E36:F36"/>
    <mergeCell ref="C38:D38"/>
    <mergeCell ref="A52:B52"/>
    <mergeCell ref="C52:D52"/>
    <mergeCell ref="E52:F52"/>
    <mergeCell ref="C53:D53"/>
    <mergeCell ref="E53:F53"/>
    <mergeCell ref="C54:D54"/>
    <mergeCell ref="E54:F54"/>
    <mergeCell ref="C55:D55"/>
    <mergeCell ref="E55:F55"/>
    <mergeCell ref="C56:D56"/>
    <mergeCell ref="E56:F56"/>
    <mergeCell ref="A57:B57"/>
    <mergeCell ref="C57:D57"/>
    <mergeCell ref="E57:F57"/>
    <mergeCell ref="C58:D58"/>
    <mergeCell ref="E58:F58"/>
    <mergeCell ref="C59:D59"/>
    <mergeCell ref="E59:F59"/>
    <mergeCell ref="K69:L69"/>
    <mergeCell ref="M69:N69"/>
    <mergeCell ref="K75:L75"/>
    <mergeCell ref="M75:N75"/>
    <mergeCell ref="A2:G2"/>
    <mergeCell ref="A11:B11"/>
    <mergeCell ref="A17:B17"/>
    <mergeCell ref="A13:B13"/>
    <mergeCell ref="A29:B29"/>
    <mergeCell ref="A32:B32"/>
    <mergeCell ref="A58:B58"/>
    <mergeCell ref="A61:B61"/>
    <mergeCell ref="C65:D65"/>
    <mergeCell ref="E65:F65"/>
    <mergeCell ref="C60:D60"/>
    <mergeCell ref="E60:F60"/>
    <mergeCell ref="C61:D61"/>
    <mergeCell ref="E61:F61"/>
    <mergeCell ref="C62:D62"/>
    <mergeCell ref="E62:F62"/>
    <mergeCell ref="C63:D63"/>
    <mergeCell ref="E63:F63"/>
    <mergeCell ref="C64:D64"/>
    <mergeCell ref="E64:F64"/>
  </mergeCells>
  <dataValidations count="15">
    <dataValidation type="decimal" allowBlank="1" showInputMessage="1" showErrorMessage="1" sqref="K33:N33 K9:N9 K25:N25" xr:uid="{00000000-0002-0000-0700-000000000000}">
      <formula1>0</formula1>
      <formula2>8</formula2>
    </dataValidation>
    <dataValidation type="decimal" allowBlank="1" showInputMessage="1" showErrorMessage="1" sqref="K42:N42 K35:N35 K27:N27 K31:N31 K59:N60 K63:N63" xr:uid="{00000000-0002-0000-0700-000001000000}">
      <formula1>0</formula1>
      <formula2>1.5</formula2>
    </dataValidation>
    <dataValidation type="decimal" allowBlank="1" showInputMessage="1" showErrorMessage="1" sqref="M14 E14 K54:N54 K14" xr:uid="{00000000-0002-0000-0700-000002000000}">
      <formula1>0</formula1>
      <formula2>4</formula2>
    </dataValidation>
    <dataValidation type="decimal" allowBlank="1" showInputMessage="1" showErrorMessage="1" sqref="K19:N19 K12:N12 K36:N36 K47:N47" xr:uid="{00000000-0002-0000-0700-000003000000}">
      <formula1>0</formula1>
      <formula2>3</formula2>
    </dataValidation>
    <dataValidation type="decimal" allowBlank="1" showInputMessage="1" showErrorMessage="1" sqref="K22:N22 K38:N39 K45:N45 K48:N48 K55:N55 K62:N62" xr:uid="{00000000-0002-0000-0700-000004000000}">
      <formula1>0</formula1>
      <formula2>2.5</formula2>
    </dataValidation>
    <dataValidation type="decimal" allowBlank="1" showInputMessage="1" showErrorMessage="1" sqref="K50:N50 K26:N26 K23:N23 K41:N41 K64:N64 K68:N68" xr:uid="{00000000-0002-0000-0700-000005000000}">
      <formula1>0</formula1>
      <formula2>1</formula2>
    </dataValidation>
    <dataValidation type="decimal" allowBlank="1" showInputMessage="1" showErrorMessage="1" sqref="K29:N29 K58:N58" xr:uid="{00000000-0002-0000-0700-000006000000}">
      <formula1>0</formula1>
      <formula2>9.5</formula2>
    </dataValidation>
    <dataValidation type="decimal" allowBlank="1" showInputMessage="1" showErrorMessage="1" sqref="K20:N20 K44:N44 K53:N53 K56:N56 K67:N67" xr:uid="{00000000-0002-0000-0700-000007000000}">
      <formula1>0</formula1>
      <formula2>2</formula2>
    </dataValidation>
    <dataValidation type="decimal" allowBlank="1" showInputMessage="1" showErrorMessage="1" sqref="K40:N40 K18:N18" xr:uid="{00000000-0002-0000-0700-000008000000}">
      <formula1>0</formula1>
      <formula2>3.5</formula2>
    </dataValidation>
    <dataValidation type="decimal" allowBlank="1" showInputMessage="1" showErrorMessage="1" sqref="K24:N24 K65:N65" xr:uid="{00000000-0002-0000-0700-000009000000}">
      <formula1>0</formula1>
      <formula2>4.5</formula2>
    </dataValidation>
    <dataValidation type="decimal" allowBlank="1" showInputMessage="1" showErrorMessage="1" sqref="K30:N30" xr:uid="{00000000-0002-0000-0700-00000A000000}">
      <formula1>0</formula1>
      <formula2>13.5</formula2>
    </dataValidation>
    <dataValidation type="decimal" allowBlank="1" showInputMessage="1" showErrorMessage="1" sqref="K34:N34 K46:N46" xr:uid="{00000000-0002-0000-0700-00000B000000}">
      <formula1>0</formula1>
      <formula2>0.5</formula2>
    </dataValidation>
    <dataValidation type="decimal" allowBlank="1" showInputMessage="1" showErrorMessage="1" sqref="K51:N51" xr:uid="{00000000-0002-0000-0700-00000C000000}">
      <formula1>0</formula1>
      <formula2>10</formula2>
    </dataValidation>
    <dataValidation type="decimal" allowBlank="1" showInputMessage="1" showErrorMessage="1" sqref="G9 G12 G14:G16 G67:G68 G18:G20 G22:G27 G30:G31 G33:G36 G38:G42 G44:G48 G50:G51 G53:G56 G59:G60 G62:G65" xr:uid="{00000000-0002-0000-0700-00000D000000}">
      <formula1>0</formula1>
      <formula2>C9</formula2>
    </dataValidation>
    <dataValidation type="list" allowBlank="1" showInputMessage="1" showErrorMessage="1" sqref="G74" xr:uid="{00000000-0002-0000-0700-00000E000000}">
      <formula1>"Y,N"</formula1>
    </dataValidation>
  </dataValidations>
  <pageMargins left="0.7" right="0.7" top="0.75" bottom="0.75" header="0.3" footer="0.3"/>
  <pageSetup paperSize="9" scale="63" orientation="portrait" r:id="rId1"/>
  <drawing r:id="rId2"/>
  <legacyDrawing r:id="rId3"/>
  <oleObjects>
    <mc:AlternateContent xmlns:mc="http://schemas.openxmlformats.org/markup-compatibility/2006">
      <mc:Choice Requires="x14">
        <oleObject progId="Worksheet" dvAspect="DVASPECT_ICON" shapeId="5123" r:id="rId4">
          <objectPr defaultSize="0" autoPict="0" r:id="rId5">
            <anchor moveWithCells="1">
              <from>
                <xdr:col>0</xdr:col>
                <xdr:colOff>0</xdr:colOff>
                <xdr:row>2</xdr:row>
                <xdr:rowOff>57150</xdr:rowOff>
              </from>
              <to>
                <xdr:col>1</xdr:col>
                <xdr:colOff>342900</xdr:colOff>
                <xdr:row>2</xdr:row>
                <xdr:rowOff>1047750</xdr:rowOff>
              </to>
            </anchor>
          </objectPr>
        </oleObject>
      </mc:Choice>
      <mc:Fallback>
        <oleObject progId="Worksheet" dvAspect="DVASPECT_ICON" shapeId="512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6AFF2056A95145A6B5C761651A0786" ma:contentTypeVersion="2" ma:contentTypeDescription="Create a new document." ma:contentTypeScope="" ma:versionID="be6f32415e24d8d7e76743ae20546465">
  <xsd:schema xmlns:xsd="http://www.w3.org/2001/XMLSchema" xmlns:xs="http://www.w3.org/2001/XMLSchema" xmlns:p="http://schemas.microsoft.com/office/2006/metadata/properties" xmlns:ns2="0b3cb28a-1a54-47b8-ac26-0dd7a10a3d05" targetNamespace="http://schemas.microsoft.com/office/2006/metadata/properties" ma:root="true" ma:fieldsID="b6f9d39df99d02760627bd46788f5429" ns2:_="">
    <xsd:import namespace="0b3cb28a-1a54-47b8-ac26-0dd7a10a3d0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cb28a-1a54-47b8-ac26-0dd7a10a3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7E9840-37E4-4E0B-BA37-E11C35FB1A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cb28a-1a54-47b8-ac26-0dd7a10a3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215C53-2C22-4219-8C9B-71B7E8AB164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438BA46-8BCF-4149-8A3B-5291AA55F5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Yu Xuan TAN (BCA)</cp:lastModifiedBy>
  <cp:revision/>
  <dcterms:created xsi:type="dcterms:W3CDTF">2021-09-01T03:12:41Z</dcterms:created>
  <dcterms:modified xsi:type="dcterms:W3CDTF">2023-03-10T01:11:48Z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2021-10-19T09:58:21Z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0baf3cdf-1882-40a4-999e-dfa103d921a3</vt:lpwstr>
  </property>
  <property fmtid="{D5CDD505-2E9C-101B-9397-08002B2CF9AE}" pid="8" name="MSIP_Label_5434c4c7-833e-41e4-b0ab-cdb227a2f6f7_ContentBits">
    <vt:lpwstr>0</vt:lpwstr>
  </property>
  <property fmtid="{D5CDD505-2E9C-101B-9397-08002B2CF9AE}" pid="9" name="ContentTypeId">
    <vt:lpwstr>0x010100D16AFF2056A95145A6B5C761651A0786</vt:lpwstr>
  </property>
</Properties>
</file>