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updateLinks="never" defaultThemeVersion="166925"/>
  <mc:AlternateContent xmlns:mc="http://schemas.openxmlformats.org/markup-compatibility/2006">
    <mc:Choice Requires="x15">
      <x15ac:absPath xmlns:x15ac="http://schemas.microsoft.com/office/spreadsheetml/2010/11/ac" url="C:\Users\bca-yuxuan\Desktop\GM2021\Scoresheet\09032023\"/>
    </mc:Choice>
  </mc:AlternateContent>
  <xr:revisionPtr revIDLastSave="0" documentId="8_{164173B7-5C97-4A69-B90B-6D7C9D5C383D}" xr6:coauthVersionLast="47" xr6:coauthVersionMax="47" xr10:uidLastSave="{00000000-0000-0000-0000-000000000000}"/>
  <bookViews>
    <workbookView xWindow="-110" yWindow="-110" windowWidth="19420" windowHeight="10420" tabRatio="632"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Maintainability'!$A$1:$G$68</definedName>
    <definedName name="Step">'[1]Raw Data'!$D$2:$D$4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3" l="1"/>
  <c r="H54" i="3"/>
  <c r="C8" i="1"/>
  <c r="D10" i="1"/>
  <c r="D8" i="1"/>
  <c r="E12" i="16" l="1"/>
  <c r="C49" i="26" l="1"/>
  <c r="K42" i="26"/>
  <c r="K40" i="26"/>
  <c r="K25" i="26"/>
  <c r="K8" i="26"/>
  <c r="C60" i="26"/>
  <c r="C55" i="26"/>
  <c r="C8" i="26"/>
  <c r="K35" i="26"/>
  <c r="C43" i="26"/>
  <c r="M55" i="26"/>
  <c r="M44" i="26"/>
  <c r="M26" i="26"/>
  <c r="M50" i="26"/>
  <c r="M56" i="26"/>
  <c r="M60" i="26"/>
  <c r="M42" i="26"/>
  <c r="M37" i="26"/>
  <c r="M54" i="26"/>
  <c r="M35" i="26"/>
  <c r="M23" i="26"/>
  <c r="M19" i="26"/>
  <c r="E20" i="26"/>
  <c r="E34" i="26"/>
  <c r="E48" i="26"/>
  <c r="M57" i="26"/>
  <c r="M41" i="26"/>
  <c r="M27" i="26"/>
  <c r="K63" i="26"/>
  <c r="K60" i="26"/>
  <c r="K59" i="26"/>
  <c r="K58" i="26"/>
  <c r="K57" i="26"/>
  <c r="K56" i="26"/>
  <c r="K55" i="26"/>
  <c r="K54" i="26"/>
  <c r="K50" i="26"/>
  <c r="K44" i="26"/>
  <c r="K41" i="26"/>
  <c r="K37" i="26"/>
  <c r="K31" i="26"/>
  <c r="K27" i="26"/>
  <c r="K26" i="26"/>
  <c r="K23" i="26"/>
  <c r="K19" i="26"/>
  <c r="K18" i="26"/>
  <c r="K17" i="26"/>
  <c r="B60" i="26"/>
  <c r="C59" i="26"/>
  <c r="B59" i="26"/>
  <c r="C57" i="26"/>
  <c r="B57" i="26"/>
  <c r="C56" i="26"/>
  <c r="B56" i="26"/>
  <c r="B55" i="26"/>
  <c r="C54" i="26"/>
  <c r="B54" i="26"/>
  <c r="C53" i="26"/>
  <c r="B53" i="26"/>
  <c r="A52" i="26"/>
  <c r="C51" i="26"/>
  <c r="B51" i="26"/>
  <c r="C50" i="26"/>
  <c r="B50" i="26"/>
  <c r="B49" i="26"/>
  <c r="C48" i="26"/>
  <c r="B48" i="26"/>
  <c r="C47" i="26"/>
  <c r="B47" i="26"/>
  <c r="B46" i="26"/>
  <c r="A45" i="26"/>
  <c r="C44" i="26"/>
  <c r="B44" i="26"/>
  <c r="B43" i="26"/>
  <c r="C42" i="26"/>
  <c r="B42" i="26"/>
  <c r="C41" i="26"/>
  <c r="B41" i="26"/>
  <c r="C40" i="26"/>
  <c r="B40" i="26"/>
  <c r="B39" i="26"/>
  <c r="A38" i="26"/>
  <c r="C37" i="26"/>
  <c r="B37" i="26"/>
  <c r="C36" i="26"/>
  <c r="B36" i="26"/>
  <c r="C35" i="26"/>
  <c r="B35" i="26"/>
  <c r="C34" i="26"/>
  <c r="B34" i="26"/>
  <c r="B33" i="26"/>
  <c r="A32" i="26"/>
  <c r="C31" i="26"/>
  <c r="B31" i="26"/>
  <c r="B30" i="26"/>
  <c r="C29" i="26"/>
  <c r="A29" i="26"/>
  <c r="A28" i="26"/>
  <c r="C27" i="26"/>
  <c r="B27" i="26"/>
  <c r="C26" i="26"/>
  <c r="B26" i="26"/>
  <c r="C25" i="26"/>
  <c r="B25" i="26"/>
  <c r="C24" i="26"/>
  <c r="B24" i="26"/>
  <c r="C23" i="26"/>
  <c r="B23" i="26"/>
  <c r="B22" i="26"/>
  <c r="A21" i="26"/>
  <c r="C20" i="26"/>
  <c r="B20" i="26"/>
  <c r="C19" i="26"/>
  <c r="B19" i="26"/>
  <c r="C18" i="26"/>
  <c r="B18" i="26"/>
  <c r="A17" i="26"/>
  <c r="B16" i="26"/>
  <c r="B15" i="26"/>
  <c r="C14" i="26"/>
  <c r="B14" i="26"/>
  <c r="C13" i="26"/>
  <c r="A13" i="26"/>
  <c r="B12" i="26"/>
  <c r="A11" i="26"/>
  <c r="A10" i="26"/>
  <c r="B9" i="26"/>
  <c r="A8" i="26"/>
  <c r="G17" i="26"/>
  <c r="G58" i="26"/>
  <c r="E57" i="26" l="1"/>
  <c r="E23" i="26"/>
  <c r="E26" i="26"/>
  <c r="E54" i="26"/>
  <c r="E37" i="26"/>
  <c r="C30" i="26"/>
  <c r="K47" i="26"/>
  <c r="K62" i="26"/>
  <c r="K9" i="26"/>
  <c r="E42" i="26"/>
  <c r="E60" i="26"/>
  <c r="E56" i="26"/>
  <c r="E19" i="26"/>
  <c r="E50" i="26"/>
  <c r="E27" i="26"/>
  <c r="E35" i="26"/>
  <c r="E44" i="26"/>
  <c r="C9" i="26"/>
  <c r="E41" i="26"/>
  <c r="E55" i="26"/>
  <c r="K43" i="26"/>
  <c r="K39" i="26"/>
  <c r="K51" i="26"/>
  <c r="C12" i="26"/>
  <c r="K46" i="26"/>
  <c r="K49" i="26"/>
  <c r="K24" i="26"/>
  <c r="C17" i="26"/>
  <c r="C52" i="26"/>
  <c r="K36" i="26"/>
  <c r="M47" i="26"/>
  <c r="M43" i="26"/>
  <c r="M24" i="26"/>
  <c r="M31" i="26"/>
  <c r="E31" i="26" s="1"/>
  <c r="M51" i="26"/>
  <c r="E51" i="26" s="1"/>
  <c r="M36" i="26"/>
  <c r="M59" i="26"/>
  <c r="E59" i="26" s="1"/>
  <c r="M8" i="26"/>
  <c r="E8" i="26" s="1"/>
  <c r="M40" i="26"/>
  <c r="E40" i="26" s="1"/>
  <c r="M49" i="26"/>
  <c r="G21" i="26"/>
  <c r="G13" i="26"/>
  <c r="G29" i="26"/>
  <c r="G32" i="26"/>
  <c r="G52" i="26"/>
  <c r="G45" i="26"/>
  <c r="G38" i="26"/>
  <c r="G8" i="26"/>
  <c r="G11" i="26"/>
  <c r="E47" i="26" l="1"/>
  <c r="C38" i="26"/>
  <c r="C39" i="26"/>
  <c r="K13" i="26"/>
  <c r="K10" i="26"/>
  <c r="C45" i="26"/>
  <c r="C46" i="26"/>
  <c r="C21" i="26"/>
  <c r="C22" i="26"/>
  <c r="E36" i="26"/>
  <c r="K52" i="26"/>
  <c r="K53" i="26"/>
  <c r="C33" i="26"/>
  <c r="K21" i="26"/>
  <c r="K22" i="26"/>
  <c r="C11" i="26"/>
  <c r="K11" i="26"/>
  <c r="K12" i="26"/>
  <c r="E24" i="26"/>
  <c r="E49" i="26"/>
  <c r="E43" i="26"/>
  <c r="K45" i="26"/>
  <c r="K38" i="26"/>
  <c r="M62" i="26"/>
  <c r="C62" i="26" s="1"/>
  <c r="M45" i="26"/>
  <c r="M38" i="26"/>
  <c r="M17" i="26"/>
  <c r="E17" i="26" s="1"/>
  <c r="M18" i="26"/>
  <c r="E18" i="26" s="1"/>
  <c r="M25" i="26"/>
  <c r="E25" i="26" s="1"/>
  <c r="M9" i="26"/>
  <c r="E9" i="26" s="1"/>
  <c r="M46" i="26"/>
  <c r="E46" i="26" s="1"/>
  <c r="M39" i="26"/>
  <c r="E39" i="26" s="1"/>
  <c r="M11" i="26"/>
  <c r="M12" i="26"/>
  <c r="M58" i="26"/>
  <c r="E58" i="26" s="1"/>
  <c r="M63" i="26"/>
  <c r="C63" i="26" s="1"/>
  <c r="M52" i="26"/>
  <c r="E52" i="26" s="1"/>
  <c r="M53" i="26"/>
  <c r="G10" i="26"/>
  <c r="G28" i="26"/>
  <c r="H34" i="5"/>
  <c r="H33" i="5"/>
  <c r="H31" i="5"/>
  <c r="H30" i="5"/>
  <c r="F22" i="2"/>
  <c r="K14" i="26" l="1"/>
  <c r="E12" i="26"/>
  <c r="E11" i="26"/>
  <c r="E45" i="26"/>
  <c r="E38" i="26"/>
  <c r="C28" i="26"/>
  <c r="C32" i="26"/>
  <c r="C10" i="26"/>
  <c r="E53" i="26"/>
  <c r="K32" i="26"/>
  <c r="K33" i="26"/>
  <c r="M14" i="26"/>
  <c r="E14" i="26" s="1"/>
  <c r="M10" i="26"/>
  <c r="E10" i="26" s="1"/>
  <c r="M13" i="26"/>
  <c r="E13" i="26" s="1"/>
  <c r="M21" i="26"/>
  <c r="E21" i="26" s="1"/>
  <c r="M22" i="26"/>
  <c r="E22" i="26" s="1"/>
  <c r="M32" i="26"/>
  <c r="M33" i="26"/>
  <c r="J64" i="26"/>
  <c r="F20" i="16"/>
  <c r="F19" i="16"/>
  <c r="F21" i="16" s="1"/>
  <c r="E33" i="26" l="1"/>
  <c r="E32" i="26"/>
  <c r="K30" i="26"/>
  <c r="C7" i="26"/>
  <c r="B32" i="1" s="1"/>
  <c r="H26" i="5"/>
  <c r="H35" i="5" s="1"/>
  <c r="K29" i="26" l="1"/>
  <c r="M30" i="26"/>
  <c r="E30" i="26" s="1"/>
  <c r="M61" i="26"/>
  <c r="M29" i="26"/>
  <c r="H52" i="3"/>
  <c r="H10" i="5"/>
  <c r="K28" i="26" l="1"/>
  <c r="E29" i="26"/>
  <c r="M67" i="26"/>
  <c r="M28" i="26"/>
  <c r="H15" i="3"/>
  <c r="H37" i="5"/>
  <c r="E28" i="26" l="1"/>
  <c r="K61" i="26"/>
  <c r="J61" i="26" s="1"/>
  <c r="C61" i="26" s="1"/>
  <c r="G64" i="26" s="1"/>
  <c r="M64" i="26"/>
  <c r="F15" i="2"/>
  <c r="G63" i="26" l="1"/>
  <c r="G65" i="26" s="1"/>
  <c r="K64" i="26"/>
  <c r="E64" i="26" s="1"/>
  <c r="M65" i="26"/>
  <c r="M66" i="26"/>
  <c r="F32" i="2"/>
  <c r="K65" i="26" l="1"/>
  <c r="E65" i="26" s="1"/>
  <c r="C32" i="1" s="1"/>
  <c r="K66" i="26"/>
  <c r="C66" i="26" s="1"/>
  <c r="H60" i="3"/>
  <c r="F29" i="16"/>
  <c r="F30" i="16"/>
  <c r="H92" i="5"/>
  <c r="H91" i="5"/>
  <c r="H90" i="5"/>
  <c r="H82" i="5"/>
  <c r="H79" i="5"/>
  <c r="H78" i="5"/>
  <c r="H73" i="5"/>
  <c r="H69" i="5"/>
  <c r="H68" i="5"/>
  <c r="H67" i="5"/>
  <c r="H62" i="5"/>
  <c r="H58" i="5"/>
  <c r="H57" i="5"/>
  <c r="H56" i="5"/>
  <c r="H52" i="5"/>
  <c r="H51" i="5"/>
  <c r="H50" i="5"/>
  <c r="H49" i="5"/>
  <c r="H44" i="5"/>
  <c r="H43" i="5"/>
  <c r="H42" i="5"/>
  <c r="H39" i="5"/>
  <c r="H38" i="5"/>
  <c r="H6" i="5"/>
  <c r="H7" i="5"/>
  <c r="H20" i="5"/>
  <c r="H22" i="5" s="1"/>
  <c r="H11" i="5"/>
  <c r="H67" i="3"/>
  <c r="H76" i="3"/>
  <c r="H75" i="3"/>
  <c r="H72" i="3"/>
  <c r="H68" i="3"/>
  <c r="H66" i="3"/>
  <c r="H62" i="3"/>
  <c r="H35" i="3"/>
  <c r="H28" i="3"/>
  <c r="H20" i="3"/>
  <c r="H19" i="3"/>
  <c r="H43" i="3"/>
  <c r="K67" i="26" l="1"/>
  <c r="J67" i="26" s="1"/>
  <c r="C67" i="26" s="1"/>
  <c r="D32" i="1" s="1"/>
  <c r="H58" i="3"/>
  <c r="J66" i="26"/>
  <c r="F47" i="16"/>
  <c r="F46" i="16"/>
  <c r="F42" i="16"/>
  <c r="F41" i="16"/>
  <c r="F43" i="16" s="1"/>
  <c r="F37" i="16"/>
  <c r="F36" i="16"/>
  <c r="F35" i="16"/>
  <c r="F31" i="16"/>
  <c r="F32" i="16" s="1"/>
  <c r="F26" i="16"/>
  <c r="F25" i="16"/>
  <c r="F24" i="16"/>
  <c r="F16" i="16"/>
  <c r="F5" i="16"/>
  <c r="F15" i="16"/>
  <c r="F14" i="16"/>
  <c r="F9" i="16"/>
  <c r="F8" i="16"/>
  <c r="F7" i="16"/>
  <c r="F52" i="16"/>
  <c r="F51" i="16"/>
  <c r="F27" i="16" l="1"/>
  <c r="F22" i="16" s="1"/>
  <c r="D28" i="1" s="1"/>
  <c r="F49" i="16"/>
  <c r="F48" i="16"/>
  <c r="C68" i="26"/>
  <c r="D12" i="1" s="1"/>
  <c r="F38" i="16"/>
  <c r="F10" i="16"/>
  <c r="F33" i="16"/>
  <c r="D29" i="1" s="1"/>
  <c r="F17" i="16"/>
  <c r="F3" i="16" l="1"/>
  <c r="F2" i="16" s="1"/>
  <c r="C11" i="1" s="1"/>
  <c r="D11" i="1" s="1"/>
  <c r="D27" i="1" l="1"/>
  <c r="H93" i="5"/>
  <c r="H83" i="5"/>
  <c r="H80" i="5"/>
  <c r="H74" i="5"/>
  <c r="H71" i="5" s="1"/>
  <c r="H70" i="5"/>
  <c r="H63" i="5"/>
  <c r="H59" i="5"/>
  <c r="H53" i="5"/>
  <c r="H12" i="5"/>
  <c r="H8" i="5"/>
  <c r="H40" i="5"/>
  <c r="H3" i="5" s="1"/>
  <c r="H45" i="5"/>
  <c r="H97" i="5"/>
  <c r="H96" i="5"/>
  <c r="H46" i="5" l="1"/>
  <c r="H94" i="5"/>
  <c r="D26" i="1"/>
  <c r="D25" i="1"/>
  <c r="H2" i="5" l="1"/>
  <c r="C10" i="1" s="1"/>
  <c r="D24" i="1"/>
  <c r="H17" i="3"/>
  <c r="H26" i="3"/>
  <c r="H30" i="3"/>
  <c r="H63" i="3"/>
  <c r="H69" i="3"/>
  <c r="H31" i="3" s="1"/>
  <c r="H73" i="3"/>
  <c r="H77" i="3"/>
  <c r="H80" i="3"/>
  <c r="H84" i="3"/>
  <c r="H83" i="3"/>
  <c r="H70" i="3" l="1"/>
  <c r="D23" i="1" s="1"/>
  <c r="D22" i="1"/>
  <c r="H81" i="3"/>
  <c r="H3" i="3"/>
  <c r="I34" i="2"/>
  <c r="I33" i="2"/>
  <c r="I32" i="2"/>
  <c r="F6" i="2"/>
  <c r="F7" i="2"/>
  <c r="F16" i="2"/>
  <c r="F19" i="2"/>
  <c r="F20" i="2" s="1"/>
  <c r="F23" i="2"/>
  <c r="F69" i="2"/>
  <c r="F68" i="2"/>
  <c r="F64" i="2"/>
  <c r="F63" i="2"/>
  <c r="F59" i="2"/>
  <c r="F58" i="2"/>
  <c r="F57" i="2"/>
  <c r="F51" i="2"/>
  <c r="F50" i="2"/>
  <c r="F46" i="2"/>
  <c r="F45" i="2"/>
  <c r="F44" i="2"/>
  <c r="F43" i="2"/>
  <c r="F38" i="2"/>
  <c r="F37" i="2"/>
  <c r="F26" i="2"/>
  <c r="F27" i="2" s="1"/>
  <c r="J34" i="2" l="1"/>
  <c r="F34" i="2"/>
  <c r="F35" i="2" s="1"/>
  <c r="D21" i="1"/>
  <c r="H2" i="3"/>
  <c r="C9" i="1" s="1"/>
  <c r="D9" i="1" s="1"/>
  <c r="F66" i="2"/>
  <c r="F47" i="2"/>
  <c r="F8" i="2"/>
  <c r="F3" i="2" s="1"/>
  <c r="F53" i="2"/>
  <c r="F39" i="2"/>
  <c r="J32" i="2"/>
  <c r="F65" i="2"/>
  <c r="F60" i="2"/>
  <c r="F54" i="2" l="1"/>
  <c r="D20" i="1" s="1"/>
  <c r="D18" i="1"/>
  <c r="F28" i="2"/>
  <c r="D19" i="1" s="1"/>
  <c r="F2" i="2" l="1"/>
  <c r="C12" i="1" l="1"/>
  <c r="C13" i="1" s="1"/>
</calcChain>
</file>

<file path=xl/sharedStrings.xml><?xml version="1.0" encoding="utf-8"?>
<sst xmlns="http://schemas.openxmlformats.org/spreadsheetml/2006/main" count="900" uniqueCount="512">
  <si>
    <t>GM: 2021 - New Non-Residential Buildings</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</si>
  <si>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</si>
  <si>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</si>
  <si>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</si>
  <si>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</si>
  <si>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</si>
  <si>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</si>
  <si>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</si>
  <si>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</si>
  <si>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</si>
  <si>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</si>
  <si>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</si>
  <si>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</si>
  <si>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</si>
  <si>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</si>
  <si>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</si>
  <si>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</si>
  <si>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</si>
  <si>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</si>
  <si>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</si>
  <si>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Reason for Certification</t>
  </si>
  <si>
    <t>GM 2021 ScoreCard</t>
  </si>
  <si>
    <t>GM Ref No.</t>
  </si>
  <si>
    <t>Project Name:</t>
  </si>
  <si>
    <t>Revision:</t>
  </si>
  <si>
    <t>SUMMARY</t>
  </si>
  <si>
    <t>MAX POINTS</t>
  </si>
  <si>
    <t>SCORING POINTS</t>
  </si>
  <si>
    <t>BADGE</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</si>
  <si>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</si>
  <si>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</si>
  <si>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</si>
  <si>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</si>
  <si>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</si>
  <si>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</si>
  <si>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</si>
  <si>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</si>
  <si>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</si>
  <si>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</si>
  <si>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</si>
  <si>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</si>
  <si>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</si>
  <si>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</si>
  <si>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</si>
  <si>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</si>
  <si>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</si>
  <si>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</si>
  <si>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</si>
  <si>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</si>
  <si>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</si>
  <si>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</si>
  <si>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</si>
  <si>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</si>
  <si>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</si>
  <si>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</si>
  <si>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</si>
  <si>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</si>
  <si>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</si>
  <si>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</si>
  <si>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</si>
  <si>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</si>
  <si>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</si>
  <si>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</si>
  <si>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</si>
  <si>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</si>
  <si>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</si>
  <si>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</si>
  <si>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</si>
  <si>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</si>
  <si>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</si>
  <si>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PATHWAY 1 - EUI</t>
  </si>
  <si>
    <t>Energy Usage Intensity</t>
  </si>
  <si>
    <t>Input (#)</t>
  </si>
  <si>
    <t>PATHWAY 2 - FIXED METRICS</t>
  </si>
  <si>
    <t>(i)</t>
  </si>
  <si>
    <t>Reduced Heat Gain (ETTV)</t>
  </si>
  <si>
    <t>(ii)</t>
  </si>
  <si>
    <t>Non AC Areas</t>
  </si>
  <si>
    <t>Input (%)</t>
  </si>
  <si>
    <t>(iii)</t>
  </si>
  <si>
    <t>a) ACMV TSE</t>
  </si>
  <si>
    <t>b) ACMV (Unitary)</t>
  </si>
  <si>
    <t>Three Phase (no. of ticks)</t>
  </si>
  <si>
    <t>Single Phase (no. of ticks)</t>
  </si>
  <si>
    <t>(iv)</t>
  </si>
  <si>
    <t>Lighting Power Budget</t>
  </si>
  <si>
    <t>(v)</t>
  </si>
  <si>
    <t xml:space="preserve">Mechanical Ventilation </t>
  </si>
  <si>
    <t>(vi)</t>
  </si>
  <si>
    <t>Integrated Energy Management &amp; control Systems</t>
  </si>
  <si>
    <t>a) Lighting controls provided in accordance with SS 530: 2014 Code of Practice for Energy Efficiency Standard for Building Services and Equipment.</t>
  </si>
  <si>
    <t>b) Energy consumption monitoring and benchmarking system</t>
  </si>
  <si>
    <t>c) Automatic controls for the air-conditioning system to respond to  periods of non-use, or reduced heat load.</t>
  </si>
  <si>
    <t>d) A control device shall be installed in every guestroom for the purpose of automatically switching off the lighting and reducing the air conditioning loads when a guestroom is not occupied.</t>
  </si>
  <si>
    <t>(vii)</t>
  </si>
  <si>
    <r>
      <t xml:space="preserve">On-Site Renewables - </t>
    </r>
    <r>
      <rPr>
        <i/>
        <sz val="12"/>
        <color theme="1"/>
        <rFont val="Calibri"/>
        <family val="2"/>
        <scheme val="minor"/>
      </rPr>
      <t>replacement to make up any deficiencies from the above list, with safety factor</t>
    </r>
  </si>
  <si>
    <t>(viii)</t>
  </si>
  <si>
    <r>
      <t xml:space="preserve">Air side efficiency (kW/RT)
</t>
    </r>
    <r>
      <rPr>
        <i/>
        <sz val="12"/>
        <color theme="1"/>
        <rFont val="Calibri"/>
        <family val="2"/>
        <scheme val="minor"/>
      </rPr>
      <t>(for buildings with DCS)</t>
    </r>
  </si>
  <si>
    <t>PATHWAY 3 - ENERGY SAVINGS</t>
  </si>
  <si>
    <t>Saving from BAU (2005 Code)</t>
  </si>
  <si>
    <t>Saving from Current Reference (2005 Code)</t>
  </si>
  <si>
    <t>CRITERIA FOR RESILIENCE SECTION</t>
  </si>
  <si>
    <t>Available points for New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</si>
  <si>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</si>
  <si>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</si>
  <si>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</si>
  <si>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</si>
  <si>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</si>
  <si>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</si>
  <si>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</si>
  <si>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</si>
  <si>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</si>
  <si>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</si>
  <si>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</si>
  <si>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</si>
  <si>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</si>
  <si>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</si>
  <si>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</si>
  <si>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</si>
  <si>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</si>
  <si>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</si>
  <si>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</si>
  <si>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</si>
  <si>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</si>
  <si>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</si>
  <si>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SUB-TOTAL FOR RE 1.1 b</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</si>
  <si>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</si>
  <si>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</si>
  <si>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</si>
  <si>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</si>
  <si>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</si>
  <si>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</si>
  <si>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</si>
  <si>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</si>
  <si>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</si>
  <si>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</si>
  <si>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OR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</si>
  <si>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</si>
  <si>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</si>
  <si>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</si>
  <si>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</si>
  <si>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</si>
  <si>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SUB-TOTAL FOR RE 1.3 (Max 2 pts)</t>
  </si>
  <si>
    <t>RE2</t>
  </si>
  <si>
    <t>MANAGE</t>
  </si>
  <si>
    <t>RE2.1</t>
  </si>
  <si>
    <t>Leadership</t>
  </si>
  <si>
    <t>RE2.1a</t>
  </si>
  <si>
    <t>Project Team</t>
  </si>
  <si>
    <t>Appointment of accredited environmentalist specialists to drive and coordinate the environmental design approach.</t>
  </si>
  <si>
    <t>Sub-total</t>
  </si>
  <si>
    <t>No. of Certified GM AP</t>
  </si>
  <si>
    <t>0.25 pts/GM AP &amp; 0.5 pts /GM AAP 
(Capped at 0.5 pts)</t>
  </si>
  <si>
    <t>Max 0.5 pt</t>
  </si>
  <si>
    <t>No. of Certified GM AAP</t>
  </si>
  <si>
    <t>No. of firms certified under SGBC's SGBS certification or SIFMA's CFMC accreditation scheme.</t>
  </si>
  <si>
    <t>0.25 pts/firm 
(Capped at 0.5 pts)</t>
  </si>
  <si>
    <t>SUB-TOTAL FOR RE 2.1 a (Capped at 1 point)</t>
  </si>
  <si>
    <t>RE2.1b</t>
  </si>
  <si>
    <t>Procurement</t>
  </si>
  <si>
    <r>
      <t xml:space="preserve">Adoption of Sustainable or Green Procurement Policy for:-
- </t>
    </r>
    <r>
      <rPr>
        <b/>
        <sz val="12"/>
        <color theme="1"/>
        <rFont val="Calibri"/>
        <family val="2"/>
        <scheme val="minor"/>
      </rPr>
      <t>New Non-Residential Buildings</t>
    </r>
  </si>
  <si>
    <r>
      <t xml:space="preserve">Adoption of Energy Performance Contract (EPC) by accredited EPC firm for 
- </t>
    </r>
    <r>
      <rPr>
        <b/>
        <sz val="12"/>
        <color theme="1"/>
        <rFont val="Calibri"/>
        <family val="2"/>
        <scheme val="minor"/>
      </rPr>
      <t>New 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</si>
  <si>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</si>
  <si>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</si>
  <si>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</si>
  <si>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</si>
  <si>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</si>
  <si>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</si>
  <si>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</si>
  <si>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</si>
  <si>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</si>
  <si>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</si>
  <si>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 (Capped at 1 point)</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</si>
  <si>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</si>
  <si>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</si>
  <si>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</si>
  <si>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</si>
  <si>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</si>
  <si>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</si>
  <si>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r>
      <rPr>
        <sz val="12"/>
        <rFont val="Calibri"/>
        <family val="2"/>
        <scheme val="minor"/>
      </rPr>
      <t>N.A</t>
    </r>
    <r>
      <rPr>
        <b/>
        <sz val="12"/>
        <rFont val="Calibri"/>
        <family val="2"/>
        <scheme val="minor"/>
      </rPr>
      <t>.</t>
    </r>
  </si>
  <si>
    <t>SUB-TOTAL FOR RE 2.3</t>
  </si>
  <si>
    <t>RE3</t>
  </si>
  <si>
    <t>RESTORE</t>
  </si>
  <si>
    <t>RE3.1</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</si>
  <si>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</si>
  <si>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</si>
  <si>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</si>
  <si>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</si>
  <si>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</si>
  <si>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</si>
  <si>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</si>
  <si>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</si>
  <si>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</si>
  <si>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</si>
  <si>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</si>
  <si>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</si>
  <si>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</si>
  <si>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</si>
  <si>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</si>
  <si>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</si>
  <si>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</si>
  <si>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</si>
  <si>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</si>
  <si>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</si>
  <si>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</si>
  <si>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</si>
  <si>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</si>
  <si>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</si>
  <si>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</si>
  <si>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</si>
  <si>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</si>
  <si>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</si>
  <si>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</si>
  <si>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</si>
  <si>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</si>
  <si>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</si>
  <si>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</si>
  <si>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</si>
  <si>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</si>
  <si>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</si>
  <si>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</si>
  <si>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</si>
  <si>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</si>
  <si>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3 points</t>
  </si>
  <si>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CN1.1(A) will be excluded from scoring under CN 1.1(B)(i) </t>
    </r>
  </si>
  <si>
    <t>SUB-TOTAL FOR CN 1.1a</t>
  </si>
  <si>
    <t>CN1.1b</t>
  </si>
  <si>
    <t>Embodied Carbon Computation</t>
  </si>
  <si>
    <t xml:space="preserve">(i) </t>
  </si>
  <si>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</si>
  <si>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t>Input (#) kg CO2e/m2</t>
  </si>
  <si>
    <t xml:space="preserve">(ii) </t>
  </si>
  <si>
    <t>(a) &gt;10% Reduction from the reference embodied carbon (for Concrete, Glass and Steel)
(b) &gt;30% Reduction from the reference embodied carbon (for Concrete, Glass and Steel)</t>
  </si>
  <si>
    <t>1 point for (a)
2 points for (b)</t>
  </si>
  <si>
    <t>Reference Values
(kgCO2e/m2)</t>
  </si>
  <si>
    <t>Non-Residential</t>
  </si>
  <si>
    <t>Residential</t>
  </si>
  <si>
    <t>Industrial</t>
  </si>
  <si>
    <t>(Reference values based on A1-A4 emissions for superstructure)</t>
  </si>
  <si>
    <t>SUB-TOTAL FOR CN 1.1b</t>
  </si>
  <si>
    <t>CN1.2</t>
  </si>
  <si>
    <t>2030 Transition Plan</t>
  </si>
  <si>
    <t>Develop and publish as 2030 Transition Plan that delineates steps to deliver a net zero carbon building from 2030 for the asset under assessment, based on scope 1 and 2 emissions</t>
  </si>
  <si>
    <t>At least 50% offset of scope 2 emissions offset at the time of verification</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</si>
  <si>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</si>
  <si>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</si>
  <si>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</si>
  <si>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</si>
  <si>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</si>
  <si>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</si>
  <si>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</si>
  <si>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</si>
  <si>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</si>
  <si>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</si>
  <si>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</si>
  <si>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</si>
  <si>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</si>
  <si>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</si>
  <si>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</si>
  <si>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</si>
  <si>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</si>
  <si>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</si>
  <si>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</si>
  <si>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</si>
  <si>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</si>
  <si>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</si>
  <si>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</si>
  <si>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</si>
  <si>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</si>
  <si>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</si>
  <si>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</si>
  <si>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</si>
  <si>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</si>
  <si>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</si>
  <si>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</si>
  <si>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</si>
  <si>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</si>
  <si>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</si>
  <si>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</si>
  <si>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</si>
  <si>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</si>
  <si>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</si>
  <si>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</si>
  <si>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t>To encourage conservation of existing building structure, recovery of demolished building materials for reuse and/or recycling and waste management</t>
  </si>
  <si>
    <t>Existing structures are conserved and not demolished</t>
  </si>
  <si>
    <t>Existing structures are demolished with an enhanced demolition protocol, where a recovery rate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</si>
  <si>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</si>
  <si>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</si>
  <si>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</si>
  <si>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</si>
  <si>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</si>
  <si>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</si>
  <si>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</si>
  <si>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</si>
  <si>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 xml:space="preserve">1 point for (a)
2 points for (b)
3 points for (c)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</si>
  <si>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</si>
  <si>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</si>
  <si>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</si>
  <si>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</si>
  <si>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</si>
  <si>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</si>
  <si>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</si>
  <si>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</si>
  <si>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requires and actively assists the tenants to offset their operational energy through the procurement of renewables, or through the ongoing purchase of certified carbon offsets.
(a) ≥ 30% of tenants (by NLA)
(b) ≥ 60% of tenants (by NLA)
(c) ≥ 90% of tenants (by NLA)</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</si>
  <si>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</si>
  <si>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</si>
  <si>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</si>
  <si>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</si>
  <si>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</si>
  <si>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</si>
  <si>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</si>
  <si>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</si>
  <si>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</si>
  <si>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</si>
  <si>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</si>
  <si>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</si>
  <si>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</si>
  <si>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</si>
  <si>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</si>
  <si>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</si>
  <si>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</si>
  <si>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t>
    </r>
    <r>
      <rPr>
        <sz val="12"/>
        <color theme="1"/>
        <rFont val="Calibri"/>
        <family val="2"/>
        <scheme val="minor"/>
      </rPr>
      <t>(a) at least 50% of floors
(b) all floors with internal staircases</t>
    </r>
  </si>
  <si>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</si>
  <si>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</si>
  <si>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</si>
  <si>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</si>
  <si>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</si>
  <si>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</si>
  <si>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</si>
  <si>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</si>
  <si>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</si>
  <si>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</si>
  <si>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</si>
  <si>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</si>
  <si>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</si>
  <si>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</si>
  <si>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t>A/B</t>
  </si>
  <si>
    <t>1 point for (a)
0.5 points for (b)</t>
  </si>
  <si>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</si>
  <si>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</si>
  <si>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</si>
  <si>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</si>
  <si>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</si>
  <si>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</si>
  <si>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</si>
  <si>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</si>
  <si>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</si>
  <si>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</si>
  <si>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</si>
  <si>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</si>
  <si>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</si>
  <si>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</si>
  <si>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0.5 point</t>
  </si>
  <si>
    <r>
      <t xml:space="preserve">• Depth of Room vs Openings
</t>
    </r>
    <r>
      <rPr>
        <i/>
        <sz val="12"/>
        <color theme="1"/>
        <rFont val="Calibri"/>
        <family val="2"/>
        <scheme val="minor"/>
      </rPr>
      <t xml:space="preserve">A. Single sided ventilation:
the limiting depth(W) for effective ventilation is twice the floor-to-ceiling height (H) [W≤2H]
B. Cross Ventilation:
the limiting depth(W) for effective ventilation is five times the floor-to-ceiling height (H) [W≤5H]
C. Atria/ event space:
Atria to have an effective opening &gt;10% floor area:
Atria can be 1.5x the depth of room (A and B), or up to 2x depth where the use of fixed air movement technologies are employed (e.g. HVLS fans).
</t>
    </r>
    <r>
      <rPr>
        <sz val="12"/>
        <color theme="1"/>
        <rFont val="Calibri"/>
        <family val="2"/>
        <scheme val="minor"/>
      </rPr>
      <t xml:space="preserve">
(a) at least 50% of applicable spaces
(b) at least 70% of applicable spaces</t>
    </r>
  </si>
  <si>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</si>
  <si>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</si>
  <si>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</si>
  <si>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</si>
  <si>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</si>
  <si>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</si>
  <si>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</si>
  <si>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</si>
  <si>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</si>
  <si>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</si>
  <si>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</si>
  <si>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</si>
  <si>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</si>
  <si>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</si>
  <si>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</si>
  <si>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</si>
  <si>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</si>
  <si>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</si>
  <si>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</si>
  <si>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</si>
  <si>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</si>
  <si>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</si>
  <si>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</si>
  <si>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</si>
  <si>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</si>
  <si>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</si>
  <si>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</si>
  <si>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</si>
  <si>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</si>
  <si>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</si>
  <si>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</si>
  <si>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</si>
  <si>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</si>
  <si>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</si>
  <si>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</si>
  <si>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</si>
  <si>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</si>
  <si>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</si>
  <si>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</si>
  <si>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</si>
  <si>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</si>
  <si>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</si>
  <si>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</si>
  <si>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</si>
  <si>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</si>
  <si>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</si>
  <si>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</si>
  <si>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</si>
  <si>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r>
      <t xml:space="preserve">Certification through BCA Universal Design Mark
(A) UDi C Rating
(B) UDi A </t>
    </r>
    <r>
      <rPr>
        <sz val="12"/>
        <color theme="1"/>
        <rFont val="Calibri"/>
        <family val="2"/>
        <scheme val="minor"/>
      </rPr>
      <t xml:space="preserve">or </t>
    </r>
    <r>
      <rPr>
        <i/>
        <sz val="12"/>
        <color theme="1"/>
        <rFont val="Calibri"/>
        <family val="2"/>
        <scheme val="minor"/>
      </rPr>
      <t>B Rating</t>
    </r>
  </si>
  <si>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</si>
  <si>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</si>
  <si>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</si>
  <si>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</si>
  <si>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</si>
  <si>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</si>
  <si>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</si>
  <si>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</si>
  <si>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</si>
  <si>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</si>
  <si>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</si>
  <si>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</si>
  <si>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</si>
  <si>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</si>
  <si>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</si>
  <si>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</si>
  <si>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</si>
  <si>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</si>
  <si>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</si>
  <si>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</si>
  <si>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</si>
  <si>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</si>
  <si>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</si>
  <si>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</si>
  <si>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</si>
  <si>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</si>
  <si>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</si>
  <si>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</si>
  <si>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</si>
  <si>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</si>
  <si>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</si>
  <si>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</si>
  <si>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</si>
  <si>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</si>
  <si>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</si>
  <si>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</si>
  <si>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</si>
  <si>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</si>
  <si>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</si>
  <si>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</si>
  <si>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Common Data Environment for Operations and Maintenance</t>
  </si>
  <si>
    <r>
      <rPr>
        <b/>
        <u/>
        <sz val="12"/>
        <color theme="1"/>
        <rFont val="Calibri"/>
        <family val="2"/>
        <scheme val="minor"/>
      </rPr>
      <t xml:space="preserve">Prerequisite </t>
    </r>
    <r>
      <rPr>
        <sz val="12"/>
        <color theme="1"/>
        <rFont val="Calibri"/>
        <family val="2"/>
        <scheme val="minor"/>
      </rPr>
      <t xml:space="preserve">
Non-residential projects (New and Existing) that submit Green Mark application after 31 May 2023, </t>
    </r>
    <r>
      <rPr>
        <u/>
        <sz val="12"/>
        <color theme="1"/>
        <rFont val="Calibri"/>
        <family val="2"/>
        <scheme val="minor"/>
      </rPr>
      <t>must</t>
    </r>
    <r>
      <rPr>
        <sz val="12"/>
        <color theme="1"/>
        <rFont val="Calibri"/>
        <family val="2"/>
        <scheme val="minor"/>
      </rPr>
      <t xml:space="preserve"> score minimum 1 item from IN1.2 to attain the Intelligence Badge.</t>
    </r>
  </si>
  <si>
    <t>*</t>
  </si>
  <si>
    <t>Is the Green Mark application for the project after 31 May 2023?</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</si>
  <si>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</si>
  <si>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</si>
  <si>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</si>
  <si>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</si>
  <si>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</si>
  <si>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</si>
  <si>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</si>
  <si>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</si>
  <si>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</si>
  <si>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</si>
  <si>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</si>
  <si>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</si>
  <si>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</si>
  <si>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</si>
  <si>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</si>
  <si>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</si>
  <si>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</si>
  <si>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</si>
  <si>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</si>
  <si>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</si>
  <si>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</si>
  <si>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</si>
  <si>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</si>
  <si>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</si>
  <si>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</si>
  <si>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</si>
  <si>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</si>
  <si>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Space - Space utilisation and optimisation to adapt the building to cater for the occupancy, and to optimise the building services and spaces to adapt.</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</si>
  <si>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</si>
  <si>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</si>
  <si>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</si>
  <si>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</si>
  <si>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</si>
  <si>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</si>
  <si>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</si>
  <si>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</si>
  <si>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</si>
  <si>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</si>
  <si>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</si>
  <si>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</si>
  <si>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</si>
  <si>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</si>
  <si>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</si>
  <si>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</si>
  <si>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</si>
  <si>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</si>
  <si>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r>
      <rPr>
        <b/>
        <sz val="16"/>
        <color rgb="FF7030A0"/>
        <rFont val="Calibri"/>
        <family val="2"/>
        <scheme val="minor"/>
      </rPr>
      <t>1) Please ensure that this excel file is named as Green Mark 2021_Scoresheet (NRB).xlsx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</si>
  <si>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t>CRITERIA FOR MAINTAINABILITY SECTION</t>
  </si>
  <si>
    <t>Points Scored from Embedded Scoresheet</t>
  </si>
  <si>
    <t>Manual input of Points</t>
  </si>
  <si>
    <t>1.5</t>
  </si>
  <si>
    <t>1.6</t>
  </si>
  <si>
    <t>1.7</t>
  </si>
  <si>
    <t>Bonus Points</t>
  </si>
  <si>
    <t>TOTAL Maintainability Section Points Scored</t>
  </si>
  <si>
    <t>Maintainability Prorated Points</t>
  </si>
  <si>
    <t>Bonus scored</t>
  </si>
  <si>
    <t>TOTAL Maintainability Section Points Scored After Pro-rating</t>
  </si>
  <si>
    <t>w/o Bonus</t>
  </si>
  <si>
    <t>w Bonus</t>
  </si>
  <si>
    <t>Total No. of Pre-Requisites Not Complied</t>
  </si>
  <si>
    <t>Total Number of Green Mark 2021 Points</t>
  </si>
  <si>
    <t>Attained Maintainability Badge?</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</si>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</sst>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u/>
      <sz val="16"/>
      <color rgb="FF9933FF"/>
      <name val="Calibri"/>
      <family val="2"/>
      <scheme val="minor"/>
    </font>
    <font>
      <b/>
      <sz val="16"/>
      <color rgb="FF9933FF"/>
      <name val="Calibri"/>
      <family val="2"/>
      <scheme val="minor"/>
    </font>
    <font>
      <b/>
      <u/>
      <sz val="16"/>
      <color rgb="FFFFCC99"/>
      <name val="Calibri"/>
      <family val="2"/>
      <scheme val="minor"/>
    </font>
    <font>
      <b/>
      <sz val="16"/>
      <color rgb="FF7030A0"/>
      <name val="Calibri"/>
      <family val="2"/>
      <scheme val="minor"/>
    </font>
    <font>
      <b/>
      <u/>
      <sz val="16"/>
      <color rgb="FF7030A0"/>
      <name val="Calibri"/>
      <family val="2"/>
      <scheme val="minor"/>
    </font>
    <font>
      <b/>
      <sz val="16"/>
      <color theme="5"/>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3" fillId="35" borderId="34" applyNumberFormat="0" applyAlignment="0" applyProtection="0"/>
  </cellStyleXfs>
  <cellXfs count="567">
    <xf numFmtId="0" fontId="0" fillId="0" borderId="0" xfId="0"/>
    <xf numFmtId="0" fontId="11" fillId="12" borderId="1" xfId="0" applyFont="1" applyFill="1" applyBorder="1" applyAlignment="1" applyProtection="1">
      <alignment horizontal="center" vertical="center"/>
      <protection locked="0"/>
    </xf>
    <xf numFmtId="0" fontId="11" fillId="12" borderId="2" xfId="0"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32" borderId="1" xfId="0" applyFont="1" applyFill="1" applyBorder="1" applyAlignment="1" applyProtection="1">
      <alignment horizontal="center" vertical="center"/>
      <protection locked="0"/>
    </xf>
    <xf numFmtId="0" fontId="4" fillId="0" borderId="0" xfId="0" applyFont="1"/>
    <xf numFmtId="0" fontId="0" fillId="0" borderId="0" xfId="0" applyAlignment="1">
      <alignment horizontal="center"/>
    </xf>
    <xf numFmtId="0" fontId="0" fillId="0" borderId="0" xfId="0" applyProtection="1">
      <protection locked="0"/>
    </xf>
    <xf numFmtId="0" fontId="0" fillId="0" borderId="1" xfId="0" applyBorder="1" applyProtection="1">
      <protection locked="0"/>
    </xf>
    <xf numFmtId="0" fontId="7" fillId="0" borderId="1" xfId="0" applyFont="1" applyBorder="1" applyAlignment="1">
      <alignment horizontal="center"/>
    </xf>
    <xf numFmtId="1" fontId="7" fillId="0" borderId="1" xfId="0" applyNumberFormat="1" applyFont="1" applyBorder="1" applyAlignment="1">
      <alignment horizontal="center" vertical="center"/>
    </xf>
    <xf numFmtId="2" fontId="7" fillId="0" borderId="1" xfId="0" applyNumberFormat="1" applyFont="1" applyBorder="1" applyAlignment="1">
      <alignment horizontal="center"/>
    </xf>
    <xf numFmtId="0" fontId="6" fillId="2" borderId="1" xfId="0" applyFont="1" applyFill="1" applyBorder="1" applyAlignment="1">
      <alignment horizontal="center" vertical="center" wrapText="1"/>
    </xf>
    <xf numFmtId="0" fontId="33" fillId="30" borderId="15" xfId="0" applyFont="1" applyFill="1" applyBorder="1" applyAlignment="1">
      <alignment horizontal="left"/>
    </xf>
    <xf numFmtId="0" fontId="33" fillId="30" borderId="0" xfId="0" applyFont="1" applyFill="1" applyAlignment="1">
      <alignment horizontal="left"/>
    </xf>
    <xf numFmtId="0" fontId="33" fillId="30" borderId="27" xfId="0" applyFont="1" applyFill="1" applyBorder="1" applyAlignment="1">
      <alignment horizontal="left"/>
    </xf>
    <xf numFmtId="0" fontId="33" fillId="30" borderId="11" xfId="0" applyFont="1" applyFill="1" applyBorder="1" applyAlignment="1">
      <alignment horizontal="center" wrapText="1"/>
    </xf>
    <xf numFmtId="0" fontId="33" fillId="30" borderId="12" xfId="0" applyFont="1" applyFill="1" applyBorder="1" applyAlignment="1">
      <alignment horizontal="center"/>
    </xf>
    <xf numFmtId="0" fontId="33" fillId="30" borderId="8" xfId="0" applyFont="1" applyFill="1" applyBorder="1" applyAlignment="1">
      <alignment horizontal="center"/>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5" fillId="0" borderId="1" xfId="0" applyFont="1" applyBorder="1" applyAlignment="1" applyProtection="1">
      <alignment vertical="center"/>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7" fillId="0" borderId="0" xfId="0" applyFont="1"/>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1" xfId="0" applyBorder="1"/>
    <xf numFmtId="0" fontId="2" fillId="0" borderId="0" xfId="0" applyFont="1"/>
    <xf numFmtId="0" fontId="3" fillId="0" borderId="0" xfId="0" applyFont="1"/>
    <xf numFmtId="0" fontId="5" fillId="2" borderId="1" xfId="0" applyFont="1" applyFill="1" applyBorder="1" applyAlignment="1">
      <alignment horizontal="center" vertical="center" wrapText="1"/>
    </xf>
    <xf numFmtId="0" fontId="18" fillId="31" borderId="1" xfId="0" applyFont="1" applyFill="1" applyBorder="1" applyAlignment="1">
      <alignment vertical="center"/>
    </xf>
    <xf numFmtId="0" fontId="4" fillId="0" borderId="1" xfId="1" applyFont="1" applyBorder="1" applyAlignment="1">
      <alignment horizontal="justify" vertical="center" wrapText="1"/>
    </xf>
    <xf numFmtId="0" fontId="11" fillId="0" borderId="1" xfId="0" applyFont="1" applyBorder="1" applyAlignment="1">
      <alignment horizontal="center" vertical="center"/>
    </xf>
    <xf numFmtId="0" fontId="11" fillId="33" borderId="1" xfId="0" applyFont="1" applyFill="1" applyBorder="1" applyAlignment="1">
      <alignment vertical="center"/>
    </xf>
    <xf numFmtId="0" fontId="10" fillId="33" borderId="1" xfId="0" applyFont="1" applyFill="1" applyBorder="1" applyAlignment="1">
      <alignment vertical="center"/>
    </xf>
    <xf numFmtId="0" fontId="0" fillId="0" borderId="1" xfId="0" applyBorder="1" applyAlignment="1">
      <alignment horizontal="center" vertical="center"/>
    </xf>
    <xf numFmtId="0" fontId="4" fillId="0" borderId="1" xfId="0" applyFont="1" applyBorder="1"/>
    <xf numFmtId="0" fontId="4" fillId="0" borderId="1" xfId="0" applyFont="1" applyBorder="1" applyAlignment="1">
      <alignment vertical="center"/>
    </xf>
    <xf numFmtId="1" fontId="11" fillId="0" borderId="1" xfId="1"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quotePrefix="1" applyFont="1" applyBorder="1" applyAlignment="1">
      <alignment vertical="center" wrapText="1"/>
    </xf>
    <xf numFmtId="0" fontId="4" fillId="0" borderId="1" xfId="0" applyFont="1" applyBorder="1" applyAlignment="1">
      <alignment horizontal="justify" vertical="center" wrapText="1"/>
    </xf>
    <xf numFmtId="1" fontId="11" fillId="32" borderId="1" xfId="1"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0" fillId="15" borderId="1" xfId="0" applyFont="1" applyFill="1" applyBorder="1" applyAlignment="1">
      <alignment horizontal="center" vertical="center"/>
    </xf>
    <xf numFmtId="0" fontId="10" fillId="15"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9" fillId="10" borderId="7" xfId="0" applyFont="1" applyFill="1" applyBorder="1" applyAlignment="1">
      <alignment vertical="center" wrapText="1"/>
    </xf>
    <xf numFmtId="0" fontId="9" fillId="10" borderId="5" xfId="0" applyFont="1" applyFill="1" applyBorder="1" applyAlignment="1">
      <alignment vertical="center" wrapText="1"/>
    </xf>
    <xf numFmtId="0" fontId="9" fillId="10" borderId="5" xfId="0" applyFont="1" applyFill="1" applyBorder="1" applyAlignment="1">
      <alignment horizontal="left" vertical="center" wrapText="1"/>
    </xf>
    <xf numFmtId="0" fontId="4" fillId="10" borderId="5" xfId="0" applyFont="1" applyFill="1" applyBorder="1" applyAlignment="1">
      <alignment vertical="center"/>
    </xf>
    <xf numFmtId="0" fontId="4" fillId="10" borderId="6" xfId="0" applyFont="1" applyFill="1" applyBorder="1" applyAlignment="1">
      <alignment vertical="center"/>
    </xf>
    <xf numFmtId="0" fontId="5" fillId="11" borderId="1" xfId="0" applyFont="1" applyFill="1" applyBorder="1" applyAlignment="1">
      <alignment horizontal="center" vertical="center"/>
    </xf>
    <xf numFmtId="0" fontId="11" fillId="11" borderId="1" xfId="0" applyFont="1" applyFill="1" applyBorder="1" applyAlignment="1">
      <alignment vertical="center" wrapText="1"/>
    </xf>
    <xf numFmtId="0" fontId="11" fillId="11" borderId="6" xfId="0" applyFont="1" applyFill="1" applyBorder="1" applyAlignment="1">
      <alignment vertical="center" wrapText="1"/>
    </xf>
    <xf numFmtId="0" fontId="11" fillId="11" borderId="8" xfId="0" applyFont="1" applyFill="1" applyBorder="1" applyAlignment="1">
      <alignment horizontal="left" vertical="center" wrapText="1"/>
    </xf>
    <xf numFmtId="0" fontId="5" fillId="11" borderId="1" xfId="1" applyFont="1" applyFill="1" applyBorder="1" applyAlignment="1">
      <alignment horizontal="center" vertical="center"/>
    </xf>
    <xf numFmtId="0" fontId="4" fillId="11" borderId="1" xfId="0" applyFont="1" applyFill="1" applyBorder="1" applyAlignment="1">
      <alignment vertical="center"/>
    </xf>
    <xf numFmtId="0" fontId="4" fillId="13" borderId="1" xfId="0" applyFont="1" applyFill="1" applyBorder="1" applyAlignment="1">
      <alignment horizontal="center" vertical="center"/>
    </xf>
    <xf numFmtId="0" fontId="4" fillId="13" borderId="1" xfId="0" applyFont="1" applyFill="1" applyBorder="1" applyAlignment="1">
      <alignment vertical="center"/>
    </xf>
    <xf numFmtId="49" fontId="5" fillId="11" borderId="1" xfId="1" applyNumberFormat="1" applyFont="1" applyFill="1" applyBorder="1" applyAlignment="1">
      <alignment horizontal="center" vertical="center"/>
    </xf>
    <xf numFmtId="0" fontId="5" fillId="11" borderId="1" xfId="1" applyFont="1" applyFill="1" applyBorder="1" applyAlignment="1">
      <alignment vertical="center" wrapText="1"/>
    </xf>
    <xf numFmtId="0" fontId="5" fillId="11" borderId="6" xfId="1" applyFont="1" applyFill="1" applyBorder="1" applyAlignment="1">
      <alignment vertical="center" wrapText="1"/>
    </xf>
    <xf numFmtId="0" fontId="5" fillId="11" borderId="6" xfId="1" applyFont="1" applyFill="1" applyBorder="1" applyAlignment="1">
      <alignment horizontal="left" vertical="center" wrapText="1"/>
    </xf>
    <xf numFmtId="0" fontId="4" fillId="14" borderId="7" xfId="1" applyFont="1" applyFill="1" applyBorder="1" applyAlignment="1">
      <alignment vertical="center" wrapText="1"/>
    </xf>
    <xf numFmtId="0" fontId="4" fillId="34" borderId="1" xfId="1" applyFont="1" applyFill="1" applyBorder="1" applyAlignment="1">
      <alignment vertical="center" wrapText="1"/>
    </xf>
    <xf numFmtId="0" fontId="4" fillId="0" borderId="1" xfId="1" applyFont="1" applyBorder="1" applyAlignment="1">
      <alignment vertical="center" wrapText="1"/>
    </xf>
    <xf numFmtId="0" fontId="4" fillId="14" borderId="1" xfId="1" applyFont="1" applyFill="1" applyBorder="1" applyAlignment="1">
      <alignment vertical="center" wrapText="1"/>
    </xf>
    <xf numFmtId="0" fontId="4" fillId="0" borderId="7" xfId="1" applyFont="1" applyBorder="1" applyAlignment="1">
      <alignment vertical="center" wrapText="1"/>
    </xf>
    <xf numFmtId="0" fontId="4"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1" applyFont="1" applyBorder="1" applyAlignment="1">
      <alignment horizontal="center" vertical="center"/>
    </xf>
    <xf numFmtId="49" fontId="4" fillId="13" borderId="3" xfId="1" applyNumberFormat="1" applyFont="1" applyFill="1" applyBorder="1" applyAlignment="1">
      <alignment horizontal="center" vertical="center"/>
    </xf>
    <xf numFmtId="0" fontId="4" fillId="13" borderId="8" xfId="0" applyFont="1" applyFill="1" applyBorder="1" applyAlignment="1">
      <alignment horizontal="center" vertical="center"/>
    </xf>
    <xf numFmtId="0" fontId="5" fillId="10" borderId="11" xfId="0" applyFont="1" applyFill="1" applyBorder="1" applyAlignment="1">
      <alignment vertical="center"/>
    </xf>
    <xf numFmtId="0" fontId="5" fillId="10" borderId="5" xfId="0" applyFont="1" applyFill="1" applyBorder="1" applyAlignment="1">
      <alignment vertical="center"/>
    </xf>
    <xf numFmtId="0" fontId="5" fillId="10" borderId="5" xfId="0" applyFont="1" applyFill="1" applyBorder="1" applyAlignment="1">
      <alignment horizontal="left" vertical="center"/>
    </xf>
    <xf numFmtId="0" fontId="5" fillId="10" borderId="12" xfId="0" applyFont="1" applyFill="1" applyBorder="1" applyAlignment="1">
      <alignment vertical="center" wrapText="1"/>
    </xf>
    <xf numFmtId="0" fontId="5" fillId="10" borderId="6" xfId="0" applyFont="1" applyFill="1" applyBorder="1" applyAlignment="1">
      <alignment vertical="center" wrapText="1"/>
    </xf>
    <xf numFmtId="0" fontId="5" fillId="11" borderId="1" xfId="0" applyFont="1" applyFill="1" applyBorder="1" applyAlignment="1">
      <alignment vertical="center" wrapText="1"/>
    </xf>
    <xf numFmtId="0" fontId="5" fillId="11" borderId="8" xfId="0" applyFont="1" applyFill="1" applyBorder="1" applyAlignment="1">
      <alignment vertical="center" wrapText="1"/>
    </xf>
    <xf numFmtId="0" fontId="5" fillId="11" borderId="8" xfId="0" applyFont="1" applyFill="1" applyBorder="1" applyAlignment="1">
      <alignment horizontal="left" vertical="center" wrapText="1"/>
    </xf>
    <xf numFmtId="0" fontId="4" fillId="13" borderId="0" xfId="0" applyFont="1" applyFill="1" applyAlignment="1">
      <alignment vertical="center"/>
    </xf>
    <xf numFmtId="0" fontId="4" fillId="13" borderId="6" xfId="0" applyFont="1" applyFill="1" applyBorder="1" applyAlignment="1">
      <alignment vertical="center"/>
    </xf>
    <xf numFmtId="0" fontId="5" fillId="11" borderId="6" xfId="0" applyFont="1" applyFill="1" applyBorder="1" applyAlignment="1">
      <alignment vertical="center" wrapText="1"/>
    </xf>
    <xf numFmtId="0" fontId="5" fillId="11" borderId="6" xfId="0" applyFont="1" applyFill="1" applyBorder="1" applyAlignment="1">
      <alignment horizontal="left" vertical="center" wrapText="1"/>
    </xf>
    <xf numFmtId="0" fontId="4" fillId="0" borderId="3" xfId="0" applyFont="1" applyBorder="1" applyAlignment="1">
      <alignment vertical="center" wrapText="1"/>
    </xf>
    <xf numFmtId="0" fontId="4" fillId="14" borderId="2" xfId="1" applyFont="1" applyFill="1" applyBorder="1" applyAlignment="1">
      <alignment horizontal="center" vertical="center" wrapText="1"/>
    </xf>
    <xf numFmtId="0" fontId="5" fillId="10" borderId="12" xfId="0" applyFont="1" applyFill="1" applyBorder="1" applyAlignment="1">
      <alignment vertical="center"/>
    </xf>
    <xf numFmtId="0" fontId="5" fillId="10" borderId="12" xfId="0" applyFont="1" applyFill="1" applyBorder="1" applyAlignment="1">
      <alignment horizontal="left" vertical="center"/>
    </xf>
    <xf numFmtId="0" fontId="4" fillId="11" borderId="6" xfId="0" applyFont="1" applyFill="1" applyBorder="1" applyAlignment="1">
      <alignment vertical="center"/>
    </xf>
    <xf numFmtId="0" fontId="10" fillId="15" borderId="9" xfId="0" applyFont="1" applyFill="1" applyBorder="1" applyAlignment="1">
      <alignment horizontal="center" vertical="center"/>
    </xf>
    <xf numFmtId="0" fontId="5" fillId="15" borderId="9" xfId="0" applyFont="1" applyFill="1" applyBorder="1" applyAlignment="1">
      <alignment horizontal="center" vertical="center"/>
    </xf>
    <xf numFmtId="0" fontId="5" fillId="10" borderId="1" xfId="2" applyFont="1" applyFill="1" applyBorder="1" applyAlignment="1">
      <alignment horizontal="center" vertical="center"/>
    </xf>
    <xf numFmtId="0" fontId="5" fillId="10" borderId="5" xfId="2" applyFont="1" applyFill="1" applyBorder="1" applyAlignment="1">
      <alignment horizontal="left" vertical="center"/>
    </xf>
    <xf numFmtId="0" fontId="5" fillId="10" borderId="7" xfId="2" applyFont="1" applyFill="1" applyBorder="1" applyAlignment="1">
      <alignment horizontal="center" vertical="center" wrapText="1"/>
    </xf>
    <xf numFmtId="0" fontId="5" fillId="11" borderId="1" xfId="2" applyFont="1" applyFill="1" applyBorder="1" applyAlignment="1">
      <alignment horizontal="center" vertical="center"/>
    </xf>
    <xf numFmtId="0" fontId="5" fillId="11" borderId="1" xfId="2" applyFont="1" applyFill="1" applyBorder="1" applyAlignment="1">
      <alignment vertical="center" wrapText="1"/>
    </xf>
    <xf numFmtId="0" fontId="5" fillId="11" borderId="3" xfId="2" applyFont="1" applyFill="1" applyBorder="1" applyAlignment="1">
      <alignment vertical="center" wrapText="1"/>
    </xf>
    <xf numFmtId="0" fontId="4" fillId="11" borderId="3" xfId="0" applyFont="1" applyFill="1" applyBorder="1" applyAlignment="1">
      <alignment vertical="center"/>
    </xf>
    <xf numFmtId="0" fontId="4" fillId="0" borderId="7" xfId="2" applyFont="1" applyBorder="1" applyAlignment="1">
      <alignment vertical="center" wrapText="1"/>
    </xf>
    <xf numFmtId="0" fontId="4" fillId="34" borderId="1" xfId="2" applyFont="1" applyFill="1" applyBorder="1" applyAlignment="1">
      <alignment vertical="center" wrapText="1"/>
    </xf>
    <xf numFmtId="0" fontId="4" fillId="0" borderId="1" xfId="2" applyFont="1" applyBorder="1" applyAlignment="1">
      <alignmen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0" xfId="0" applyAlignment="1">
      <alignment horizontal="center" vertical="center"/>
    </xf>
    <xf numFmtId="0" fontId="15" fillId="0" borderId="1" xfId="0" applyFont="1" applyBorder="1" applyAlignment="1">
      <alignment horizontal="center" vertical="center"/>
    </xf>
    <xf numFmtId="0" fontId="4" fillId="0" borderId="7" xfId="2" applyFont="1" applyBorder="1" applyAlignment="1">
      <alignment horizontal="center" vertical="center" wrapText="1"/>
    </xf>
    <xf numFmtId="0" fontId="15" fillId="16" borderId="1" xfId="0" applyFont="1" applyFill="1" applyBorder="1" applyAlignment="1">
      <alignment horizontal="center" vertical="center" wrapText="1"/>
    </xf>
    <xf numFmtId="0" fontId="4" fillId="13" borderId="1" xfId="2" applyFont="1" applyFill="1" applyBorder="1" applyAlignment="1">
      <alignment horizontal="center" vertical="center"/>
    </xf>
    <xf numFmtId="0" fontId="5" fillId="11" borderId="1" xfId="2" applyFont="1" applyFill="1" applyBorder="1" applyAlignment="1">
      <alignment horizontal="center" vertical="center" wrapText="1"/>
    </xf>
    <xf numFmtId="0" fontId="4" fillId="0" borderId="3" xfId="2" quotePrefix="1" applyFont="1" applyBorder="1" applyAlignment="1">
      <alignment horizontal="justify" vertical="center" wrapText="1"/>
    </xf>
    <xf numFmtId="0" fontId="4" fillId="0" borderId="1" xfId="2" applyFont="1" applyBorder="1" applyAlignment="1">
      <alignment horizontal="justify" vertical="center" wrapText="1"/>
    </xf>
    <xf numFmtId="0" fontId="4" fillId="13" borderId="9" xfId="0" applyFont="1" applyFill="1" applyBorder="1" applyAlignment="1">
      <alignment vertical="center"/>
    </xf>
    <xf numFmtId="0" fontId="5" fillId="10" borderId="1" xfId="2" applyFont="1" applyFill="1" applyBorder="1" applyAlignment="1">
      <alignment vertical="center"/>
    </xf>
    <xf numFmtId="0" fontId="5" fillId="10" borderId="6" xfId="2" applyFont="1" applyFill="1" applyBorder="1" applyAlignment="1">
      <alignment vertical="center"/>
    </xf>
    <xf numFmtId="0" fontId="11" fillId="11"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0" borderId="2" xfId="2" applyFont="1" applyBorder="1" applyAlignment="1">
      <alignment vertical="center" wrapText="1"/>
    </xf>
    <xf numFmtId="0" fontId="11" fillId="0" borderId="2" xfId="0" applyFont="1" applyBorder="1" applyAlignment="1">
      <alignment horizontal="center" vertical="center"/>
    </xf>
    <xf numFmtId="0" fontId="5" fillId="11" borderId="3" xfId="2" applyFont="1" applyFill="1" applyBorder="1" applyAlignment="1">
      <alignment horizontal="center" vertical="center"/>
    </xf>
    <xf numFmtId="0" fontId="5" fillId="11" borderId="3" xfId="2" applyFont="1" applyFill="1" applyBorder="1" applyAlignment="1">
      <alignment horizontal="justify" vertical="center" wrapText="1"/>
    </xf>
    <xf numFmtId="0" fontId="5" fillId="11" borderId="3" xfId="2" applyFont="1" applyFill="1" applyBorder="1" applyAlignment="1">
      <alignment horizontal="center" vertical="center" wrapText="1"/>
    </xf>
    <xf numFmtId="0" fontId="4" fillId="0" borderId="1" xfId="2" quotePrefix="1" applyFont="1" applyBorder="1" applyAlignment="1">
      <alignment horizontal="justify" vertical="center" wrapText="1"/>
    </xf>
    <xf numFmtId="0" fontId="11" fillId="8" borderId="5" xfId="0" applyFont="1" applyFill="1" applyBorder="1" applyAlignment="1">
      <alignment horizontal="center" vertical="center"/>
    </xf>
    <xf numFmtId="0" fontId="4" fillId="11" borderId="3" xfId="2" applyFont="1" applyFill="1" applyBorder="1" applyAlignment="1">
      <alignment horizontal="center" vertical="center"/>
    </xf>
    <xf numFmtId="0" fontId="4" fillId="11" borderId="3" xfId="2" applyFont="1" applyFill="1" applyBorder="1" applyAlignment="1">
      <alignment vertical="center" wrapText="1"/>
    </xf>
    <xf numFmtId="0" fontId="4" fillId="11" borderId="1" xfId="2" applyFont="1" applyFill="1" applyBorder="1" applyAlignment="1">
      <alignment horizontal="center" vertical="center"/>
    </xf>
    <xf numFmtId="0" fontId="4" fillId="11" borderId="1" xfId="2" applyFont="1" applyFill="1" applyBorder="1" applyAlignment="1">
      <alignment vertical="center" wrapText="1"/>
    </xf>
    <xf numFmtId="0" fontId="11" fillId="11" borderId="1" xfId="2" applyFont="1" applyFill="1" applyBorder="1" applyAlignment="1">
      <alignment horizontal="justify" vertical="center" wrapText="1"/>
    </xf>
    <xf numFmtId="0" fontId="11" fillId="0" borderId="1" xfId="0" applyFont="1" applyBorder="1" applyAlignment="1">
      <alignment horizontal="center" vertical="center" wrapText="1"/>
    </xf>
    <xf numFmtId="0" fontId="4" fillId="0" borderId="1" xfId="0" applyFont="1" applyBorder="1" applyAlignment="1" applyProtection="1">
      <alignment vertical="center"/>
      <protection locked="0"/>
    </xf>
    <xf numFmtId="1" fontId="11" fillId="12"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11" fillId="12"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2"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lignment horizontal="center" vertical="center" wrapText="1"/>
    </xf>
    <xf numFmtId="0" fontId="10" fillId="4" borderId="1" xfId="0" quotePrefix="1" applyFont="1" applyFill="1" applyBorder="1" applyAlignment="1">
      <alignment horizontal="center" vertical="center"/>
    </xf>
    <xf numFmtId="0" fontId="10" fillId="17" borderId="1" xfId="0" applyFont="1" applyFill="1" applyBorder="1" applyAlignment="1">
      <alignment horizontal="center" vertical="center"/>
    </xf>
    <xf numFmtId="164" fontId="10" fillId="17" borderId="5" xfId="0" applyNumberFormat="1" applyFont="1" applyFill="1" applyBorder="1" applyAlignment="1">
      <alignment horizontal="center" vertical="center"/>
    </xf>
    <xf numFmtId="0" fontId="10" fillId="17" borderId="6" xfId="0" applyFont="1" applyFill="1" applyBorder="1" applyAlignment="1">
      <alignment vertical="center"/>
    </xf>
    <xf numFmtId="0" fontId="10" fillId="21" borderId="1" xfId="0" applyFont="1" applyFill="1" applyBorder="1" applyAlignment="1">
      <alignment horizontal="center" vertical="top"/>
    </xf>
    <xf numFmtId="0" fontId="10" fillId="21" borderId="1" xfId="0" applyFont="1" applyFill="1" applyBorder="1" applyAlignment="1">
      <alignment horizontal="center" vertical="center"/>
    </xf>
    <xf numFmtId="0" fontId="5" fillId="20" borderId="1" xfId="0" applyFont="1" applyFill="1" applyBorder="1" applyAlignment="1">
      <alignment horizontal="center" vertical="top"/>
    </xf>
    <xf numFmtId="0" fontId="5" fillId="20" borderId="1" xfId="0" applyFont="1" applyFill="1" applyBorder="1" applyAlignment="1">
      <alignment horizontal="center" vertical="center"/>
    </xf>
    <xf numFmtId="0" fontId="4" fillId="0" borderId="19" xfId="0" applyFont="1" applyBorder="1" applyAlignment="1">
      <alignment horizontal="left" vertical="top"/>
    </xf>
    <xf numFmtId="0" fontId="4" fillId="0" borderId="21" xfId="0" applyFont="1" applyBorder="1" applyAlignment="1">
      <alignment vertical="top"/>
    </xf>
    <xf numFmtId="0" fontId="4" fillId="5" borderId="1" xfId="2" applyFont="1" applyFill="1" applyBorder="1" applyAlignment="1">
      <alignment horizontal="center" vertical="center"/>
    </xf>
    <xf numFmtId="0" fontId="4" fillId="5" borderId="1" xfId="0" applyFont="1" applyFill="1" applyBorder="1" applyAlignment="1">
      <alignment horizontal="center" vertical="top"/>
    </xf>
    <xf numFmtId="0" fontId="5" fillId="0" borderId="1" xfId="0" applyFont="1" applyBorder="1" applyAlignment="1">
      <alignment horizontal="center" vertical="center" wrapText="1"/>
    </xf>
    <xf numFmtId="0" fontId="4" fillId="19" borderId="16" xfId="0" applyFont="1" applyFill="1" applyBorder="1" applyAlignment="1">
      <alignment vertical="top"/>
    </xf>
    <xf numFmtId="0" fontId="5" fillId="19" borderId="17" xfId="0" applyFont="1" applyFill="1" applyBorder="1" applyAlignment="1">
      <alignment horizontal="center" vertical="top" wrapText="1"/>
    </xf>
    <xf numFmtId="0" fontId="4" fillId="0" borderId="23" xfId="0" applyFont="1" applyBorder="1" applyAlignment="1">
      <alignment vertical="top"/>
    </xf>
    <xf numFmtId="0" fontId="4" fillId="0" borderId="18" xfId="0" applyFont="1" applyBorder="1" applyAlignment="1">
      <alignment horizontal="left" vertical="top"/>
    </xf>
    <xf numFmtId="0" fontId="4" fillId="0" borderId="19" xfId="0" applyFont="1" applyBorder="1" applyAlignment="1">
      <alignment horizontal="center"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center" vertical="top"/>
    </xf>
    <xf numFmtId="0" fontId="4" fillId="20" borderId="1" xfId="0" applyFont="1" applyFill="1" applyBorder="1" applyAlignment="1">
      <alignment vertical="center"/>
    </xf>
    <xf numFmtId="0" fontId="4" fillId="20" borderId="1" xfId="0" applyFont="1" applyFill="1" applyBorder="1" applyAlignment="1">
      <alignment horizontal="center" vertical="center"/>
    </xf>
    <xf numFmtId="0" fontId="5" fillId="20" borderId="1" xfId="0" applyFont="1" applyFill="1" applyBorder="1" applyAlignment="1">
      <alignment vertical="center"/>
    </xf>
    <xf numFmtId="0" fontId="0" fillId="20" borderId="1" xfId="0" applyFill="1" applyBorder="1"/>
    <xf numFmtId="0" fontId="5" fillId="0" borderId="1" xfId="0" applyFont="1" applyBorder="1" applyAlignment="1">
      <alignment vertical="center"/>
    </xf>
    <xf numFmtId="0" fontId="5" fillId="19" borderId="17" xfId="0" applyFont="1" applyFill="1" applyBorder="1" applyAlignment="1">
      <alignment horizontal="left" vertical="top" wrapText="1"/>
    </xf>
    <xf numFmtId="0" fontId="22" fillId="0" borderId="21" xfId="0" applyFont="1" applyBorder="1" applyAlignment="1">
      <alignment horizontal="center" vertical="top"/>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0" fillId="21" borderId="2" xfId="0" applyFont="1" applyFill="1" applyBorder="1" applyAlignment="1">
      <alignment horizontal="center" vertical="top"/>
    </xf>
    <xf numFmtId="0" fontId="4" fillId="5" borderId="3" xfId="2" applyFont="1" applyFill="1" applyBorder="1" applyAlignment="1">
      <alignment horizontal="center" vertical="center"/>
    </xf>
    <xf numFmtId="0" fontId="10" fillId="17" borderId="5" xfId="0" applyFont="1" applyFill="1" applyBorder="1" applyAlignment="1">
      <alignment horizontal="center" vertical="center"/>
    </xf>
    <xf numFmtId="0" fontId="4" fillId="0" borderId="10" xfId="0" applyFont="1" applyBorder="1" applyAlignment="1">
      <alignment horizontal="center" vertical="top"/>
    </xf>
    <xf numFmtId="0" fontId="0" fillId="34" borderId="1" xfId="0" applyFill="1" applyBorder="1" applyAlignment="1">
      <alignment horizontal="center" vertical="center"/>
    </xf>
    <xf numFmtId="0" fontId="4" fillId="18"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18" fillId="5" borderId="1" xfId="0"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24" borderId="1" xfId="0" applyFont="1" applyFill="1" applyBorder="1" applyAlignment="1">
      <alignment horizontal="center" vertical="center"/>
    </xf>
    <xf numFmtId="0" fontId="11" fillId="24" borderId="5" xfId="0" applyFont="1" applyFill="1" applyBorder="1" applyAlignment="1">
      <alignment horizontal="center" vertical="center"/>
    </xf>
    <xf numFmtId="0" fontId="11" fillId="24" borderId="6" xfId="0" applyFont="1" applyFill="1" applyBorder="1" applyAlignment="1">
      <alignment vertical="center"/>
    </xf>
    <xf numFmtId="0" fontId="11" fillId="22" borderId="1" xfId="0" applyFont="1" applyFill="1" applyBorder="1" applyAlignment="1">
      <alignment horizontal="center" vertical="top"/>
    </xf>
    <xf numFmtId="0" fontId="11" fillId="22" borderId="1" xfId="0" applyFont="1" applyFill="1" applyBorder="1" applyAlignment="1">
      <alignment horizontal="center" vertical="center"/>
    </xf>
    <xf numFmtId="0" fontId="11" fillId="23" borderId="1" xfId="0" applyFont="1" applyFill="1" applyBorder="1" applyAlignment="1">
      <alignment horizontal="center" vertical="top"/>
    </xf>
    <xf numFmtId="0" fontId="12" fillId="23" borderId="1" xfId="0" applyFont="1" applyFill="1" applyBorder="1" applyAlignment="1">
      <alignment horizontal="center" vertical="center"/>
    </xf>
    <xf numFmtId="0" fontId="12" fillId="23" borderId="1" xfId="0" applyFont="1" applyFill="1" applyBorder="1" applyAlignment="1">
      <alignment horizontal="center" vertical="top"/>
    </xf>
    <xf numFmtId="0" fontId="4" fillId="25" borderId="1" xfId="0" applyFont="1" applyFill="1" applyBorder="1" applyAlignment="1">
      <alignment vertical="top"/>
    </xf>
    <xf numFmtId="0" fontId="25" fillId="0" borderId="18" xfId="0" applyFont="1" applyBorder="1" applyAlignment="1">
      <alignment horizontal="left" vertical="center" wrapText="1"/>
    </xf>
    <xf numFmtId="0" fontId="26" fillId="0" borderId="19" xfId="0" applyFont="1" applyBorder="1" applyAlignment="1">
      <alignment vertical="top" wrapText="1"/>
    </xf>
    <xf numFmtId="0" fontId="25" fillId="0" borderId="18" xfId="0" applyFont="1" applyBorder="1" applyAlignment="1">
      <alignment vertical="center" wrapText="1"/>
    </xf>
    <xf numFmtId="0" fontId="11" fillId="22" borderId="6" xfId="0" applyFont="1" applyFill="1" applyBorder="1" applyAlignment="1">
      <alignment horizontal="center" vertical="top"/>
    </xf>
    <xf numFmtId="0" fontId="11" fillId="23" borderId="6" xfId="0" applyFont="1" applyFill="1" applyBorder="1" applyAlignment="1">
      <alignment horizontal="center" vertical="top"/>
    </xf>
    <xf numFmtId="0" fontId="5" fillId="0" borderId="6" xfId="0" applyFont="1" applyBorder="1" applyAlignment="1">
      <alignment horizontal="center" vertical="center" wrapText="1"/>
    </xf>
    <xf numFmtId="0" fontId="5" fillId="34" borderId="1" xfId="0" applyFont="1" applyFill="1" applyBorder="1" applyAlignment="1">
      <alignment horizontal="center" vertical="center" wrapText="1"/>
    </xf>
    <xf numFmtId="0" fontId="11" fillId="24" borderId="1" xfId="0" applyFont="1" applyFill="1" applyBorder="1" applyAlignment="1">
      <alignment vertical="center"/>
    </xf>
    <xf numFmtId="0" fontId="11" fillId="0" borderId="1" xfId="0" applyFont="1" applyBorder="1" applyAlignment="1">
      <alignment horizontal="center" vertical="top"/>
    </xf>
    <xf numFmtId="0" fontId="11" fillId="23" borderId="1" xfId="0" applyFont="1" applyFill="1" applyBorder="1" applyAlignment="1">
      <alignment horizontal="center" vertical="center"/>
    </xf>
    <xf numFmtId="0" fontId="4" fillId="0" borderId="1" xfId="0" applyFont="1" applyBorder="1" applyAlignment="1" applyProtection="1">
      <alignment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lignment horizontal="center" vertical="center" wrapText="1"/>
    </xf>
    <xf numFmtId="0" fontId="5" fillId="6" borderId="1" xfId="0" quotePrefix="1" applyFont="1" applyFill="1" applyBorder="1" applyAlignment="1">
      <alignment horizontal="center" vertical="center"/>
    </xf>
    <xf numFmtId="0" fontId="11" fillId="27" borderId="1" xfId="0" applyFont="1" applyFill="1" applyBorder="1" applyAlignment="1">
      <alignment horizontal="center" vertical="center"/>
    </xf>
    <xf numFmtId="0" fontId="11" fillId="27" borderId="1" xfId="0" applyFont="1" applyFill="1" applyBorder="1" applyAlignment="1">
      <alignment horizontal="center" vertical="center" wrapText="1"/>
    </xf>
    <xf numFmtId="0" fontId="5" fillId="26" borderId="1" xfId="0" applyFont="1" applyFill="1" applyBorder="1" applyAlignment="1">
      <alignment horizontal="center" vertical="center"/>
    </xf>
    <xf numFmtId="0" fontId="9" fillId="26" borderId="1" xfId="0" applyFont="1" applyFill="1" applyBorder="1" applyAlignment="1">
      <alignment vertical="center" wrapText="1"/>
    </xf>
    <xf numFmtId="0" fontId="9" fillId="26" borderId="1" xfId="0" applyFont="1" applyFill="1" applyBorder="1" applyAlignment="1">
      <alignment horizontal="left" vertical="center" wrapText="1"/>
    </xf>
    <xf numFmtId="0" fontId="4" fillId="26" borderId="1" xfId="0" applyFont="1" applyFill="1" applyBorder="1" applyAlignment="1">
      <alignment vertical="center"/>
    </xf>
    <xf numFmtId="0" fontId="11" fillId="34"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1" xfId="0" applyFont="1" applyFill="1" applyBorder="1" applyAlignment="1">
      <alignment vertical="center"/>
    </xf>
    <xf numFmtId="0" fontId="4" fillId="14"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2" applyFont="1" applyBorder="1" applyAlignment="1">
      <alignment horizontal="left" vertical="center" wrapText="1"/>
    </xf>
    <xf numFmtId="0" fontId="5" fillId="26" borderId="1" xfId="0" applyFont="1" applyFill="1" applyBorder="1" applyAlignment="1">
      <alignment vertical="center"/>
    </xf>
    <xf numFmtId="0" fontId="5" fillId="26" borderId="1" xfId="0" applyFont="1" applyFill="1" applyBorder="1" applyAlignment="1">
      <alignment vertical="center" wrapText="1"/>
    </xf>
    <xf numFmtId="164" fontId="5" fillId="0" borderId="1" xfId="0" applyNumberFormat="1" applyFont="1" applyBorder="1" applyAlignment="1" applyProtection="1">
      <alignment horizontal="center" vertical="center"/>
      <protection locked="0"/>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2" xfId="2" applyFont="1" applyBorder="1" applyAlignment="1">
      <alignment horizontal="center" vertical="center"/>
    </xf>
    <xf numFmtId="49" fontId="4" fillId="14" borderId="1" xfId="1" applyNumberFormat="1" applyFont="1" applyFill="1" applyBorder="1" applyAlignment="1">
      <alignment horizontal="center" vertical="center"/>
    </xf>
    <xf numFmtId="0" fontId="4" fillId="0" borderId="4" xfId="2" applyFont="1" applyBorder="1" applyAlignment="1">
      <alignment horizontal="center" vertical="center"/>
    </xf>
    <xf numFmtId="0" fontId="10" fillId="21" borderId="1" xfId="0" applyFont="1" applyFill="1" applyBorder="1" applyAlignment="1">
      <alignment horizontal="left" vertical="top" wrapText="1"/>
    </xf>
    <xf numFmtId="0" fontId="5" fillId="0" borderId="1" xfId="0" applyFont="1" applyBorder="1" applyAlignment="1">
      <alignment horizontal="center"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1" fillId="23" borderId="1" xfId="0" applyFont="1" applyFill="1" applyBorder="1" applyAlignment="1">
      <alignment horizontal="left" vertical="top" wrapText="1"/>
    </xf>
    <xf numFmtId="0" fontId="4" fillId="34" borderId="1" xfId="0" applyFont="1" applyFill="1" applyBorder="1" applyAlignment="1">
      <alignment horizontal="center" vertical="center"/>
    </xf>
    <xf numFmtId="0" fontId="4" fillId="0" borderId="2" xfId="0" applyFont="1" applyBorder="1" applyAlignment="1" applyProtection="1">
      <alignment horizontal="center" vertical="top"/>
      <protection locked="0"/>
    </xf>
    <xf numFmtId="0" fontId="4" fillId="0" borderId="1" xfId="2" applyFont="1" applyBorder="1" applyAlignment="1">
      <alignment horizontal="center" vertical="center"/>
    </xf>
    <xf numFmtId="0" fontId="4" fillId="0" borderId="1" xfId="0" applyFont="1" applyBorder="1" applyAlignment="1">
      <alignment horizontal="left" vertical="center" wrapText="1"/>
    </xf>
    <xf numFmtId="0" fontId="34" fillId="0" borderId="0" xfId="0" applyFont="1" applyProtection="1">
      <protection locked="0"/>
    </xf>
    <xf numFmtId="0" fontId="36" fillId="0" borderId="0" xfId="0" applyFont="1" applyProtection="1">
      <protection locked="0"/>
    </xf>
    <xf numFmtId="0" fontId="32" fillId="0" borderId="0" xfId="0" applyFont="1" applyProtection="1">
      <protection locked="0"/>
    </xf>
    <xf numFmtId="0" fontId="0" fillId="0" borderId="0" xfId="0" applyAlignment="1" applyProtection="1">
      <alignment vertical="center"/>
      <protection locked="0"/>
    </xf>
    <xf numFmtId="0" fontId="35" fillId="0" borderId="1" xfId="0" applyFont="1" applyBorder="1" applyProtection="1">
      <protection locked="0"/>
    </xf>
    <xf numFmtId="0" fontId="0" fillId="0" borderId="0" xfId="0" applyAlignment="1" applyProtection="1">
      <alignment wrapText="1"/>
      <protection locked="0"/>
    </xf>
    <xf numFmtId="0" fontId="2" fillId="0" borderId="0" xfId="0" applyFont="1" applyProtection="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0" fillId="20"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wrapText="1"/>
    </xf>
    <xf numFmtId="2" fontId="4" fillId="7" borderId="1" xfId="0" applyNumberFormat="1" applyFont="1" applyFill="1" applyBorder="1" applyAlignment="1">
      <alignment horizontal="center" vertical="center" wrapText="1"/>
    </xf>
    <xf numFmtId="2" fontId="10" fillId="28"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2" fontId="5" fillId="2" borderId="1" xfId="0" applyNumberFormat="1" applyFont="1" applyFill="1" applyBorder="1" applyAlignment="1">
      <alignment horizontal="center" vertical="center" wrapText="1"/>
    </xf>
    <xf numFmtId="2" fontId="31" fillId="14" borderId="1" xfId="4" applyNumberFormat="1" applyFont="1" applyFill="1" applyBorder="1" applyAlignment="1" applyProtection="1">
      <alignment horizontal="center" vertical="center" wrapText="1"/>
    </xf>
    <xf numFmtId="0" fontId="10" fillId="7" borderId="1" xfId="0" applyFont="1" applyFill="1" applyBorder="1" applyAlignment="1">
      <alignment horizontal="left" vertical="center"/>
    </xf>
    <xf numFmtId="0" fontId="31" fillId="7" borderId="1" xfId="0" applyFont="1" applyFill="1" applyBorder="1" applyAlignment="1">
      <alignment horizontal="right" vertical="center"/>
    </xf>
    <xf numFmtId="2" fontId="4" fillId="0" borderId="0" xfId="0" applyNumberFormat="1" applyFont="1" applyAlignment="1">
      <alignment horizontal="center"/>
    </xf>
    <xf numFmtId="0" fontId="31" fillId="7" borderId="2" xfId="0" applyFont="1" applyFill="1" applyBorder="1" applyAlignment="1">
      <alignment horizontal="right" vertical="center"/>
    </xf>
    <xf numFmtId="0" fontId="10" fillId="7" borderId="1" xfId="0" applyFont="1" applyFill="1" applyBorder="1" applyAlignment="1">
      <alignment horizontal="right" vertical="center"/>
    </xf>
    <xf numFmtId="0" fontId="4" fillId="0" borderId="0" xfId="0" applyFont="1" applyAlignment="1" applyProtection="1">
      <alignment horizontal="center"/>
      <protection locked="0"/>
    </xf>
    <xf numFmtId="2" fontId="12" fillId="35" borderId="1" xfId="4" applyNumberFormat="1" applyFont="1" applyBorder="1" applyAlignment="1" applyProtection="1">
      <alignment horizontal="center" vertical="center" wrapText="1"/>
      <protection locked="0"/>
    </xf>
    <xf numFmtId="2" fontId="12" fillId="14" borderId="1" xfId="4" applyNumberFormat="1" applyFont="1" applyFill="1" applyBorder="1" applyAlignment="1" applyProtection="1">
      <alignment horizontal="center" vertical="center" wrapText="1"/>
    </xf>
    <xf numFmtId="0" fontId="4" fillId="0" borderId="0" xfId="0" applyFont="1" applyAlignment="1">
      <alignment horizontal="center"/>
    </xf>
    <xf numFmtId="2" fontId="4" fillId="16" borderId="0" xfId="0" applyNumberFormat="1" applyFont="1" applyFill="1" applyAlignment="1">
      <alignment horizontal="center"/>
    </xf>
    <xf numFmtId="0" fontId="0" fillId="0" borderId="1" xfId="0" applyBorder="1" applyAlignment="1" applyProtection="1">
      <alignment vertical="top"/>
      <protection locked="0"/>
    </xf>
    <xf numFmtId="0" fontId="6" fillId="9" borderId="1"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2" fontId="4" fillId="0" borderId="1" xfId="0" applyNumberFormat="1" applyFont="1" applyBorder="1" applyAlignment="1">
      <alignment horizontal="center" vertical="center" wrapText="1"/>
    </xf>
    <xf numFmtId="0" fontId="32" fillId="0" borderId="1" xfId="0" applyFont="1" applyBorder="1" applyAlignment="1">
      <alignment horizontal="left" vertical="center" wrapText="1"/>
    </xf>
    <xf numFmtId="0" fontId="33" fillId="0" borderId="1" xfId="0" applyFont="1" applyBorder="1" applyAlignment="1" applyProtection="1">
      <alignment horizontal="center"/>
      <protection locked="0"/>
    </xf>
    <xf numFmtId="0" fontId="35" fillId="0" borderId="3" xfId="0" applyFont="1" applyBorder="1" applyAlignment="1">
      <alignment horizontal="left" vertical="center"/>
    </xf>
    <xf numFmtId="0" fontId="35" fillId="0" borderId="1" xfId="0" applyFont="1" applyBorder="1" applyAlignment="1">
      <alignment horizontal="left" vertical="center"/>
    </xf>
    <xf numFmtId="0" fontId="32" fillId="0" borderId="1" xfId="0" applyFont="1" applyBorder="1" applyAlignment="1">
      <alignment horizontal="left" vertical="top" wrapText="1"/>
    </xf>
    <xf numFmtId="0" fontId="39" fillId="0" borderId="1" xfId="0" applyFont="1" applyBorder="1" applyAlignment="1">
      <alignment horizontal="left" vertical="center" wrapText="1"/>
    </xf>
    <xf numFmtId="0" fontId="6" fillId="2" borderId="1" xfId="0" applyFont="1" applyFill="1" applyBorder="1" applyAlignment="1">
      <alignment horizontal="center"/>
    </xf>
    <xf numFmtId="0" fontId="8" fillId="7" borderId="1" xfId="0" applyFont="1" applyFill="1" applyBorder="1" applyAlignment="1">
      <alignment horizontal="center" vertical="center"/>
    </xf>
    <xf numFmtId="0" fontId="3" fillId="2" borderId="1" xfId="0" applyFont="1" applyFill="1" applyBorder="1" applyAlignment="1">
      <alignment horizontal="center"/>
    </xf>
    <xf numFmtId="0" fontId="11" fillId="33" borderId="1" xfId="0" applyFont="1" applyFill="1" applyBorder="1" applyAlignment="1">
      <alignment horizontal="left" vertical="center"/>
    </xf>
    <xf numFmtId="0" fontId="13" fillId="31"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pplyProtection="1">
      <alignment horizontal="center"/>
      <protection locked="0"/>
    </xf>
    <xf numFmtId="0" fontId="0" fillId="0" borderId="0" xfId="0" applyAlignment="1" applyProtection="1">
      <alignment horizontal="center"/>
      <protection locked="0"/>
    </xf>
    <xf numFmtId="0" fontId="0" fillId="16"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15" borderId="7" xfId="0" applyFont="1" applyFill="1" applyBorder="1" applyAlignment="1">
      <alignment horizontal="left" vertical="center"/>
    </xf>
    <xf numFmtId="0" fontId="10" fillId="15" borderId="5" xfId="0" applyFont="1" applyFill="1" applyBorder="1" applyAlignment="1">
      <alignment horizontal="left" vertical="center"/>
    </xf>
    <xf numFmtId="0" fontId="10" fillId="15" borderId="6" xfId="0" applyFont="1" applyFill="1" applyBorder="1" applyAlignment="1">
      <alignment horizontal="left" vertical="center"/>
    </xf>
    <xf numFmtId="0" fontId="10" fillId="15" borderId="1" xfId="0" applyFont="1" applyFill="1" applyBorder="1" applyAlignment="1">
      <alignment horizontal="left" vertical="center" wrapText="1"/>
    </xf>
    <xf numFmtId="0" fontId="5" fillId="13" borderId="7" xfId="2" applyFont="1" applyFill="1" applyBorder="1" applyAlignment="1">
      <alignment horizontal="right" vertical="center" wrapText="1"/>
    </xf>
    <xf numFmtId="0" fontId="5" fillId="13" borderId="5" xfId="2" applyFont="1" applyFill="1" applyBorder="1" applyAlignment="1">
      <alignment horizontal="right" vertical="center" wrapText="1"/>
    </xf>
    <xf numFmtId="0" fontId="5" fillId="10" borderId="7" xfId="2" applyFont="1" applyFill="1" applyBorder="1" applyAlignment="1">
      <alignment horizontal="left" vertical="center"/>
    </xf>
    <xf numFmtId="0" fontId="5" fillId="10" borderId="6" xfId="2" applyFont="1" applyFill="1" applyBorder="1" applyAlignment="1">
      <alignment horizontal="left" vertical="center"/>
    </xf>
    <xf numFmtId="0" fontId="18" fillId="3" borderId="7"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5" fillId="13" borderId="1" xfId="2" applyFont="1" applyFill="1" applyBorder="1" applyAlignment="1">
      <alignment horizontal="right"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49" fontId="4" fillId="14" borderId="2" xfId="1" applyNumberFormat="1" applyFont="1" applyFill="1" applyBorder="1" applyAlignment="1">
      <alignment horizontal="center" vertical="center"/>
    </xf>
    <xf numFmtId="49" fontId="4" fillId="14" borderId="10" xfId="1" applyNumberFormat="1" applyFont="1" applyFill="1" applyBorder="1" applyAlignment="1">
      <alignment horizontal="center" vertical="center"/>
    </xf>
    <xf numFmtId="49" fontId="4" fillId="14" borderId="1" xfId="1" applyNumberFormat="1" applyFont="1" applyFill="1" applyBorder="1" applyAlignment="1">
      <alignment horizontal="center" vertical="center"/>
    </xf>
    <xf numFmtId="0" fontId="5" fillId="13" borderId="6" xfId="2" applyFont="1" applyFill="1" applyBorder="1" applyAlignment="1">
      <alignment horizontal="right" vertical="center" wrapText="1"/>
    </xf>
    <xf numFmtId="0" fontId="4" fillId="0" borderId="4" xfId="2" applyFont="1" applyBorder="1" applyAlignment="1">
      <alignment horizontal="center" vertical="center"/>
    </xf>
    <xf numFmtId="0" fontId="4" fillId="0" borderId="15" xfId="2" applyFont="1" applyBorder="1" applyAlignment="1">
      <alignment horizontal="center" vertical="center"/>
    </xf>
    <xf numFmtId="0" fontId="4" fillId="0" borderId="2" xfId="2" applyFont="1" applyBorder="1" applyAlignment="1">
      <alignment horizontal="left" vertical="top" wrapText="1"/>
    </xf>
    <xf numFmtId="0" fontId="4" fillId="0" borderId="3" xfId="2" applyFont="1" applyBorder="1" applyAlignment="1">
      <alignment horizontal="left" vertical="top" wrapText="1"/>
    </xf>
    <xf numFmtId="0" fontId="4" fillId="0" borderId="1" xfId="0" applyFont="1" applyBorder="1" applyAlignment="1">
      <alignment horizontal="center" vertical="center" wrapText="1"/>
    </xf>
    <xf numFmtId="0" fontId="10" fillId="21" borderId="5" xfId="0" applyFont="1" applyFill="1" applyBorder="1" applyAlignment="1">
      <alignment horizontal="left" vertical="top"/>
    </xf>
    <xf numFmtId="0" fontId="10" fillId="21" borderId="6" xfId="0" applyFont="1" applyFill="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20" borderId="5" xfId="0"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10" fillId="17" borderId="7" xfId="0" applyFont="1" applyFill="1" applyBorder="1" applyAlignment="1">
      <alignment horizontal="left" vertical="top"/>
    </xf>
    <xf numFmtId="0" fontId="10" fillId="17" borderId="5" xfId="0" applyFont="1" applyFill="1" applyBorder="1" applyAlignment="1">
      <alignment horizontal="left" vertical="top"/>
    </xf>
    <xf numFmtId="0" fontId="4" fillId="0" borderId="1" xfId="0" applyFont="1" applyBorder="1" applyAlignment="1">
      <alignment horizontal="left" vertical="top" wrapText="1"/>
    </xf>
    <xf numFmtId="0" fontId="5" fillId="5" borderId="7" xfId="2" applyFont="1" applyFill="1" applyBorder="1" applyAlignment="1">
      <alignment horizontal="right" vertical="center" wrapText="1"/>
    </xf>
    <xf numFmtId="0" fontId="5" fillId="5" borderId="5" xfId="2" applyFont="1" applyFill="1" applyBorder="1" applyAlignment="1">
      <alignment horizontal="right" vertical="center" wrapText="1"/>
    </xf>
    <xf numFmtId="0" fontId="5" fillId="5" borderId="6" xfId="2" applyFont="1" applyFill="1" applyBorder="1" applyAlignment="1">
      <alignment horizontal="right" vertical="center" wrapText="1"/>
    </xf>
    <xf numFmtId="0" fontId="10" fillId="21" borderId="1" xfId="0" applyFont="1" applyFill="1" applyBorder="1" applyAlignment="1">
      <alignment horizontal="left" vertical="top" wrapText="1"/>
    </xf>
    <xf numFmtId="0" fontId="5"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center" wrapText="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21" fillId="0" borderId="0" xfId="0" applyFont="1" applyAlignment="1">
      <alignment horizontal="left" vertical="top" wrapText="1"/>
    </xf>
    <xf numFmtId="0" fontId="0" fillId="0" borderId="5" xfId="0" applyBorder="1" applyAlignment="1">
      <alignment horizontal="left" vertical="top" wrapText="1"/>
    </xf>
    <xf numFmtId="0" fontId="5" fillId="0" borderId="7" xfId="0" applyFont="1" applyBorder="1" applyAlignment="1">
      <alignment horizontal="center"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10" fillId="21" borderId="7" xfId="0" applyFont="1" applyFill="1" applyBorder="1" applyAlignment="1">
      <alignment horizontal="left" vertical="top"/>
    </xf>
    <xf numFmtId="0" fontId="5" fillId="34" borderId="7" xfId="0" applyFont="1" applyFill="1" applyBorder="1" applyAlignment="1">
      <alignment horizontal="center" vertical="center"/>
    </xf>
    <xf numFmtId="0" fontId="4" fillId="0" borderId="24" xfId="0" applyFont="1" applyBorder="1" applyAlignment="1">
      <alignment horizontal="center" vertical="top" wrapText="1"/>
    </xf>
    <xf numFmtId="0" fontId="5" fillId="0" borderId="1" xfId="0" applyFont="1" applyBorder="1" applyAlignment="1">
      <alignment horizontal="center" vertical="top"/>
    </xf>
    <xf numFmtId="0" fontId="4" fillId="0" borderId="25" xfId="0" applyFont="1" applyBorder="1" applyAlignment="1">
      <alignment horizontal="center" vertical="top" wrapText="1"/>
    </xf>
    <xf numFmtId="0" fontId="4" fillId="0" borderId="22" xfId="0" applyFont="1" applyBorder="1" applyAlignment="1">
      <alignment horizontal="center" vertical="top"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34" borderId="2" xfId="0" applyFont="1" applyFill="1" applyBorder="1" applyAlignment="1">
      <alignment horizontal="center" vertical="center"/>
    </xf>
    <xf numFmtId="0" fontId="4" fillId="34" borderId="10" xfId="0" applyFont="1" applyFill="1" applyBorder="1" applyAlignment="1">
      <alignment horizontal="center" vertical="center"/>
    </xf>
    <xf numFmtId="0" fontId="4" fillId="34"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top"/>
    </xf>
    <xf numFmtId="0" fontId="4" fillId="18" borderId="2" xfId="0" applyFont="1" applyFill="1" applyBorder="1" applyAlignment="1" applyProtection="1">
      <alignment horizontal="center" vertical="center"/>
      <protection locked="0"/>
    </xf>
    <xf numFmtId="0" fontId="4" fillId="18" borderId="10"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xf>
    <xf numFmtId="0" fontId="5" fillId="20" borderId="9" xfId="0" applyFont="1" applyFill="1" applyBorder="1" applyAlignment="1">
      <alignment horizontal="left" vertical="top"/>
    </xf>
    <xf numFmtId="0" fontId="5" fillId="20" borderId="2" xfId="0" applyFont="1" applyFill="1" applyBorder="1" applyAlignment="1">
      <alignment horizontal="left" vertical="top"/>
    </xf>
    <xf numFmtId="0" fontId="5" fillId="20" borderId="1" xfId="0" applyFont="1" applyFill="1" applyBorder="1" applyAlignment="1">
      <alignment horizontal="left" vertical="top"/>
    </xf>
    <xf numFmtId="0" fontId="4" fillId="0" borderId="10" xfId="0" applyFont="1" applyBorder="1" applyAlignment="1">
      <alignment horizontal="center" vertical="center" wrapText="1"/>
    </xf>
    <xf numFmtId="0" fontId="5" fillId="19" borderId="16" xfId="0" applyFont="1" applyFill="1" applyBorder="1" applyAlignment="1">
      <alignment horizontal="left" vertical="top"/>
    </xf>
    <xf numFmtId="0" fontId="5" fillId="19" borderId="17" xfId="0" applyFont="1" applyFill="1" applyBorder="1" applyAlignment="1">
      <alignment horizontal="left" vertical="top"/>
    </xf>
    <xf numFmtId="0" fontId="5" fillId="0" borderId="1" xfId="0" applyFont="1" applyBorder="1" applyAlignment="1" applyProtection="1">
      <alignment horizontal="center" vertical="top"/>
      <protection locked="0"/>
    </xf>
    <xf numFmtId="0" fontId="5" fillId="34" borderId="1"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21" fillId="0" borderId="1" xfId="0" applyFont="1" applyBorder="1" applyAlignment="1">
      <alignment horizontal="left" vertical="top" wrapText="1"/>
    </xf>
    <xf numFmtId="0" fontId="11" fillId="23" borderId="1" xfId="0" applyFont="1" applyFill="1" applyBorder="1" applyAlignment="1">
      <alignment horizontal="left" vertical="top" wrapText="1"/>
    </xf>
    <xf numFmtId="0" fontId="11" fillId="24" borderId="1" xfId="0" applyFont="1" applyFill="1" applyBorder="1" applyAlignment="1">
      <alignment horizontal="left" vertical="top"/>
    </xf>
    <xf numFmtId="0" fontId="11" fillId="22" borderId="1" xfId="0" applyFont="1" applyFill="1" applyBorder="1" applyAlignment="1">
      <alignment horizontal="left" vertical="top" wrapText="1"/>
    </xf>
    <xf numFmtId="0" fontId="11" fillId="22" borderId="1" xfId="0" applyFont="1" applyFill="1" applyBorder="1" applyAlignment="1">
      <alignment horizontal="left" vertical="top"/>
    </xf>
    <xf numFmtId="0" fontId="12" fillId="0" borderId="1" xfId="0" applyFont="1" applyBorder="1" applyAlignment="1">
      <alignment horizontal="left" vertical="top" wrapText="1"/>
    </xf>
    <xf numFmtId="0" fontId="5" fillId="25" borderId="1" xfId="0" applyFont="1" applyFill="1" applyBorder="1" applyAlignment="1">
      <alignment horizontal="right" vertical="center"/>
    </xf>
    <xf numFmtId="0" fontId="11" fillId="23" borderId="1" xfId="0" applyFont="1" applyFill="1" applyBorder="1" applyAlignment="1">
      <alignment horizontal="left" vertical="center" wrapText="1"/>
    </xf>
    <xf numFmtId="0" fontId="4" fillId="34" borderId="1" xfId="0" applyFont="1" applyFill="1" applyBorder="1" applyAlignment="1">
      <alignment horizontal="center" vertical="center"/>
    </xf>
    <xf numFmtId="0" fontId="5" fillId="0" borderId="1" xfId="0" applyFont="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11" fillId="23" borderId="5" xfId="0" applyFont="1" applyFill="1" applyBorder="1" applyAlignment="1">
      <alignment horizontal="left" vertical="top" wrapText="1"/>
    </xf>
    <xf numFmtId="0" fontId="4" fillId="0" borderId="3" xfId="0" applyFont="1" applyBorder="1" applyAlignment="1">
      <alignment horizontal="left" vertical="center" wrapText="1"/>
    </xf>
    <xf numFmtId="0" fontId="11" fillId="22" borderId="5" xfId="0" applyFont="1" applyFill="1" applyBorder="1" applyAlignment="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4" fillId="5" borderId="7"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11" fillId="24" borderId="7" xfId="0" applyFont="1" applyFill="1" applyBorder="1" applyAlignment="1">
      <alignment horizontal="left" vertical="top"/>
    </xf>
    <xf numFmtId="0" fontId="11" fillId="24" borderId="5" xfId="0" applyFont="1" applyFill="1" applyBorder="1" applyAlignment="1">
      <alignment horizontal="left" vertical="top"/>
    </xf>
    <xf numFmtId="0" fontId="11" fillId="22" borderId="5" xfId="0" applyFont="1" applyFill="1" applyBorder="1" applyAlignment="1">
      <alignment horizontal="left" vertical="top"/>
    </xf>
    <xf numFmtId="0" fontId="11" fillId="22" borderId="6" xfId="0" applyFont="1" applyFill="1" applyBorder="1" applyAlignment="1">
      <alignment horizontal="left" vertical="top"/>
    </xf>
    <xf numFmtId="0" fontId="11" fillId="23" borderId="1" xfId="0" applyFont="1" applyFill="1" applyBorder="1" applyAlignment="1">
      <alignment horizontal="left" vertical="top"/>
    </xf>
    <xf numFmtId="0" fontId="11" fillId="22" borderId="6" xfId="0" applyFont="1" applyFill="1" applyBorder="1" applyAlignment="1">
      <alignment horizontal="left" vertical="top" wrapText="1"/>
    </xf>
    <xf numFmtId="0" fontId="4" fillId="0" borderId="4" xfId="0" applyFont="1" applyBorder="1" applyAlignment="1">
      <alignment horizontal="center" vertical="top"/>
    </xf>
    <xf numFmtId="0" fontId="4" fillId="0" borderId="15" xfId="0" applyFont="1" applyBorder="1" applyAlignment="1">
      <alignment horizontal="center" vertical="top"/>
    </xf>
    <xf numFmtId="0" fontId="4" fillId="0" borderId="11" xfId="0" applyFont="1" applyBorder="1" applyAlignment="1">
      <alignment horizontal="center" vertical="top"/>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26" xfId="0" applyFont="1" applyBorder="1" applyAlignment="1">
      <alignment horizontal="center"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8" borderId="16" xfId="0" applyFont="1" applyFill="1" applyBorder="1" applyAlignment="1">
      <alignment horizontal="center" vertical="top" wrapText="1"/>
    </xf>
    <xf numFmtId="0" fontId="5" fillId="18" borderId="17" xfId="0" applyFont="1" applyFill="1" applyBorder="1" applyAlignment="1">
      <alignment horizontal="center" vertical="top" wrapText="1"/>
    </xf>
    <xf numFmtId="0" fontId="29" fillId="0" borderId="18" xfId="0" applyFont="1" applyBorder="1" applyAlignment="1">
      <alignment horizontal="left" vertical="top" wrapText="1"/>
    </xf>
    <xf numFmtId="0" fontId="29" fillId="0" borderId="19" xfId="0" applyFont="1" applyBorder="1" applyAlignment="1">
      <alignment horizontal="left" vertical="top" wrapText="1"/>
    </xf>
    <xf numFmtId="0" fontId="28" fillId="0" borderId="20" xfId="0" applyFont="1" applyBorder="1" applyAlignment="1">
      <alignment horizontal="left" vertical="top" wrapText="1"/>
    </xf>
    <xf numFmtId="0" fontId="28" fillId="0" borderId="21" xfId="0" applyFont="1" applyBorder="1" applyAlignment="1">
      <alignment horizontal="left" vertical="top" wrapText="1"/>
    </xf>
    <xf numFmtId="0" fontId="17"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11" fillId="27" borderId="1" xfId="0" applyFont="1" applyFill="1" applyBorder="1" applyAlignment="1">
      <alignment horizontal="left" vertical="center" wrapText="1"/>
    </xf>
    <xf numFmtId="0" fontId="5" fillId="16" borderId="1" xfId="2" applyFont="1" applyFill="1" applyBorder="1" applyAlignment="1">
      <alignment horizontal="right" vertical="center" wrapText="1"/>
    </xf>
    <xf numFmtId="0" fontId="4" fillId="0" borderId="1" xfId="2" applyFont="1" applyBorder="1" applyAlignment="1">
      <alignment horizontal="center" vertical="center"/>
    </xf>
    <xf numFmtId="0" fontId="4" fillId="0" borderId="1" xfId="0" applyFont="1" applyBorder="1" applyAlignment="1">
      <alignment horizontal="left" vertical="center" wrapText="1"/>
    </xf>
    <xf numFmtId="0" fontId="24" fillId="6" borderId="1" xfId="0" applyFont="1" applyFill="1" applyBorder="1" applyAlignment="1">
      <alignment horizontal="center" vertical="center"/>
    </xf>
    <xf numFmtId="2" fontId="12" fillId="0" borderId="1" xfId="0" applyNumberFormat="1" applyFont="1" applyBorder="1" applyAlignment="1">
      <alignment horizontal="center" vertical="center"/>
    </xf>
    <xf numFmtId="2" fontId="11" fillId="0" borderId="1"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2" fontId="10" fillId="28" borderId="1" xfId="0" applyNumberFormat="1" applyFont="1" applyFill="1" applyBorder="1" applyAlignment="1">
      <alignment horizontal="center" vertical="center" wrapText="1"/>
    </xf>
    <xf numFmtId="0" fontId="10" fillId="28"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0" fontId="4" fillId="0" borderId="6" xfId="0" applyFont="1" applyBorder="1" applyAlignment="1">
      <alignment horizontal="center" vertical="center" wrapText="1"/>
    </xf>
    <xf numFmtId="2" fontId="5" fillId="29" borderId="1" xfId="0" applyNumberFormat="1" applyFont="1" applyFill="1" applyBorder="1" applyAlignment="1">
      <alignment horizontal="center" vertical="center"/>
    </xf>
    <xf numFmtId="0" fontId="5" fillId="29" borderId="1" xfId="0" applyFont="1" applyFill="1" applyBorder="1" applyAlignment="1">
      <alignment horizontal="center" vertical="center"/>
    </xf>
    <xf numFmtId="2" fontId="12" fillId="0" borderId="7" xfId="0" applyNumberFormat="1" applyFont="1" applyBorder="1" applyAlignment="1">
      <alignment horizontal="center" vertical="center"/>
    </xf>
    <xf numFmtId="2" fontId="12" fillId="0" borderId="5" xfId="0" applyNumberFormat="1" applyFont="1" applyBorder="1" applyAlignment="1">
      <alignment horizontal="center" vertical="center"/>
    </xf>
    <xf numFmtId="0" fontId="9" fillId="2" borderId="1" xfId="0" applyFont="1" applyFill="1" applyBorder="1" applyAlignment="1">
      <alignment horizontal="center" vertical="center" wrapText="1"/>
    </xf>
    <xf numFmtId="2" fontId="12" fillId="0" borderId="1" xfId="0" applyNumberFormat="1" applyFont="1" applyBorder="1" applyAlignment="1">
      <alignment horizontal="center" vertical="center" wrapText="1"/>
    </xf>
    <xf numFmtId="2" fontId="4" fillId="0" borderId="1" xfId="0" applyNumberFormat="1" applyFont="1" applyBorder="1" applyAlignment="1">
      <alignment horizont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2" fillId="0" borderId="6" xfId="0" applyNumberFormat="1" applyFont="1" applyBorder="1" applyAlignment="1">
      <alignment horizontal="center" vertical="center"/>
    </xf>
    <xf numFmtId="0" fontId="45" fillId="0" borderId="31" xfId="0" applyFont="1" applyBorder="1" applyAlignment="1">
      <alignment horizontal="left" vertical="top" wrapText="1"/>
    </xf>
    <xf numFmtId="0" fontId="44" fillId="0" borderId="32" xfId="0" applyFont="1" applyBorder="1" applyAlignment="1">
      <alignment horizontal="left" vertical="top" wrapText="1"/>
    </xf>
    <xf numFmtId="0" fontId="44" fillId="0" borderId="33" xfId="0" applyFont="1" applyBorder="1" applyAlignment="1">
      <alignment horizontal="left" vertical="top" wrapText="1"/>
    </xf>
    <xf numFmtId="0" fontId="42" fillId="0" borderId="24" xfId="0" applyFont="1" applyBorder="1" applyAlignment="1">
      <alignment horizontal="center" vertical="top" wrapText="1"/>
    </xf>
    <xf numFmtId="0" fontId="42" fillId="0" borderId="0" xfId="0" applyFont="1" applyAlignment="1">
      <alignment horizontal="center" vertical="top" wrapText="1"/>
    </xf>
    <xf numFmtId="0" fontId="42" fillId="0" borderId="35" xfId="0" applyFont="1" applyBorder="1" applyAlignment="1">
      <alignment horizontal="center" vertical="top" wrapText="1"/>
    </xf>
    <xf numFmtId="166" fontId="12" fillId="0" borderId="1" xfId="0" applyNumberFormat="1" applyFont="1" applyBorder="1" applyAlignment="1">
      <alignment horizontal="center" vertical="center"/>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28" borderId="1" xfId="0" applyFont="1" applyFill="1" applyBorder="1" applyAlignment="1">
      <alignment horizontal="left" vertical="center"/>
    </xf>
    <xf numFmtId="2" fontId="8" fillId="7"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2" fontId="12" fillId="35" borderId="2" xfId="4" applyNumberFormat="1" applyFont="1" applyBorder="1" applyAlignment="1" applyProtection="1">
      <alignment horizontal="center" vertical="center" wrapText="1"/>
      <protection locked="0"/>
    </xf>
    <xf numFmtId="2" fontId="12" fillId="35" borderId="10" xfId="4" applyNumberFormat="1" applyFont="1" applyBorder="1" applyAlignment="1" applyProtection="1">
      <alignment horizontal="center" vertical="center" wrapText="1"/>
      <protection locked="0"/>
    </xf>
    <xf numFmtId="2" fontId="12" fillId="35" borderId="3" xfId="4" applyNumberFormat="1" applyFont="1" applyBorder="1" applyAlignment="1" applyProtection="1">
      <alignment horizontal="center" vertical="center" wrapText="1"/>
      <protection locked="0"/>
    </xf>
    <xf numFmtId="0" fontId="4" fillId="0" borderId="7" xfId="0" applyFont="1" applyBorder="1" applyAlignment="1">
      <alignment horizontal="center" vertical="center" wrapText="1"/>
    </xf>
    <xf numFmtId="0" fontId="0" fillId="0" borderId="1" xfId="0" applyBorder="1" applyAlignment="1">
      <alignment horizontal="center"/>
    </xf>
    <xf numFmtId="0" fontId="5" fillId="29" borderId="7" xfId="0" applyFont="1" applyFill="1" applyBorder="1" applyAlignment="1">
      <alignment horizontal="left" vertical="center"/>
    </xf>
    <xf numFmtId="0" fontId="5" fillId="29" borderId="6" xfId="0" applyFont="1" applyFill="1" applyBorder="1" applyAlignment="1">
      <alignment horizontal="left" vertical="center"/>
    </xf>
    <xf numFmtId="0" fontId="42" fillId="0" borderId="28" xfId="0" applyFont="1" applyBorder="1" applyAlignment="1">
      <alignment horizontal="center" vertical="top" wrapText="1"/>
    </xf>
    <xf numFmtId="0" fontId="42" fillId="0" borderId="29" xfId="0" applyFont="1" applyBorder="1" applyAlignment="1">
      <alignment horizontal="center" vertical="top" wrapText="1"/>
    </xf>
    <xf numFmtId="0" fontId="42" fillId="0" borderId="30" xfId="0" applyFont="1" applyBorder="1" applyAlignment="1">
      <alignment horizontal="center" vertical="top" wrapText="1"/>
    </xf>
    <xf numFmtId="0" fontId="12" fillId="0" borderId="1" xfId="0" applyFont="1" applyBorder="1" applyAlignment="1">
      <alignment horizontal="center" vertical="center"/>
    </xf>
    <xf numFmtId="2" fontId="5" fillId="3" borderId="1" xfId="0" applyNumberFormat="1" applyFont="1" applyFill="1" applyBorder="1" applyAlignment="1">
      <alignment horizontal="center" vertical="center" wrapText="1"/>
    </xf>
    <xf numFmtId="2" fontId="10" fillId="15" borderId="1" xfId="0" applyNumberFormat="1" applyFont="1" applyFill="1" applyBorder="1" applyAlignment="1">
      <alignment horizontal="center" vertical="center"/>
    </xf>
    <xf numFmtId="2" fontId="4" fillId="10" borderId="5" xfId="0" applyNumberFormat="1" applyFont="1" applyFill="1" applyBorder="1" applyAlignment="1">
      <alignment vertical="center"/>
    </xf>
    <xf numFmtId="2" fontId="4" fillId="11" borderId="1" xfId="0" applyNumberFormat="1" applyFont="1" applyFill="1" applyBorder="1" applyAlignment="1">
      <alignment vertical="center"/>
    </xf>
    <xf numFmtId="2" fontId="11" fillId="0" borderId="1" xfId="0" applyNumberFormat="1" applyFont="1" applyBorder="1" applyAlignment="1">
      <alignment horizontal="center" vertical="center" wrapText="1"/>
    </xf>
    <xf numFmtId="2" fontId="11" fillId="13" borderId="2"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xf>
    <xf numFmtId="2" fontId="4" fillId="0" borderId="1" xfId="0" applyNumberFormat="1" applyFont="1" applyBorder="1" applyAlignment="1">
      <alignment vertical="center"/>
    </xf>
    <xf numFmtId="2" fontId="5" fillId="0" borderId="2" xfId="0" applyNumberFormat="1" applyFont="1" applyBorder="1" applyAlignment="1">
      <alignment horizontal="center" vertical="center"/>
    </xf>
    <xf numFmtId="2" fontId="5" fillId="10" borderId="5" xfId="0" applyNumberFormat="1" applyFont="1" applyFill="1" applyBorder="1" applyAlignment="1">
      <alignment vertical="center" wrapText="1"/>
    </xf>
    <xf numFmtId="2" fontId="4" fillId="11" borderId="7" xfId="0" applyNumberFormat="1" applyFont="1" applyFill="1" applyBorder="1" applyAlignment="1">
      <alignment vertical="center"/>
    </xf>
    <xf numFmtId="2" fontId="11" fillId="0" borderId="13" xfId="0" applyNumberFormat="1" applyFont="1" applyBorder="1" applyAlignment="1">
      <alignment horizontal="center" vertical="center" wrapText="1"/>
    </xf>
    <xf numFmtId="2" fontId="11" fillId="13" borderId="1" xfId="0" applyNumberFormat="1" applyFont="1" applyFill="1" applyBorder="1" applyAlignment="1">
      <alignment horizontal="center" vertical="center" wrapText="1"/>
    </xf>
    <xf numFmtId="2" fontId="5" fillId="10" borderId="12" xfId="0" applyNumberFormat="1" applyFont="1" applyFill="1" applyBorder="1" applyAlignment="1">
      <alignment vertical="center" wrapText="1"/>
    </xf>
    <xf numFmtId="2" fontId="4" fillId="11" borderId="11" xfId="0" applyNumberFormat="1" applyFont="1" applyFill="1" applyBorder="1" applyAlignment="1">
      <alignment vertical="center"/>
    </xf>
    <xf numFmtId="2" fontId="10" fillId="15" borderId="9" xfId="0" applyNumberFormat="1" applyFont="1" applyFill="1" applyBorder="1" applyAlignment="1">
      <alignment horizontal="center" vertical="center"/>
    </xf>
    <xf numFmtId="2" fontId="5" fillId="10" borderId="5" xfId="2" applyNumberFormat="1" applyFont="1" applyFill="1" applyBorder="1" applyAlignment="1">
      <alignment horizontal="center" vertical="center" wrapText="1"/>
    </xf>
    <xf numFmtId="2" fontId="4" fillId="11" borderId="3" xfId="2" applyNumberFormat="1" applyFont="1" applyFill="1" applyBorder="1" applyAlignment="1">
      <alignment horizontal="center" vertical="center" wrapText="1"/>
    </xf>
    <xf numFmtId="2" fontId="4" fillId="0" borderId="1" xfId="2" applyNumberFormat="1" applyFont="1" applyBorder="1" applyAlignment="1">
      <alignment vertical="center" wrapText="1"/>
    </xf>
    <xf numFmtId="2" fontId="5" fillId="0" borderId="1" xfId="0" applyNumberFormat="1" applyFont="1" applyBorder="1" applyAlignment="1">
      <alignment horizontal="center" vertical="center"/>
    </xf>
    <xf numFmtId="2" fontId="5" fillId="0" borderId="7" xfId="0" applyNumberFormat="1" applyFont="1" applyBorder="1" applyAlignment="1">
      <alignment horizontal="center" vertical="center"/>
    </xf>
    <xf numFmtId="2" fontId="5" fillId="13" borderId="1" xfId="0" applyNumberFormat="1" applyFont="1" applyFill="1" applyBorder="1" applyAlignment="1">
      <alignment horizontal="center" vertical="center"/>
    </xf>
    <xf numFmtId="2" fontId="5" fillId="11" borderId="1" xfId="2" applyNumberFormat="1" applyFont="1" applyFill="1" applyBorder="1" applyAlignment="1">
      <alignment horizontal="center" vertical="center" wrapText="1"/>
    </xf>
    <xf numFmtId="2" fontId="4" fillId="0" borderId="1" xfId="2" applyNumberFormat="1" applyFont="1" applyBorder="1" applyAlignment="1">
      <alignment horizontal="center" vertical="center" wrapText="1"/>
    </xf>
    <xf numFmtId="2" fontId="11" fillId="0" borderId="2" xfId="0" applyNumberFormat="1" applyFont="1" applyBorder="1" applyAlignment="1">
      <alignment horizontal="center" vertical="center" wrapText="1"/>
    </xf>
    <xf numFmtId="2" fontId="4" fillId="10" borderId="5" xfId="2" applyNumberFormat="1" applyFont="1" applyFill="1" applyBorder="1" applyAlignment="1">
      <alignment horizontal="center" vertical="center"/>
    </xf>
    <xf numFmtId="2" fontId="4" fillId="11" borderId="3" xfId="2" applyNumberFormat="1" applyFont="1" applyFill="1" applyBorder="1" applyAlignment="1">
      <alignment horizontal="center" vertical="center"/>
    </xf>
    <xf numFmtId="2" fontId="4" fillId="11" borderId="6" xfId="0" applyNumberFormat="1" applyFont="1" applyFill="1" applyBorder="1" applyAlignment="1">
      <alignment vertical="center"/>
    </xf>
    <xf numFmtId="2" fontId="13" fillId="4" borderId="1" xfId="0" applyNumberFormat="1" applyFont="1" applyFill="1" applyBorder="1" applyAlignment="1">
      <alignment horizontal="center" vertical="center" wrapText="1"/>
    </xf>
    <xf numFmtId="2" fontId="10" fillId="17" borderId="5" xfId="0" applyNumberFormat="1" applyFont="1" applyFill="1" applyBorder="1" applyAlignment="1">
      <alignment horizontal="center" vertical="center"/>
    </xf>
    <xf numFmtId="2" fontId="10" fillId="21" borderId="1" xfId="0" applyNumberFormat="1" applyFont="1" applyFill="1" applyBorder="1" applyAlignment="1">
      <alignment horizontal="center" vertical="top"/>
    </xf>
    <xf numFmtId="2" fontId="4" fillId="0" borderId="1" xfId="0" applyNumberFormat="1" applyFont="1" applyBorder="1" applyAlignment="1">
      <alignment horizontal="center" vertical="top"/>
    </xf>
    <xf numFmtId="2" fontId="5" fillId="20" borderId="1" xfId="0" applyNumberFormat="1" applyFont="1" applyFill="1" applyBorder="1" applyAlignment="1">
      <alignment horizontal="center" vertical="top"/>
    </xf>
    <xf numFmtId="2" fontId="5" fillId="0" borderId="2" xfId="0" applyNumberFormat="1" applyFont="1" applyBorder="1" applyAlignment="1">
      <alignment horizontal="center" vertical="center" wrapText="1"/>
    </xf>
    <xf numFmtId="2" fontId="5" fillId="5" borderId="1" xfId="0" applyNumberFormat="1" applyFont="1" applyFill="1" applyBorder="1" applyAlignment="1">
      <alignment horizontal="center" vertical="top"/>
    </xf>
    <xf numFmtId="2" fontId="2" fillId="0" borderId="1" xfId="0" applyNumberFormat="1" applyFont="1" applyBorder="1" applyAlignment="1">
      <alignment horizontal="center" vertical="center"/>
    </xf>
    <xf numFmtId="2" fontId="10" fillId="17" borderId="6" xfId="0" applyNumberFormat="1" applyFont="1" applyFill="1" applyBorder="1" applyAlignment="1">
      <alignment horizontal="center" vertical="center"/>
    </xf>
    <xf numFmtId="2" fontId="4" fillId="20" borderId="1" xfId="0" applyNumberFormat="1" applyFont="1" applyFill="1" applyBorder="1" applyAlignment="1">
      <alignment vertical="center"/>
    </xf>
    <xf numFmtId="2" fontId="5" fillId="0" borderId="2" xfId="0" applyNumberFormat="1" applyFont="1" applyBorder="1" applyAlignment="1">
      <alignment horizontal="center" vertic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4" fillId="0" borderId="1" xfId="0" applyNumberFormat="1" applyFont="1" applyBorder="1" applyAlignment="1">
      <alignment vertical="center" wrapText="1"/>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18" fillId="5" borderId="1" xfId="0" applyNumberFormat="1" applyFont="1" applyFill="1" applyBorder="1" applyAlignment="1">
      <alignment horizontal="center" vertical="center" wrapText="1"/>
    </xf>
    <xf numFmtId="2" fontId="11" fillId="24" borderId="5" xfId="0" applyNumberFormat="1" applyFont="1" applyFill="1" applyBorder="1" applyAlignment="1">
      <alignment horizontal="center" vertical="center"/>
    </xf>
    <xf numFmtId="2" fontId="11" fillId="22" borderId="1" xfId="0" applyNumberFormat="1" applyFont="1" applyFill="1" applyBorder="1" applyAlignment="1">
      <alignment horizontal="center" vertical="center"/>
    </xf>
    <xf numFmtId="2" fontId="11" fillId="23" borderId="1" xfId="0" applyNumberFormat="1" applyFont="1" applyFill="1" applyBorder="1" applyAlignment="1">
      <alignment horizontal="center" vertical="center"/>
    </xf>
    <xf numFmtId="2" fontId="5" fillId="25" borderId="1" xfId="0" applyNumberFormat="1" applyFont="1" applyFill="1" applyBorder="1" applyAlignment="1">
      <alignment horizontal="center" vertical="center"/>
    </xf>
    <xf numFmtId="2" fontId="5" fillId="0" borderId="3" xfId="0" applyNumberFormat="1" applyFont="1" applyBorder="1" applyAlignment="1">
      <alignment horizontal="center" vertical="center"/>
    </xf>
    <xf numFmtId="2" fontId="11" fillId="24" borderId="1" xfId="0" applyNumberFormat="1" applyFont="1" applyFill="1" applyBorder="1" applyAlignment="1">
      <alignment horizontal="center" vertical="center"/>
    </xf>
    <xf numFmtId="2" fontId="5" fillId="6" borderId="1" xfId="0" applyNumberFormat="1" applyFont="1" applyFill="1" applyBorder="1" applyAlignment="1">
      <alignment horizontal="center" vertical="center" wrapText="1"/>
    </xf>
    <xf numFmtId="2" fontId="11" fillId="27" borderId="1" xfId="0" applyNumberFormat="1" applyFont="1" applyFill="1" applyBorder="1" applyAlignment="1">
      <alignment horizontal="center" vertical="center"/>
    </xf>
    <xf numFmtId="2" fontId="4" fillId="26" borderId="1" xfId="0" applyNumberFormat="1" applyFont="1" applyFill="1" applyBorder="1" applyAlignment="1">
      <alignment vertical="center"/>
    </xf>
    <xf numFmtId="2" fontId="11" fillId="16" borderId="1" xfId="0" applyNumberFormat="1" applyFont="1" applyFill="1" applyBorder="1" applyAlignment="1">
      <alignment horizontal="center" vertical="center" wrapText="1"/>
    </xf>
    <xf numFmtId="2" fontId="5" fillId="26" borderId="1" xfId="0" applyNumberFormat="1" applyFont="1" applyFill="1" applyBorder="1" applyAlignment="1">
      <alignment vertical="center"/>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1">
    <dxf>
      <fill>
        <patternFill>
          <bgColor rgb="FFFF0000"/>
        </patternFill>
      </fill>
    </dxf>
  </dxfs>
  <tableStyles count="0" defaultTableStyle="TableStyleMedium2" defaultPivotStyle="PivotStyleLight16"/>
  <colors>
    <mruColors>
      <color rgb="FFFFCC99"/>
      <color rgb="FF9933FF"/>
      <color rgb="FF9966FF"/>
      <color rgb="FF0A0064"/>
      <color rgb="FFCCCCFF"/>
      <color rgb="FFFFFFCC"/>
      <color rgb="FFFFFF99"/>
      <color rgb="FFFFFF66"/>
      <color rgb="FF66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364285</xdr:rowOff>
    </xdr:from>
    <xdr:ext cx="6038384" cy="34278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88137" y="840535"/>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381000</xdr:colOff>
      <xdr:row>2</xdr:row>
      <xdr:rowOff>535678</xdr:rowOff>
    </xdr:from>
    <xdr:to>
      <xdr:col>1</xdr:col>
      <xdr:colOff>2135687</xdr:colOff>
      <xdr:row>2</xdr:row>
      <xdr:rowOff>535678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2" idx="1"/>
        </xdr:cNvCxnSpPr>
      </xdr:nvCxnSpPr>
      <xdr:spPr>
        <a:xfrm flipH="1">
          <a:off x="933450" y="1011928"/>
          <a:ext cx="1754687" cy="0"/>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152400</xdr:rowOff>
        </xdr:from>
        <xdr:to>
          <xdr:col>1</xdr:col>
          <xdr:colOff>336550</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N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N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ow r="6">
          <cell r="A6" t="str">
            <v>SECTION 0 - GENERAL</v>
          </cell>
          <cell r="E6">
            <v>7</v>
          </cell>
          <cell r="F6">
            <v>0</v>
          </cell>
          <cell r="H6" t="str">
            <v xml:space="preserve">SECTION 5 - LANDSCAPE </v>
          </cell>
          <cell r="L6">
            <v>10.5</v>
          </cell>
          <cell r="M6">
            <v>0</v>
          </cell>
        </row>
        <row r="7">
          <cell r="B7" t="str">
            <v>General Project Requirement</v>
          </cell>
          <cell r="E7">
            <v>7</v>
          </cell>
          <cell r="F7">
            <v>0</v>
          </cell>
          <cell r="I7" t="str">
            <v>Softscape</v>
          </cell>
          <cell r="L7">
            <v>1.5</v>
          </cell>
          <cell r="M7">
            <v>0</v>
          </cell>
        </row>
        <row r="8">
          <cell r="A8" t="str">
            <v>SECTION 1 - ARCHITECTURAL EXTERIOR</v>
          </cell>
          <cell r="E8">
            <v>10.5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1.5</v>
          </cell>
          <cell r="M10">
            <v>0</v>
          </cell>
        </row>
        <row r="11">
          <cell r="A11" t="str">
            <v>Part B - Façade System</v>
          </cell>
          <cell r="E11">
            <v>4</v>
          </cell>
          <cell r="F11">
            <v>0</v>
          </cell>
          <cell r="I11" t="str">
            <v>Water Retaining Structures</v>
          </cell>
          <cell r="L11">
            <v>2</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H13" t="str">
            <v xml:space="preserve">SECTION 6 - SMART FM </v>
          </cell>
          <cell r="L13">
            <v>13</v>
          </cell>
          <cell r="M13">
            <v>0</v>
          </cell>
        </row>
        <row r="14">
          <cell r="B14" t="str">
            <v>Masonry and Lightweight Concrete Panels</v>
          </cell>
          <cell r="I14" t="str">
            <v>Good Practices</v>
          </cell>
          <cell r="L14">
            <v>2</v>
          </cell>
          <cell r="M14">
            <v>0</v>
          </cell>
        </row>
        <row r="15">
          <cell r="A15" t="str">
            <v>Part C - Others</v>
          </cell>
          <cell r="E15">
            <v>6</v>
          </cell>
          <cell r="F15">
            <v>0</v>
          </cell>
          <cell r="I15" t="str">
            <v>Cybersecurity</v>
          </cell>
          <cell r="L15">
            <v>1</v>
          </cell>
          <cell r="M15">
            <v>0</v>
          </cell>
        </row>
        <row r="16">
          <cell r="B16" t="str">
            <v>Façade Features/ considerations</v>
          </cell>
          <cell r="E16">
            <v>3</v>
          </cell>
          <cell r="F16">
            <v>0</v>
          </cell>
          <cell r="I16" t="str">
            <v>Innovation</v>
          </cell>
          <cell r="L16">
            <v>3</v>
          </cell>
          <cell r="M16">
            <v>0</v>
          </cell>
        </row>
        <row r="17">
          <cell r="B17" t="str">
            <v>Entrance lobby</v>
          </cell>
          <cell r="E17">
            <v>3</v>
          </cell>
          <cell r="F17">
            <v>0</v>
          </cell>
          <cell r="I17" t="str">
            <v>Advanced Smart FM</v>
          </cell>
          <cell r="L17">
            <v>4</v>
          </cell>
          <cell r="M17">
            <v>0</v>
          </cell>
        </row>
        <row r="18">
          <cell r="B18" t="str">
            <v>Roof</v>
          </cell>
          <cell r="E18" t="str">
            <v>Pre-req</v>
          </cell>
          <cell r="I18" t="str">
            <v>Robotics &amp; Automation</v>
          </cell>
          <cell r="L18">
            <v>3</v>
          </cell>
          <cell r="M18">
            <v>0</v>
          </cell>
        </row>
        <row r="19">
          <cell r="A19" t="str">
            <v>SECTION 2 - ARCHITECTURAL INTERIOR</v>
          </cell>
          <cell r="E19">
            <v>21</v>
          </cell>
          <cell r="F19">
            <v>0</v>
          </cell>
        </row>
        <row r="20">
          <cell r="B20" t="str">
            <v>Floors</v>
          </cell>
          <cell r="E20">
            <v>2.5</v>
          </cell>
          <cell r="F20">
            <v>0</v>
          </cell>
          <cell r="H20" t="str">
            <v>Section 1 BONUS POINTS</v>
          </cell>
          <cell r="L20">
            <v>2</v>
          </cell>
          <cell r="M20">
            <v>0</v>
          </cell>
        </row>
        <row r="21">
          <cell r="B21" t="str">
            <v>Walls and Partitions</v>
          </cell>
          <cell r="E21">
            <v>1</v>
          </cell>
          <cell r="F21">
            <v>0</v>
          </cell>
          <cell r="H21" t="str">
            <v>Section 5 BONUS POINTS</v>
          </cell>
          <cell r="L21">
            <v>2.5</v>
          </cell>
          <cell r="M21">
            <v>0</v>
          </cell>
        </row>
        <row r="22">
          <cell r="B22" t="str">
            <v>Ceiling</v>
          </cell>
          <cell r="E22">
            <v>4</v>
          </cell>
          <cell r="F22">
            <v>0</v>
          </cell>
        </row>
        <row r="23">
          <cell r="B23" t="str">
            <v>Wet Rooms and Storage</v>
          </cell>
          <cell r="E23">
            <v>8</v>
          </cell>
          <cell r="F23">
            <v>0</v>
          </cell>
        </row>
        <row r="24">
          <cell r="B24" t="str">
            <v>Basements</v>
          </cell>
          <cell r="E24">
            <v>4</v>
          </cell>
          <cell r="F24">
            <v>0</v>
          </cell>
          <cell r="K24">
            <v>0</v>
          </cell>
          <cell r="N24">
            <v>0</v>
          </cell>
        </row>
        <row r="25">
          <cell r="B25" t="str">
            <v>Loading Bay/ Back of House Service Areas</v>
          </cell>
          <cell r="E25">
            <v>1.5</v>
          </cell>
          <cell r="F25">
            <v>0</v>
          </cell>
          <cell r="K25">
            <v>91</v>
          </cell>
        </row>
        <row r="26">
          <cell r="A26" t="str">
            <v xml:space="preserve">SECTION 3 - MECHANICAL </v>
          </cell>
          <cell r="E26">
            <v>18.5</v>
          </cell>
          <cell r="F26">
            <v>0</v>
          </cell>
          <cell r="K26">
            <v>0</v>
          </cell>
        </row>
        <row r="27">
          <cell r="A27" t="str">
            <v>Part A - Cooling Systems</v>
          </cell>
          <cell r="E27">
            <v>9.5</v>
          </cell>
          <cell r="F27">
            <v>0</v>
          </cell>
          <cell r="K27">
            <v>0</v>
          </cell>
          <cell r="M27">
            <v>0</v>
          </cell>
        </row>
        <row r="28">
          <cell r="B28" t="str">
            <v>Chiller Plant</v>
          </cell>
          <cell r="E28">
            <v>9.5</v>
          </cell>
          <cell r="F28">
            <v>0</v>
          </cell>
        </row>
        <row r="29">
          <cell r="B29" t="str">
            <v>VRF</v>
          </cell>
          <cell r="E29">
            <v>1</v>
          </cell>
          <cell r="F29">
            <v>0</v>
          </cell>
        </row>
        <row r="30">
          <cell r="A30" t="str">
            <v>Part B - Other systems</v>
          </cell>
          <cell r="E30">
            <v>9</v>
          </cell>
          <cell r="F30">
            <v>0</v>
          </cell>
        </row>
        <row r="31">
          <cell r="B31" t="str">
            <v>Air Distribution System</v>
          </cell>
          <cell r="E31">
            <v>4</v>
          </cell>
          <cell r="F31">
            <v>0</v>
          </cell>
        </row>
        <row r="32">
          <cell r="B32" t="str">
            <v>Domestic Water Supply</v>
          </cell>
          <cell r="E32" t="str">
            <v>Pre-req</v>
          </cell>
          <cell r="M32" t="str">
            <v/>
          </cell>
        </row>
        <row r="33">
          <cell r="B33" t="str">
            <v>Sanitary System</v>
          </cell>
          <cell r="E33">
            <v>2</v>
          </cell>
          <cell r="F33">
            <v>0</v>
          </cell>
          <cell r="M33">
            <v>0</v>
          </cell>
        </row>
        <row r="34">
          <cell r="B34" t="str">
            <v>Fire Protection System</v>
          </cell>
          <cell r="E34">
            <v>2</v>
          </cell>
          <cell r="F34">
            <v>0</v>
          </cell>
        </row>
        <row r="35">
          <cell r="B35" t="str">
            <v>Building Management System</v>
          </cell>
          <cell r="E35">
            <v>1</v>
          </cell>
          <cell r="F35">
            <v>0</v>
          </cell>
        </row>
        <row r="36">
          <cell r="A36" t="str">
            <v xml:space="preserve">SECTION 4 - ELECTRICAL </v>
          </cell>
          <cell r="E36">
            <v>10.5</v>
          </cell>
          <cell r="F36">
            <v>0</v>
          </cell>
        </row>
        <row r="37">
          <cell r="B37" t="str">
            <v>Lighting System</v>
          </cell>
          <cell r="E37">
            <v>2</v>
          </cell>
          <cell r="F37">
            <v>0</v>
          </cell>
        </row>
        <row r="38">
          <cell r="B38" t="str">
            <v>Power Distribution System</v>
          </cell>
          <cell r="E38">
            <v>2</v>
          </cell>
          <cell r="F38">
            <v>0</v>
          </cell>
        </row>
        <row r="39">
          <cell r="B39" t="str">
            <v>Extra Low Voltage System</v>
          </cell>
          <cell r="E39">
            <v>3</v>
          </cell>
          <cell r="F39">
            <v>0</v>
          </cell>
        </row>
        <row r="40">
          <cell r="B40" t="str">
            <v>Lightning Protection System</v>
          </cell>
          <cell r="E40">
            <v>1</v>
          </cell>
          <cell r="F40">
            <v>0</v>
          </cell>
        </row>
        <row r="41">
          <cell r="B41" t="str">
            <v>Vertical Transportation System</v>
          </cell>
          <cell r="E41">
            <v>2</v>
          </cell>
          <cell r="F41">
            <v>0</v>
          </cell>
        </row>
        <row r="42">
          <cell r="B42" t="str">
            <v>Solar PV System</v>
          </cell>
          <cell r="E42">
            <v>0.5</v>
          </cell>
          <cell r="F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cell r="M17">
            <v>0</v>
          </cell>
        </row>
        <row r="18">
          <cell r="M18">
            <v>0</v>
          </cell>
        </row>
        <row r="19">
          <cell r="F19">
            <v>0</v>
          </cell>
        </row>
        <row r="20">
          <cell r="F20">
            <v>0</v>
          </cell>
          <cell r="M20">
            <v>0</v>
          </cell>
        </row>
        <row r="21">
          <cell r="F21">
            <v>0</v>
          </cell>
          <cell r="M21">
            <v>0</v>
          </cell>
        </row>
        <row r="22">
          <cell r="F22">
            <v>0</v>
          </cell>
        </row>
        <row r="23">
          <cell r="F23">
            <v>0</v>
          </cell>
        </row>
        <row r="24">
          <cell r="F24">
            <v>0</v>
          </cell>
          <cell r="K24">
            <v>0</v>
          </cell>
          <cell r="N24">
            <v>0</v>
          </cell>
        </row>
        <row r="25">
          <cell r="F25">
            <v>0</v>
          </cell>
        </row>
        <row r="26">
          <cell r="F26">
            <v>0</v>
          </cell>
          <cell r="K26">
            <v>0</v>
          </cell>
        </row>
        <row r="27">
          <cell r="F27">
            <v>0</v>
          </cell>
          <cell r="K27">
            <v>0</v>
          </cell>
          <cell r="M27">
            <v>0</v>
          </cell>
        </row>
        <row r="28">
          <cell r="F28">
            <v>0</v>
          </cell>
        </row>
        <row r="29">
          <cell r="F29">
            <v>0</v>
          </cell>
        </row>
        <row r="30">
          <cell r="F30">
            <v>0</v>
          </cell>
        </row>
        <row r="31">
          <cell r="F31">
            <v>0</v>
          </cell>
        </row>
        <row r="32">
          <cell r="M32" t="str">
            <v/>
          </cell>
        </row>
        <row r="33">
          <cell r="F33">
            <v>0</v>
          </cell>
          <cell r="M33">
            <v>0</v>
          </cell>
        </row>
        <row r="34">
          <cell r="F34">
            <v>0</v>
          </cell>
        </row>
        <row r="35">
          <cell r="F35">
            <v>0</v>
          </cell>
        </row>
        <row r="36">
          <cell r="F36">
            <v>0</v>
          </cell>
        </row>
        <row r="37">
          <cell r="F37">
            <v>0</v>
          </cell>
        </row>
        <row r="38">
          <cell r="F38">
            <v>0</v>
          </cell>
        </row>
        <row r="39">
          <cell r="F39">
            <v>0</v>
          </cell>
        </row>
        <row r="40">
          <cell r="F40">
            <v>0</v>
          </cell>
        </row>
        <row r="41">
          <cell r="F41">
            <v>0</v>
          </cell>
        </row>
        <row r="42">
          <cell r="F42">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5"/>
  <sheetViews>
    <sheetView tabSelected="1" zoomScaleNormal="100" workbookViewId="0">
      <selection activeCell="C14" sqref="C14"/>
    </sheetView>
  </sheetViews>
  <sheetFormatPr defaultColWidth="8.81640625" defaultRowHeight="14.5" x14ac:dyDescent="0.35"/>
  <cols>
    <col min="1" max="1" width="33.81640625" style="255" customWidth="1"/>
    <col min="2" max="2" width="11.81640625" style="7" customWidth="1"/>
    <col min="3" max="3" width="63" style="7" customWidth="1"/>
    <col min="4" max="5" width="50.7265625" style="7" customWidth="1"/>
    <col min="6" max="6" width="8.81640625" style="7"/>
    <col min="7" max="7" width="63" style="252" hidden="1" customWidth="1"/>
    <col min="8" max="16384" width="8.81640625" style="7"/>
  </cols>
  <sheetData>
    <row r="2" spans="1:7" s="250" customFormat="1" ht="20" x14ac:dyDescent="0.4">
      <c r="A2" s="293"/>
      <c r="B2" s="293"/>
      <c r="C2" s="293"/>
    </row>
    <row r="3" spans="1:7" s="250" customFormat="1" ht="20" x14ac:dyDescent="0.4">
      <c r="A3" s="13"/>
      <c r="B3" s="14"/>
      <c r="C3" s="15"/>
    </row>
    <row r="4" spans="1:7" s="250" customFormat="1" ht="20" x14ac:dyDescent="0.4">
      <c r="A4" s="13" t="s">
        <v>0</v>
      </c>
      <c r="B4" s="14"/>
      <c r="C4" s="15"/>
    </row>
    <row r="5" spans="1:7" s="250" customFormat="1" ht="20" x14ac:dyDescent="0.4">
      <c r="A5" s="13"/>
      <c r="B5" s="14"/>
      <c r="C5" s="15"/>
    </row>
    <row r="6" spans="1:7" s="250" customFormat="1" ht="31.5" customHeight="1" x14ac:dyDescent="0.4">
      <c r="A6" s="16"/>
      <c r="B6" s="17"/>
      <c r="C6" s="18"/>
    </row>
    <row r="7" spans="1:7" ht="20.149999999999999" customHeight="1" x14ac:dyDescent="0.35">
      <c r="A7" s="294" t="s">
        <v>1</v>
      </c>
      <c r="B7" s="294"/>
      <c r="C7" s="294"/>
      <c r="G7" s="251" t="s">
        <v>2</v>
      </c>
    </row>
    <row r="8" spans="1:7" ht="20.149999999999999" customHeight="1" x14ac:dyDescent="0.35">
      <c r="A8" s="292" t="s">
        <v>3</v>
      </c>
      <c r="B8" s="292"/>
      <c r="C8" s="19"/>
    </row>
    <row r="9" spans="1:7" ht="20.149999999999999" customHeight="1" x14ac:dyDescent="0.35">
      <c r="A9" s="292" t="s">
        <v>4</v>
      </c>
      <c r="B9" s="292"/>
      <c r="C9" s="19"/>
    </row>
    <row r="10" spans="1:7" ht="20.149999999999999" customHeight="1" x14ac:dyDescent="0.35">
      <c r="A10" s="292" t="s">
        <v>5</v>
      </c>
      <c r="B10" s="292"/>
      <c r="C10" s="19"/>
      <c r="G10" s="253" t="s">
        <v>6</v>
      </c>
    </row>
    <row r="11" spans="1:7" ht="20.149999999999999" customHeight="1" x14ac:dyDescent="0.35">
      <c r="A11" s="292" t="s">
        <v>7</v>
      </c>
      <c r="B11" s="292"/>
      <c r="C11" s="20"/>
      <c r="G11" s="253"/>
    </row>
    <row r="12" spans="1:7" ht="20.149999999999999" customHeight="1" x14ac:dyDescent="0.35">
      <c r="A12" s="292" t="s">
        <v>8</v>
      </c>
      <c r="B12" s="292"/>
      <c r="C12" s="20"/>
      <c r="G12" s="253"/>
    </row>
    <row r="13" spans="1:7" ht="20.149999999999999" customHeight="1" x14ac:dyDescent="0.35">
      <c r="A13" s="292" t="s">
        <v>9</v>
      </c>
      <c r="B13" s="292"/>
      <c r="C13" s="20"/>
      <c r="G13" s="253"/>
    </row>
    <row r="14" spans="1:7" ht="20.149999999999999" customHeight="1" x14ac:dyDescent="0.35">
      <c r="A14" s="295"/>
      <c r="B14" s="295"/>
      <c r="C14" s="254"/>
      <c r="G14" s="253"/>
    </row>
    <row r="15" spans="1:7" ht="20.149999999999999" customHeight="1" x14ac:dyDescent="0.35">
      <c r="A15" s="295" t="s">
        <v>10</v>
      </c>
      <c r="B15" s="295"/>
      <c r="C15" s="21"/>
      <c r="G15" s="253"/>
    </row>
    <row r="16" spans="1:7" ht="20.149999999999999" customHeight="1" x14ac:dyDescent="0.35">
      <c r="A16" s="292" t="s">
        <v>11</v>
      </c>
      <c r="B16" s="292"/>
      <c r="C16" s="22"/>
      <c r="G16" s="253" t="s">
        <v>12</v>
      </c>
    </row>
    <row r="17" spans="1:3" ht="20.149999999999999" customHeight="1" x14ac:dyDescent="0.35">
      <c r="A17" s="292" t="s">
        <v>13</v>
      </c>
      <c r="B17" s="292"/>
      <c r="C17" s="23"/>
    </row>
    <row r="18" spans="1:3" ht="20.149999999999999" customHeight="1" x14ac:dyDescent="0.35">
      <c r="A18" s="292" t="s">
        <v>14</v>
      </c>
      <c r="B18" s="292"/>
      <c r="C18" s="22"/>
    </row>
    <row r="19" spans="1:3" ht="20.149999999999999" customHeight="1" x14ac:dyDescent="0.35">
      <c r="A19" s="292" t="s">
        <v>15</v>
      </c>
      <c r="B19" s="292"/>
      <c r="C19" s="24"/>
    </row>
    <row r="20" spans="1:3" ht="20.149999999999999" customHeight="1" x14ac:dyDescent="0.35">
      <c r="A20" s="297" t="s">
        <v>16</v>
      </c>
      <c r="B20" s="297"/>
      <c r="C20" s="25"/>
    </row>
    <row r="21" spans="1:3" ht="20.149999999999999" customHeight="1" x14ac:dyDescent="0.35">
      <c r="A21" s="297" t="s">
        <v>17</v>
      </c>
      <c r="B21" s="297"/>
      <c r="C21" s="26"/>
    </row>
    <row r="22" spans="1:3" ht="20.149999999999999" customHeight="1" x14ac:dyDescent="0.35">
      <c r="A22" s="297" t="s">
        <v>18</v>
      </c>
      <c r="B22" s="297"/>
      <c r="C22" s="27"/>
    </row>
    <row r="23" spans="1:3" ht="20.149999999999999" customHeight="1" x14ac:dyDescent="0.35">
      <c r="A23" s="292" t="s">
        <v>19</v>
      </c>
      <c r="B23" s="292"/>
      <c r="C23" s="8"/>
    </row>
    <row r="24" spans="1:3" x14ac:dyDescent="0.35">
      <c r="A24" s="292"/>
      <c r="B24" s="292"/>
      <c r="C24" s="8"/>
    </row>
    <row r="25" spans="1:3" ht="104.25" customHeight="1" x14ac:dyDescent="0.35">
      <c r="A25" s="296" t="s">
        <v>20</v>
      </c>
      <c r="B25" s="296"/>
      <c r="C25" s="287"/>
    </row>
  </sheetData>
  <sheetProtection algorithmName="SHA-512" hashValue="8bghRogV0XKMOEY6HXDc7SPMG+EDsKU8AUsIYQDKyJNsRx6HJaReUHLKuj09wC6nD+eHNKm9lR4/jMMJX2aT9Q==" saltValue="JLnUcZ1dzmyCI1ITvESidw==" spinCount="100000" sheet="1" formatCells="0" selectLockedCells="1"/>
  <mergeCells count="20">
    <mergeCell ref="A24:B24"/>
    <mergeCell ref="A25:B25"/>
    <mergeCell ref="A22:B22"/>
    <mergeCell ref="A23:B23"/>
    <mergeCell ref="A17:B17"/>
    <mergeCell ref="A18:B18"/>
    <mergeCell ref="A19:B19"/>
    <mergeCell ref="A20:B20"/>
    <mergeCell ref="A21:B21"/>
    <mergeCell ref="A16:B16"/>
    <mergeCell ref="A2:C2"/>
    <mergeCell ref="A7:C7"/>
    <mergeCell ref="A8:B8"/>
    <mergeCell ref="A9:B9"/>
    <mergeCell ref="A10:B10"/>
    <mergeCell ref="A11:B11"/>
    <mergeCell ref="A12:B12"/>
    <mergeCell ref="A13:B13"/>
    <mergeCell ref="A14:B14"/>
    <mergeCell ref="A15:B15"/>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E18" sqref="E18"/>
    </sheetView>
  </sheetViews>
  <sheetFormatPr defaultColWidth="9.1796875" defaultRowHeight="14.5" x14ac:dyDescent="0.35"/>
  <cols>
    <col min="1" max="1" width="29.81640625" style="7" customWidth="1"/>
    <col min="2" max="2" width="26.26953125" style="7" customWidth="1"/>
    <col min="3" max="3" width="26.1796875" style="7" customWidth="1"/>
    <col min="4" max="5" width="23.54296875" style="7" customWidth="1"/>
    <col min="6" max="6" width="50.7265625" style="7" customWidth="1"/>
    <col min="7" max="16384" width="9.1796875" style="7"/>
  </cols>
  <sheetData>
    <row r="1" spans="1:5" ht="31" x14ac:dyDescent="0.7">
      <c r="A1" s="36" t="s">
        <v>21</v>
      </c>
    </row>
    <row r="2" spans="1:5" x14ac:dyDescent="0.35">
      <c r="A2" s="35" t="s">
        <v>22</v>
      </c>
    </row>
    <row r="3" spans="1:5" x14ac:dyDescent="0.35">
      <c r="A3" s="35" t="s">
        <v>23</v>
      </c>
    </row>
    <row r="4" spans="1:5" x14ac:dyDescent="0.35">
      <c r="A4" s="35" t="s">
        <v>24</v>
      </c>
    </row>
    <row r="5" spans="1:5" x14ac:dyDescent="0.35">
      <c r="A5"/>
    </row>
    <row r="6" spans="1:5" ht="31" x14ac:dyDescent="0.7">
      <c r="A6"/>
      <c r="B6" s="300" t="s">
        <v>25</v>
      </c>
      <c r="C6" s="300"/>
      <c r="D6" s="300"/>
      <c r="E6" s="300"/>
    </row>
    <row r="7" spans="1:5" ht="18.5" x14ac:dyDescent="0.45">
      <c r="A7" s="28"/>
      <c r="B7" s="231" t="s">
        <v>26</v>
      </c>
      <c r="C7" s="231" t="s">
        <v>27</v>
      </c>
      <c r="D7" s="231" t="s">
        <v>28</v>
      </c>
      <c r="E7" s="231" t="s">
        <v>29</v>
      </c>
    </row>
    <row r="8" spans="1:5" ht="18.5" x14ac:dyDescent="0.45">
      <c r="A8" s="29" t="s">
        <v>30</v>
      </c>
      <c r="B8" s="9">
        <v>15</v>
      </c>
      <c r="C8" s="11">
        <f>'4. Resilience'!F2</f>
        <v>0</v>
      </c>
      <c r="D8" s="288" t="str">
        <f>IF(C8&gt;=10, "Y","")</f>
        <v/>
      </c>
      <c r="E8" s="8"/>
    </row>
    <row r="9" spans="1:5" ht="18.5" x14ac:dyDescent="0.45">
      <c r="A9" s="30" t="s">
        <v>31</v>
      </c>
      <c r="B9" s="9">
        <v>15</v>
      </c>
      <c r="C9" s="11">
        <f>'5. Whole Life Carbon'!H2</f>
        <v>0</v>
      </c>
      <c r="D9" s="288" t="str">
        <f>IF(C9&gt;=10, "Y","")</f>
        <v/>
      </c>
      <c r="E9" s="8"/>
    </row>
    <row r="10" spans="1:5" ht="18.5" x14ac:dyDescent="0.45">
      <c r="A10" s="31" t="s">
        <v>32</v>
      </c>
      <c r="B10" s="9">
        <v>15</v>
      </c>
      <c r="C10" s="11">
        <f>'6. Health&amp;Wellbeing'!H2</f>
        <v>0</v>
      </c>
      <c r="D10" s="288" t="str">
        <f>IF(C10&gt;=10, "Y","")</f>
        <v/>
      </c>
      <c r="E10" s="8"/>
    </row>
    <row r="11" spans="1:5" ht="18.5" x14ac:dyDescent="0.45">
      <c r="A11" s="32" t="s">
        <v>33</v>
      </c>
      <c r="B11" s="9">
        <v>15</v>
      </c>
      <c r="C11" s="11">
        <f>'7. Intelligence'!F2</f>
        <v>0</v>
      </c>
      <c r="D11" s="288" t="str">
        <f>IF(AND('7. Intelligence'!C13="N",'2. Summary'!C11&gt;9.99),"Y",IF(AND('7. Intelligence'!C13="Y",'2. Summary'!C11&gt;9.99,'7. Intelligence'!F17&gt;0.1),"Y",""))</f>
        <v/>
      </c>
      <c r="E11" s="8"/>
    </row>
    <row r="12" spans="1:5" ht="18.5" x14ac:dyDescent="0.45">
      <c r="A12" s="232" t="s">
        <v>34</v>
      </c>
      <c r="B12" s="9">
        <v>15</v>
      </c>
      <c r="C12" s="11">
        <f>D32</f>
        <v>0</v>
      </c>
      <c r="D12" s="288" t="str">
        <f>IF('8. Maintainability'!C68="Yes","Y","")</f>
        <v/>
      </c>
      <c r="E12" s="8"/>
    </row>
    <row r="13" spans="1:5" ht="18.5" x14ac:dyDescent="0.45">
      <c r="A13" s="33" t="s">
        <v>35</v>
      </c>
      <c r="B13" s="231">
        <v>75</v>
      </c>
      <c r="C13" s="11">
        <f>SUM(C8:C12)</f>
        <v>0</v>
      </c>
      <c r="D13" s="34"/>
      <c r="E13" s="8"/>
    </row>
    <row r="14" spans="1:5" x14ac:dyDescent="0.35">
      <c r="A14"/>
      <c r="B14"/>
      <c r="C14"/>
      <c r="D14"/>
    </row>
    <row r="15" spans="1:5" x14ac:dyDescent="0.35">
      <c r="A15"/>
      <c r="B15"/>
      <c r="C15"/>
      <c r="D15"/>
    </row>
    <row r="16" spans="1:5" x14ac:dyDescent="0.35">
      <c r="A16"/>
      <c r="B16"/>
      <c r="C16"/>
      <c r="D16"/>
    </row>
    <row r="17" spans="1:4" ht="18.5" x14ac:dyDescent="0.45">
      <c r="A17" s="298" t="s">
        <v>36</v>
      </c>
      <c r="B17" s="298"/>
      <c r="C17" s="231" t="s">
        <v>26</v>
      </c>
      <c r="D17" s="231" t="s">
        <v>27</v>
      </c>
    </row>
    <row r="18" spans="1:4" ht="18.5" x14ac:dyDescent="0.45">
      <c r="A18" s="29" t="s">
        <v>37</v>
      </c>
      <c r="B18" s="29" t="s">
        <v>38</v>
      </c>
      <c r="C18" s="9">
        <v>5</v>
      </c>
      <c r="D18" s="11">
        <f>'4. Resilience'!F3</f>
        <v>0</v>
      </c>
    </row>
    <row r="19" spans="1:4" ht="18.5" x14ac:dyDescent="0.45">
      <c r="A19" s="29" t="s">
        <v>39</v>
      </c>
      <c r="B19" s="29" t="s">
        <v>40</v>
      </c>
      <c r="C19" s="9">
        <v>5</v>
      </c>
      <c r="D19" s="11">
        <f>'4. Resilience'!F28</f>
        <v>0</v>
      </c>
    </row>
    <row r="20" spans="1:4" ht="18.5" x14ac:dyDescent="0.45">
      <c r="A20" s="29" t="s">
        <v>41</v>
      </c>
      <c r="B20" s="29" t="s">
        <v>42</v>
      </c>
      <c r="C20" s="9">
        <v>5</v>
      </c>
      <c r="D20" s="11">
        <f>'4. Resilience'!F54</f>
        <v>0</v>
      </c>
    </row>
    <row r="21" spans="1:4" ht="18.5" x14ac:dyDescent="0.45">
      <c r="A21" s="30" t="s">
        <v>43</v>
      </c>
      <c r="B21" s="30" t="s">
        <v>44</v>
      </c>
      <c r="C21" s="9">
        <v>5</v>
      </c>
      <c r="D21" s="11">
        <f>'5. Whole Life Carbon'!H3</f>
        <v>0</v>
      </c>
    </row>
    <row r="22" spans="1:4" ht="18.5" x14ac:dyDescent="0.45">
      <c r="A22" s="30" t="s">
        <v>45</v>
      </c>
      <c r="B22" s="30" t="s">
        <v>46</v>
      </c>
      <c r="C22" s="9">
        <v>5</v>
      </c>
      <c r="D22" s="11">
        <f>'5. Whole Life Carbon'!H31</f>
        <v>0</v>
      </c>
    </row>
    <row r="23" spans="1:4" ht="18.5" x14ac:dyDescent="0.45">
      <c r="A23" s="30" t="s">
        <v>47</v>
      </c>
      <c r="B23" s="30" t="s">
        <v>48</v>
      </c>
      <c r="C23" s="9">
        <v>5</v>
      </c>
      <c r="D23" s="11">
        <f>'5. Whole Life Carbon'!H70</f>
        <v>0</v>
      </c>
    </row>
    <row r="24" spans="1:4" ht="18.5" x14ac:dyDescent="0.45">
      <c r="A24" s="31" t="s">
        <v>49</v>
      </c>
      <c r="B24" s="31" t="s">
        <v>50</v>
      </c>
      <c r="C24" s="9">
        <v>5</v>
      </c>
      <c r="D24" s="11">
        <f>'6. Health&amp;Wellbeing'!H3</f>
        <v>0</v>
      </c>
    </row>
    <row r="25" spans="1:4" ht="18.5" x14ac:dyDescent="0.45">
      <c r="A25" s="31" t="s">
        <v>51</v>
      </c>
      <c r="B25" s="31" t="s">
        <v>52</v>
      </c>
      <c r="C25" s="9">
        <v>5</v>
      </c>
      <c r="D25" s="11">
        <f>'6. Health&amp;Wellbeing'!H46</f>
        <v>0</v>
      </c>
    </row>
    <row r="26" spans="1:4" ht="18.5" x14ac:dyDescent="0.45">
      <c r="A26" s="31" t="s">
        <v>53</v>
      </c>
      <c r="B26" s="31" t="s">
        <v>54</v>
      </c>
      <c r="C26" s="9">
        <v>5</v>
      </c>
      <c r="D26" s="11">
        <f>'6. Health&amp;Wellbeing'!H71</f>
        <v>0</v>
      </c>
    </row>
    <row r="27" spans="1:4" ht="18.5" x14ac:dyDescent="0.45">
      <c r="A27" s="32" t="s">
        <v>55</v>
      </c>
      <c r="B27" s="32" t="s">
        <v>56</v>
      </c>
      <c r="C27" s="9">
        <v>5</v>
      </c>
      <c r="D27" s="11">
        <f>'7. Intelligence'!F3</f>
        <v>0</v>
      </c>
    </row>
    <row r="28" spans="1:4" ht="18.5" x14ac:dyDescent="0.45">
      <c r="A28" s="32" t="s">
        <v>57</v>
      </c>
      <c r="B28" s="32" t="s">
        <v>58</v>
      </c>
      <c r="C28" s="9">
        <v>5</v>
      </c>
      <c r="D28" s="11">
        <f>'7. Intelligence'!F22</f>
        <v>0</v>
      </c>
    </row>
    <row r="29" spans="1:4" ht="18.5" x14ac:dyDescent="0.45">
      <c r="A29" s="32" t="s">
        <v>59</v>
      </c>
      <c r="B29" s="32" t="s">
        <v>60</v>
      </c>
      <c r="C29" s="9">
        <v>5</v>
      </c>
      <c r="D29" s="11">
        <f>'7. Intelligence'!F33</f>
        <v>0</v>
      </c>
    </row>
    <row r="30" spans="1:4" x14ac:dyDescent="0.35">
      <c r="A30"/>
      <c r="B30"/>
      <c r="C30"/>
      <c r="D30"/>
    </row>
    <row r="31" spans="1:4" ht="37" x14ac:dyDescent="0.35">
      <c r="A31" s="299" t="s">
        <v>34</v>
      </c>
      <c r="B31" s="12" t="s">
        <v>61</v>
      </c>
      <c r="C31" s="12" t="s">
        <v>62</v>
      </c>
      <c r="D31" s="12" t="s">
        <v>63</v>
      </c>
    </row>
    <row r="32" spans="1:4" ht="18.75" customHeight="1" x14ac:dyDescent="0.45">
      <c r="A32" s="299"/>
      <c r="B32" s="10">
        <f>'8. Maintainability'!C7</f>
        <v>91</v>
      </c>
      <c r="C32" s="11">
        <f>IF(AND('8. Maintainability'!E65=0,'8. Maintainability'!G65=""),0,IF('8. Maintainability'!E65=0,'8. Maintainability'!G65,'8. Maintainability'!E65))</f>
        <v>0</v>
      </c>
      <c r="D32" s="11">
        <f>IF('8. Maintainability'!C67="",0,'8. Maintainability'!C67)</f>
        <v>0</v>
      </c>
    </row>
  </sheetData>
  <sheetProtection algorithmName="SHA-512" hashValue="pLxJ3j8qIMp3znml8VOWzm77AQMbqBmjUczIAkRnv7lT9SvLRmxDgzV5zZN0pveJLtVvi28jhRt20zjxlTz0KA==" saltValue="ymbxQ/GDRGYaMlxReE5SNw==" spinCount="100000" sheet="1" formatCells="0" selectLockedCells="1"/>
  <mergeCells count="3">
    <mergeCell ref="A17:B17"/>
    <mergeCell ref="A31:A32"/>
    <mergeCell ref="B6:E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
  <sheetViews>
    <sheetView zoomScaleNormal="100" workbookViewId="0">
      <selection activeCell="C16" sqref="C16"/>
    </sheetView>
  </sheetViews>
  <sheetFormatPr defaultColWidth="9.1796875" defaultRowHeight="14.5" x14ac:dyDescent="0.35"/>
  <cols>
    <col min="1" max="1" width="8.7265625" customWidth="1"/>
    <col min="2" max="2" width="65.7265625" customWidth="1"/>
    <col min="3" max="4" width="10.7265625" customWidth="1"/>
    <col min="5" max="6" width="50.7265625" customWidth="1"/>
    <col min="7" max="7" width="15.54296875" customWidth="1"/>
    <col min="8" max="8" width="17.26953125" customWidth="1"/>
  </cols>
  <sheetData>
    <row r="1" spans="1:4" ht="31" x14ac:dyDescent="0.35">
      <c r="A1" s="303" t="s">
        <v>64</v>
      </c>
      <c r="B1" s="303"/>
      <c r="C1" s="37" t="s">
        <v>65</v>
      </c>
      <c r="D1" s="37" t="s">
        <v>66</v>
      </c>
    </row>
    <row r="2" spans="1:4" ht="21" x14ac:dyDescent="0.35">
      <c r="A2" s="302" t="s">
        <v>67</v>
      </c>
      <c r="B2" s="302"/>
      <c r="C2" s="38"/>
      <c r="D2" s="38"/>
    </row>
    <row r="3" spans="1:4" ht="15.5" x14ac:dyDescent="0.35">
      <c r="A3" s="34"/>
      <c r="B3" s="39" t="s">
        <v>68</v>
      </c>
      <c r="C3" s="4"/>
      <c r="D3" s="40" t="s">
        <v>69</v>
      </c>
    </row>
    <row r="4" spans="1:4" ht="15.5" x14ac:dyDescent="0.35">
      <c r="A4" s="301" t="s">
        <v>70</v>
      </c>
      <c r="B4" s="301"/>
      <c r="C4" s="41"/>
      <c r="D4" s="41"/>
    </row>
    <row r="5" spans="1:4" ht="15.5" x14ac:dyDescent="0.35">
      <c r="A5" s="34"/>
      <c r="B5" s="39" t="s">
        <v>71</v>
      </c>
      <c r="C5" s="4"/>
      <c r="D5" s="40" t="s">
        <v>72</v>
      </c>
    </row>
    <row r="6" spans="1:4" ht="15.5" x14ac:dyDescent="0.35">
      <c r="A6" s="301" t="s">
        <v>73</v>
      </c>
      <c r="B6" s="301"/>
      <c r="C6" s="42"/>
      <c r="D6" s="42"/>
    </row>
    <row r="7" spans="1:4" ht="15.5" x14ac:dyDescent="0.35">
      <c r="A7" s="43" t="s">
        <v>74</v>
      </c>
      <c r="B7" s="44" t="s">
        <v>75</v>
      </c>
      <c r="C7" s="4"/>
      <c r="D7" s="40" t="s">
        <v>72</v>
      </c>
    </row>
    <row r="8" spans="1:4" ht="15.5" x14ac:dyDescent="0.35">
      <c r="A8" s="43" t="s">
        <v>76</v>
      </c>
      <c r="B8" s="45" t="s">
        <v>77</v>
      </c>
      <c r="C8" s="4"/>
      <c r="D8" s="40" t="s">
        <v>78</v>
      </c>
    </row>
    <row r="9" spans="1:4" ht="15.5" x14ac:dyDescent="0.35">
      <c r="A9" s="304" t="s">
        <v>79</v>
      </c>
      <c r="B9" s="45" t="s">
        <v>80</v>
      </c>
      <c r="C9" s="4"/>
      <c r="D9" s="40" t="s">
        <v>72</v>
      </c>
    </row>
    <row r="10" spans="1:4" ht="15.5" x14ac:dyDescent="0.35">
      <c r="A10" s="304"/>
      <c r="B10" s="45" t="s">
        <v>81</v>
      </c>
      <c r="C10" s="40"/>
      <c r="D10" s="40"/>
    </row>
    <row r="11" spans="1:4" ht="15.5" x14ac:dyDescent="0.35">
      <c r="A11" s="304"/>
      <c r="B11" s="45" t="s">
        <v>82</v>
      </c>
      <c r="C11" s="4"/>
      <c r="D11" s="40" t="s">
        <v>72</v>
      </c>
    </row>
    <row r="12" spans="1:4" ht="15.5" x14ac:dyDescent="0.35">
      <c r="A12" s="304"/>
      <c r="B12" s="45" t="s">
        <v>83</v>
      </c>
      <c r="C12" s="4"/>
      <c r="D12" s="40" t="s">
        <v>72</v>
      </c>
    </row>
    <row r="13" spans="1:4" ht="15.5" x14ac:dyDescent="0.35">
      <c r="A13" s="43" t="s">
        <v>84</v>
      </c>
      <c r="B13" s="45" t="s">
        <v>85</v>
      </c>
      <c r="C13" s="4"/>
      <c r="D13" s="40" t="s">
        <v>72</v>
      </c>
    </row>
    <row r="14" spans="1:4" ht="15.5" x14ac:dyDescent="0.35">
      <c r="A14" s="43" t="s">
        <v>86</v>
      </c>
      <c r="B14" s="45" t="s">
        <v>87</v>
      </c>
      <c r="C14" s="4"/>
      <c r="D14" s="46" t="s">
        <v>78</v>
      </c>
    </row>
    <row r="15" spans="1:4" ht="15.5" x14ac:dyDescent="0.35">
      <c r="A15" s="304" t="s">
        <v>88</v>
      </c>
      <c r="B15" s="45" t="s">
        <v>89</v>
      </c>
      <c r="C15" s="34"/>
      <c r="D15" s="34"/>
    </row>
    <row r="16" spans="1:4" ht="46.5" x14ac:dyDescent="0.35">
      <c r="A16" s="304"/>
      <c r="B16" s="47" t="s">
        <v>90</v>
      </c>
      <c r="C16" s="4"/>
      <c r="D16" s="40" t="s">
        <v>69</v>
      </c>
    </row>
    <row r="17" spans="1:4" ht="15.5" x14ac:dyDescent="0.35">
      <c r="A17" s="304"/>
      <c r="B17" s="48" t="s">
        <v>91</v>
      </c>
      <c r="C17" s="4"/>
      <c r="D17" s="40" t="s">
        <v>69</v>
      </c>
    </row>
    <row r="18" spans="1:4" ht="31" x14ac:dyDescent="0.35">
      <c r="A18" s="304"/>
      <c r="B18" s="47" t="s">
        <v>92</v>
      </c>
      <c r="C18" s="4"/>
      <c r="D18" s="40" t="s">
        <v>69</v>
      </c>
    </row>
    <row r="19" spans="1:4" ht="46.5" x14ac:dyDescent="0.35">
      <c r="A19" s="304"/>
      <c r="B19" s="47" t="s">
        <v>93</v>
      </c>
      <c r="C19" s="4"/>
      <c r="D19" s="40" t="s">
        <v>69</v>
      </c>
    </row>
    <row r="20" spans="1:4" ht="31" x14ac:dyDescent="0.35">
      <c r="A20" s="43" t="s">
        <v>94</v>
      </c>
      <c r="B20" s="47" t="s">
        <v>95</v>
      </c>
      <c r="C20" s="50"/>
      <c r="D20" s="40" t="s">
        <v>72</v>
      </c>
    </row>
    <row r="21" spans="1:4" ht="31" x14ac:dyDescent="0.35">
      <c r="A21" s="43" t="s">
        <v>96</v>
      </c>
      <c r="B21" s="47" t="s">
        <v>97</v>
      </c>
      <c r="C21" s="50"/>
      <c r="D21" s="40" t="s">
        <v>72</v>
      </c>
    </row>
    <row r="22" spans="1:4" ht="15.5" x14ac:dyDescent="0.35">
      <c r="A22" s="301" t="s">
        <v>98</v>
      </c>
      <c r="B22" s="301"/>
      <c r="C22" s="42"/>
      <c r="D22" s="42"/>
    </row>
    <row r="23" spans="1:4" ht="15.5" x14ac:dyDescent="0.35">
      <c r="A23" s="43" t="s">
        <v>74</v>
      </c>
      <c r="B23" s="49" t="s">
        <v>99</v>
      </c>
      <c r="C23" s="4"/>
      <c r="D23" s="40" t="s">
        <v>72</v>
      </c>
    </row>
    <row r="24" spans="1:4" ht="15.5" x14ac:dyDescent="0.35">
      <c r="A24" s="43" t="s">
        <v>76</v>
      </c>
      <c r="B24" s="49" t="s">
        <v>100</v>
      </c>
      <c r="C24" s="4"/>
      <c r="D24" s="40" t="s">
        <v>72</v>
      </c>
    </row>
  </sheetData>
  <sheetProtection algorithmName="SHA-512" hashValue="Mo6TWrI6ZkbcKl5fyQqgPY8mmNnxX/vP3npOmo+JJR9sNWWpslWnkPsMonlcsKEGSYlzHdKqkG7YQ5XP3Von3w==" saltValue="B7SUBTpyFUEpJNnVfBlA8Q==" spinCount="100000" sheet="1" formatCells="0" selectLockedCells="1"/>
  <mergeCells count="7">
    <mergeCell ref="A6:B6"/>
    <mergeCell ref="A4:B4"/>
    <mergeCell ref="A2:B2"/>
    <mergeCell ref="A1:B1"/>
    <mergeCell ref="A22:B22"/>
    <mergeCell ref="A9:A12"/>
    <mergeCell ref="A15:A19"/>
  </mergeCells>
  <dataValidations count="3">
    <dataValidation type="decimal" allowBlank="1" showInputMessage="1" showErrorMessage="1" sqref="C20:C21" xr:uid="{00000000-0002-0000-0200-000000000000}">
      <formula1>0</formula1>
      <formula2>100</formula2>
    </dataValidation>
    <dataValidation type="list" allowBlank="1" showInputMessage="1" showErrorMessage="1" sqref="C3 C23:C24 C16:C19" xr:uid="{00000000-0002-0000-0200-000001000000}">
      <formula1>"Y,N"</formula1>
    </dataValidation>
    <dataValidation type="decimal" allowBlank="1" showInputMessage="1" showErrorMessage="1" sqref="C5 C7:C14" xr:uid="{00000000-0002-0000-0200-000002000000}">
      <formula1>0</formula1>
      <formula2>1000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G69" sqref="G69"/>
    </sheetView>
  </sheetViews>
  <sheetFormatPr defaultColWidth="9.1796875" defaultRowHeight="15.5" x14ac:dyDescent="0.35"/>
  <cols>
    <col min="1" max="1" width="8.26953125" style="262" customWidth="1"/>
    <col min="2" max="2" width="65.7265625" style="7" customWidth="1"/>
    <col min="3" max="4" width="10.7265625" style="7" customWidth="1"/>
    <col min="5" max="5" width="19.26953125" style="7" customWidth="1"/>
    <col min="6" max="6" width="10.7265625" style="7" customWidth="1"/>
    <col min="7" max="7" width="30.7265625" style="7" customWidth="1"/>
    <col min="8" max="8" width="8.7265625" style="7" customWidth="1"/>
    <col min="9" max="9" width="10.7265625" style="7" customWidth="1"/>
    <col min="10" max="11" width="15.7265625" style="7" customWidth="1"/>
    <col min="12" max="12" width="50.7265625" style="7" customWidth="1"/>
    <col min="13" max="16384" width="9.1796875" style="7"/>
  </cols>
  <sheetData>
    <row r="1" spans="1:11" ht="31" x14ac:dyDescent="0.35">
      <c r="A1" s="51"/>
      <c r="B1" s="233" t="s">
        <v>101</v>
      </c>
      <c r="C1" s="37" t="s">
        <v>65</v>
      </c>
      <c r="D1" s="37" t="s">
        <v>66</v>
      </c>
      <c r="E1" s="52" t="s">
        <v>102</v>
      </c>
      <c r="F1" s="37" t="s">
        <v>103</v>
      </c>
      <c r="G1" s="233" t="s">
        <v>104</v>
      </c>
    </row>
    <row r="2" spans="1:11" ht="21" x14ac:dyDescent="0.35">
      <c r="A2" s="318" t="s">
        <v>30</v>
      </c>
      <c r="B2" s="319"/>
      <c r="C2" s="319"/>
      <c r="D2" s="320"/>
      <c r="E2" s="53">
        <v>15</v>
      </c>
      <c r="F2" s="510">
        <f>MIN(SUM(F3,F28,F54,F66), 15)</f>
        <v>0</v>
      </c>
      <c r="G2" s="54" t="s">
        <v>105</v>
      </c>
      <c r="H2" s="305"/>
      <c r="I2" s="306"/>
      <c r="J2" s="306"/>
      <c r="K2" s="306"/>
    </row>
    <row r="3" spans="1:11" x14ac:dyDescent="0.35">
      <c r="A3" s="55" t="s">
        <v>106</v>
      </c>
      <c r="B3" s="313" t="s">
        <v>107</v>
      </c>
      <c r="C3" s="313"/>
      <c r="D3" s="313"/>
      <c r="E3" s="56">
        <v>5</v>
      </c>
      <c r="F3" s="511">
        <f>MIN(SUM(F27,F23,F20,F16,F8),5)</f>
        <v>0</v>
      </c>
      <c r="G3" s="55"/>
      <c r="H3" s="305"/>
      <c r="I3" s="306"/>
      <c r="J3" s="306"/>
      <c r="K3" s="306"/>
    </row>
    <row r="4" spans="1:11" x14ac:dyDescent="0.35">
      <c r="A4" s="57" t="s">
        <v>108</v>
      </c>
      <c r="B4" s="58" t="s">
        <v>109</v>
      </c>
      <c r="C4" s="59"/>
      <c r="D4" s="60"/>
      <c r="E4" s="61"/>
      <c r="F4" s="512"/>
      <c r="G4" s="62"/>
      <c r="H4" s="305"/>
      <c r="I4" s="306"/>
      <c r="J4" s="306"/>
      <c r="K4" s="306"/>
    </row>
    <row r="5" spans="1:11" x14ac:dyDescent="0.35">
      <c r="A5" s="63" t="s">
        <v>110</v>
      </c>
      <c r="B5" s="64" t="s">
        <v>111</v>
      </c>
      <c r="C5" s="65"/>
      <c r="D5" s="66"/>
      <c r="E5" s="67"/>
      <c r="F5" s="513"/>
      <c r="G5" s="68"/>
      <c r="H5" s="305"/>
      <c r="I5" s="306"/>
      <c r="J5" s="306"/>
      <c r="K5" s="306"/>
    </row>
    <row r="6" spans="1:11" ht="31" x14ac:dyDescent="0.35">
      <c r="A6" s="239" t="s">
        <v>74</v>
      </c>
      <c r="B6" s="39" t="s">
        <v>112</v>
      </c>
      <c r="C6" s="1"/>
      <c r="D6" s="40" t="s">
        <v>69</v>
      </c>
      <c r="E6" s="81" t="s">
        <v>113</v>
      </c>
      <c r="F6" s="514">
        <f>IF(C6="Y",1,0)</f>
        <v>0</v>
      </c>
      <c r="G6" s="142"/>
      <c r="H6" s="305"/>
      <c r="I6" s="306"/>
      <c r="J6" s="306"/>
      <c r="K6" s="306"/>
    </row>
    <row r="7" spans="1:11" ht="46.5" x14ac:dyDescent="0.35">
      <c r="A7" s="239" t="s">
        <v>76</v>
      </c>
      <c r="B7" s="39" t="s">
        <v>114</v>
      </c>
      <c r="C7" s="1"/>
      <c r="D7" s="40" t="s">
        <v>69</v>
      </c>
      <c r="E7" s="244" t="s">
        <v>113</v>
      </c>
      <c r="F7" s="514">
        <f>IF((C7="Y")*AND(C6="Y"),1,0)</f>
        <v>0</v>
      </c>
      <c r="G7" s="142"/>
      <c r="H7" s="305"/>
      <c r="I7" s="306"/>
      <c r="J7" s="306"/>
      <c r="K7" s="306"/>
    </row>
    <row r="8" spans="1:11" x14ac:dyDescent="0.35">
      <c r="A8" s="69"/>
      <c r="B8" s="314" t="s">
        <v>115</v>
      </c>
      <c r="C8" s="315"/>
      <c r="D8" s="315"/>
      <c r="E8" s="315"/>
      <c r="F8" s="515">
        <f>MIN((F6+F7),2)</f>
        <v>0</v>
      </c>
      <c r="G8" s="70"/>
      <c r="H8" s="305"/>
      <c r="I8" s="306"/>
      <c r="J8" s="306"/>
      <c r="K8" s="306"/>
    </row>
    <row r="9" spans="1:11" x14ac:dyDescent="0.35">
      <c r="A9" s="71" t="s">
        <v>116</v>
      </c>
      <c r="B9" s="72" t="s">
        <v>117</v>
      </c>
      <c r="C9" s="73"/>
      <c r="D9" s="74"/>
      <c r="E9" s="67"/>
      <c r="F9" s="516"/>
      <c r="G9" s="68"/>
      <c r="H9" s="305"/>
      <c r="I9" s="306"/>
      <c r="J9" s="306"/>
      <c r="K9" s="306"/>
    </row>
    <row r="10" spans="1:11" ht="31" x14ac:dyDescent="0.35">
      <c r="A10" s="327" t="s">
        <v>74</v>
      </c>
      <c r="B10" s="75" t="s">
        <v>118</v>
      </c>
      <c r="C10" s="76"/>
      <c r="D10" s="77"/>
      <c r="E10" s="78"/>
      <c r="F10" s="517"/>
      <c r="G10" s="261"/>
      <c r="H10" s="305"/>
      <c r="I10" s="306"/>
      <c r="J10" s="306"/>
      <c r="K10" s="306"/>
    </row>
    <row r="11" spans="1:11" x14ac:dyDescent="0.35">
      <c r="A11" s="328"/>
      <c r="B11" s="79" t="s">
        <v>119</v>
      </c>
      <c r="C11" s="80" t="s">
        <v>120</v>
      </c>
      <c r="D11" s="81" t="s">
        <v>120</v>
      </c>
      <c r="E11" s="81" t="s">
        <v>120</v>
      </c>
      <c r="F11" s="291" t="s">
        <v>120</v>
      </c>
      <c r="G11" s="261"/>
      <c r="H11" s="305"/>
      <c r="I11" s="306"/>
      <c r="J11" s="306"/>
      <c r="K11" s="306"/>
    </row>
    <row r="12" spans="1:11" x14ac:dyDescent="0.35">
      <c r="A12" s="328"/>
      <c r="B12" s="79" t="s">
        <v>121</v>
      </c>
      <c r="C12" s="80" t="s">
        <v>120</v>
      </c>
      <c r="D12" s="81" t="s">
        <v>120</v>
      </c>
      <c r="E12" s="81" t="s">
        <v>120</v>
      </c>
      <c r="F12" s="291" t="s">
        <v>120</v>
      </c>
      <c r="G12" s="261"/>
      <c r="H12" s="305"/>
      <c r="I12" s="306"/>
      <c r="J12" s="306"/>
      <c r="K12" s="306"/>
    </row>
    <row r="13" spans="1:11" x14ac:dyDescent="0.35">
      <c r="A13" s="328"/>
      <c r="B13" s="79" t="s">
        <v>122</v>
      </c>
      <c r="C13" s="80" t="s">
        <v>120</v>
      </c>
      <c r="D13" s="81" t="s">
        <v>120</v>
      </c>
      <c r="E13" s="81" t="s">
        <v>120</v>
      </c>
      <c r="F13" s="291" t="s">
        <v>120</v>
      </c>
      <c r="G13" s="261"/>
      <c r="H13" s="305"/>
      <c r="I13" s="306"/>
      <c r="J13" s="306"/>
      <c r="K13" s="306"/>
    </row>
    <row r="14" spans="1:11" x14ac:dyDescent="0.35">
      <c r="A14" s="329" t="s">
        <v>76</v>
      </c>
      <c r="B14" s="78" t="s">
        <v>123</v>
      </c>
      <c r="C14" s="80" t="s">
        <v>120</v>
      </c>
      <c r="D14" s="81" t="s">
        <v>120</v>
      </c>
      <c r="E14" s="81" t="s">
        <v>120</v>
      </c>
      <c r="F14" s="291" t="s">
        <v>120</v>
      </c>
      <c r="G14" s="261"/>
      <c r="H14" s="305"/>
      <c r="I14" s="306"/>
      <c r="J14" s="306"/>
      <c r="K14" s="306"/>
    </row>
    <row r="15" spans="1:11" x14ac:dyDescent="0.35">
      <c r="A15" s="329"/>
      <c r="B15" s="77" t="s">
        <v>124</v>
      </c>
      <c r="C15" s="143"/>
      <c r="D15" s="46" t="s">
        <v>78</v>
      </c>
      <c r="E15" s="82" t="s">
        <v>113</v>
      </c>
      <c r="F15" s="518">
        <f>IF((C15&gt;=89.5),1,0)</f>
        <v>0</v>
      </c>
      <c r="G15" s="142"/>
      <c r="H15" s="305"/>
      <c r="I15" s="306"/>
      <c r="J15" s="306"/>
      <c r="K15" s="306"/>
    </row>
    <row r="16" spans="1:11" x14ac:dyDescent="0.35">
      <c r="A16" s="83"/>
      <c r="B16" s="314" t="s">
        <v>125</v>
      </c>
      <c r="C16" s="315"/>
      <c r="D16" s="315"/>
      <c r="E16" s="330"/>
      <c r="F16" s="515">
        <f>F15</f>
        <v>0</v>
      </c>
      <c r="G16" s="84"/>
      <c r="H16" s="305"/>
      <c r="I16" s="306"/>
      <c r="J16" s="306"/>
      <c r="K16" s="306"/>
    </row>
    <row r="17" spans="1:11" x14ac:dyDescent="0.35">
      <c r="A17" s="57" t="s">
        <v>126</v>
      </c>
      <c r="B17" s="85" t="s">
        <v>127</v>
      </c>
      <c r="C17" s="86"/>
      <c r="D17" s="87"/>
      <c r="E17" s="88"/>
      <c r="F17" s="519"/>
      <c r="G17" s="89"/>
      <c r="H17" s="305"/>
      <c r="I17" s="306"/>
      <c r="J17" s="306"/>
      <c r="K17" s="306"/>
    </row>
    <row r="18" spans="1:11" x14ac:dyDescent="0.35">
      <c r="A18" s="63" t="s">
        <v>128</v>
      </c>
      <c r="B18" s="90" t="s">
        <v>129</v>
      </c>
      <c r="C18" s="91"/>
      <c r="D18" s="92"/>
      <c r="E18" s="67"/>
      <c r="F18" s="520"/>
      <c r="G18" s="68"/>
      <c r="H18" s="305"/>
      <c r="I18" s="306"/>
      <c r="J18" s="306"/>
      <c r="K18" s="306"/>
    </row>
    <row r="19" spans="1:11" ht="108.5" x14ac:dyDescent="0.35">
      <c r="A19" s="45"/>
      <c r="B19" s="49" t="s">
        <v>130</v>
      </c>
      <c r="C19" s="1"/>
      <c r="D19" s="40" t="s">
        <v>69</v>
      </c>
      <c r="E19" s="81" t="s">
        <v>131</v>
      </c>
      <c r="F19" s="514">
        <f>IF(C19="Y",2,0)</f>
        <v>0</v>
      </c>
      <c r="G19" s="142"/>
      <c r="H19" s="305"/>
      <c r="I19" s="306"/>
      <c r="J19" s="306"/>
      <c r="K19" s="306"/>
    </row>
    <row r="20" spans="1:11" x14ac:dyDescent="0.35">
      <c r="A20" s="93"/>
      <c r="B20" s="314" t="s">
        <v>132</v>
      </c>
      <c r="C20" s="315"/>
      <c r="D20" s="315"/>
      <c r="E20" s="315"/>
      <c r="F20" s="515">
        <f>F19</f>
        <v>0</v>
      </c>
      <c r="G20" s="94"/>
      <c r="H20" s="305"/>
      <c r="I20" s="306"/>
      <c r="J20" s="306"/>
      <c r="K20" s="306"/>
    </row>
    <row r="21" spans="1:11" x14ac:dyDescent="0.35">
      <c r="A21" s="63" t="s">
        <v>133</v>
      </c>
      <c r="B21" s="90" t="s">
        <v>134</v>
      </c>
      <c r="C21" s="95"/>
      <c r="D21" s="96"/>
      <c r="E21" s="67"/>
      <c r="F21" s="520"/>
      <c r="G21" s="68"/>
      <c r="H21" s="305"/>
      <c r="I21" s="306"/>
      <c r="J21" s="306"/>
      <c r="K21" s="306"/>
    </row>
    <row r="22" spans="1:11" ht="62" x14ac:dyDescent="0.35">
      <c r="A22" s="239"/>
      <c r="B22" s="97" t="s">
        <v>135</v>
      </c>
      <c r="C22" s="143"/>
      <c r="D22" s="46" t="s">
        <v>78</v>
      </c>
      <c r="E22" s="98" t="s">
        <v>136</v>
      </c>
      <c r="F22" s="521">
        <f>IF(AND(C22&gt;=50, C22&lt;80),0.5,0) + IF(C22&gt;=80,1,0)</f>
        <v>0</v>
      </c>
      <c r="G22" s="144"/>
      <c r="H22" s="305"/>
      <c r="I22" s="306"/>
      <c r="J22" s="306"/>
      <c r="K22" s="306"/>
    </row>
    <row r="23" spans="1:11" x14ac:dyDescent="0.35">
      <c r="A23" s="69"/>
      <c r="B23" s="314" t="s">
        <v>137</v>
      </c>
      <c r="C23" s="315"/>
      <c r="D23" s="315"/>
      <c r="E23" s="315"/>
      <c r="F23" s="522">
        <f>MIN(F22, 1)</f>
        <v>0</v>
      </c>
      <c r="G23" s="69"/>
      <c r="H23" s="305"/>
      <c r="I23" s="306"/>
      <c r="J23" s="306"/>
      <c r="K23" s="306"/>
    </row>
    <row r="24" spans="1:11" x14ac:dyDescent="0.35">
      <c r="A24" s="57" t="s">
        <v>138</v>
      </c>
      <c r="B24" s="85" t="s">
        <v>139</v>
      </c>
      <c r="C24" s="99"/>
      <c r="D24" s="100"/>
      <c r="E24" s="88"/>
      <c r="F24" s="523"/>
      <c r="G24" s="89"/>
      <c r="H24" s="305"/>
      <c r="I24" s="306"/>
      <c r="J24" s="306"/>
      <c r="K24" s="306"/>
    </row>
    <row r="25" spans="1:11" x14ac:dyDescent="0.35">
      <c r="A25" s="63" t="s">
        <v>138</v>
      </c>
      <c r="B25" s="90" t="s">
        <v>140</v>
      </c>
      <c r="C25" s="91"/>
      <c r="D25" s="92"/>
      <c r="E25" s="67"/>
      <c r="F25" s="524"/>
      <c r="G25" s="101"/>
      <c r="H25" s="305"/>
      <c r="I25" s="306"/>
      <c r="J25" s="306"/>
      <c r="K25" s="306"/>
    </row>
    <row r="26" spans="1:11" ht="46.5" x14ac:dyDescent="0.35">
      <c r="A26" s="45"/>
      <c r="B26" s="49" t="s">
        <v>141</v>
      </c>
      <c r="C26" s="1"/>
      <c r="D26" s="40" t="s">
        <v>69</v>
      </c>
      <c r="E26" s="81" t="s">
        <v>131</v>
      </c>
      <c r="F26" s="514">
        <f>IF(C26="Y",2,0)</f>
        <v>0</v>
      </c>
      <c r="G26" s="142"/>
      <c r="H26" s="305"/>
      <c r="I26" s="306"/>
      <c r="J26" s="306"/>
      <c r="K26" s="306"/>
    </row>
    <row r="27" spans="1:11" x14ac:dyDescent="0.35">
      <c r="A27" s="70"/>
      <c r="B27" s="314" t="s">
        <v>142</v>
      </c>
      <c r="C27" s="315"/>
      <c r="D27" s="315"/>
      <c r="E27" s="315"/>
      <c r="F27" s="522">
        <f>F26</f>
        <v>0</v>
      </c>
      <c r="G27" s="94"/>
      <c r="H27" s="305"/>
      <c r="I27" s="306"/>
      <c r="J27" s="306"/>
      <c r="K27" s="306"/>
    </row>
    <row r="28" spans="1:11" x14ac:dyDescent="0.35">
      <c r="A28" s="55" t="s">
        <v>143</v>
      </c>
      <c r="B28" s="310" t="s">
        <v>144</v>
      </c>
      <c r="C28" s="311"/>
      <c r="D28" s="312"/>
      <c r="E28" s="102">
        <v>5</v>
      </c>
      <c r="F28" s="525">
        <f>MIN(SUM(F53,F47,F39,F35),5)</f>
        <v>0</v>
      </c>
      <c r="G28" s="103"/>
      <c r="H28" s="305"/>
      <c r="I28" s="306"/>
      <c r="J28" s="306"/>
      <c r="K28" s="306"/>
    </row>
    <row r="29" spans="1:11" x14ac:dyDescent="0.35">
      <c r="A29" s="104" t="s">
        <v>145</v>
      </c>
      <c r="B29" s="316" t="s">
        <v>146</v>
      </c>
      <c r="C29" s="317"/>
      <c r="D29" s="105"/>
      <c r="E29" s="106"/>
      <c r="F29" s="526"/>
      <c r="G29" s="62"/>
      <c r="H29" s="305"/>
      <c r="I29" s="306"/>
      <c r="J29" s="306"/>
      <c r="K29" s="306"/>
    </row>
    <row r="30" spans="1:11" x14ac:dyDescent="0.35">
      <c r="A30" s="107" t="s">
        <v>147</v>
      </c>
      <c r="B30" s="108" t="s">
        <v>148</v>
      </c>
      <c r="C30" s="108"/>
      <c r="D30" s="109"/>
      <c r="E30" s="67"/>
      <c r="F30" s="527"/>
      <c r="G30" s="110"/>
      <c r="H30" s="305"/>
      <c r="I30" s="306"/>
      <c r="J30" s="306"/>
      <c r="K30" s="306"/>
    </row>
    <row r="31" spans="1:11" ht="31" x14ac:dyDescent="0.35">
      <c r="A31" s="321" t="s">
        <v>74</v>
      </c>
      <c r="B31" s="111" t="s">
        <v>149</v>
      </c>
      <c r="C31" s="112"/>
      <c r="D31" s="113"/>
      <c r="E31" s="113"/>
      <c r="F31" s="528"/>
      <c r="G31" s="142"/>
      <c r="I31" s="114"/>
      <c r="J31" s="115" t="s">
        <v>150</v>
      </c>
      <c r="K31" s="116"/>
    </row>
    <row r="32" spans="1:11" ht="26.5" customHeight="1" x14ac:dyDescent="0.35">
      <c r="A32" s="322"/>
      <c r="B32" s="113" t="s">
        <v>151</v>
      </c>
      <c r="C32" s="145"/>
      <c r="D32" s="46" t="s">
        <v>72</v>
      </c>
      <c r="E32" s="325" t="s">
        <v>152</v>
      </c>
      <c r="F32" s="529">
        <f>MIN(SUM(C32*0.25,C33*0.5),0.5)</f>
        <v>0</v>
      </c>
      <c r="G32" s="142"/>
      <c r="I32" s="117">
        <f>IF(C32&gt;0,C32*0.25,0)</f>
        <v>0</v>
      </c>
      <c r="J32" s="307">
        <f>IF(SUM(I32+I33)&gt;=0.5,"0.5",I32+I33)</f>
        <v>0</v>
      </c>
      <c r="K32" s="308" t="s">
        <v>153</v>
      </c>
    </row>
    <row r="33" spans="1:11" ht="22" customHeight="1" x14ac:dyDescent="0.35">
      <c r="A33" s="324"/>
      <c r="B33" s="113" t="s">
        <v>154</v>
      </c>
      <c r="C33" s="145"/>
      <c r="D33" s="46" t="s">
        <v>72</v>
      </c>
      <c r="E33" s="326"/>
      <c r="F33" s="530"/>
      <c r="G33" s="142"/>
      <c r="I33" s="117">
        <f>IF(C33&gt;0,C33*0.5,0)</f>
        <v>0</v>
      </c>
      <c r="J33" s="307"/>
      <c r="K33" s="309"/>
    </row>
    <row r="34" spans="1:11" ht="31" x14ac:dyDescent="0.35">
      <c r="A34" s="248" t="s">
        <v>76</v>
      </c>
      <c r="B34" s="113" t="s">
        <v>155</v>
      </c>
      <c r="C34" s="145"/>
      <c r="D34" s="46" t="s">
        <v>72</v>
      </c>
      <c r="E34" s="118" t="s">
        <v>156</v>
      </c>
      <c r="F34" s="514">
        <f>IF(I34&gt;=0.5,0.5,I34)</f>
        <v>0</v>
      </c>
      <c r="G34" s="147"/>
      <c r="I34" s="117">
        <f>IF(C34&gt;0,C34*0.25,0)</f>
        <v>0</v>
      </c>
      <c r="J34" s="119">
        <f>IF(I34&gt;=0.5,"0.5",I34)</f>
        <v>0</v>
      </c>
      <c r="K34" s="43" t="s">
        <v>153</v>
      </c>
    </row>
    <row r="35" spans="1:11" x14ac:dyDescent="0.35">
      <c r="A35" s="120"/>
      <c r="B35" s="314" t="s">
        <v>157</v>
      </c>
      <c r="C35" s="315"/>
      <c r="D35" s="315"/>
      <c r="E35" s="315"/>
      <c r="F35" s="531">
        <f>MIN(F32+F34,1)</f>
        <v>0</v>
      </c>
      <c r="G35" s="69"/>
      <c r="H35" s="305"/>
      <c r="I35" s="306"/>
      <c r="J35" s="306"/>
      <c r="K35" s="306"/>
    </row>
    <row r="36" spans="1:11" x14ac:dyDescent="0.35">
      <c r="A36" s="107" t="s">
        <v>158</v>
      </c>
      <c r="B36" s="108" t="s">
        <v>159</v>
      </c>
      <c r="C36" s="108"/>
      <c r="D36" s="108"/>
      <c r="E36" s="67"/>
      <c r="F36" s="532"/>
      <c r="G36" s="68"/>
      <c r="H36" s="305"/>
      <c r="I36" s="306"/>
      <c r="J36" s="306"/>
      <c r="K36" s="306"/>
    </row>
    <row r="37" spans="1:11" ht="31" x14ac:dyDescent="0.35">
      <c r="A37" s="236" t="s">
        <v>74</v>
      </c>
      <c r="B37" s="122" t="s">
        <v>160</v>
      </c>
      <c r="C37" s="1"/>
      <c r="D37" s="40" t="s">
        <v>69</v>
      </c>
      <c r="E37" s="81" t="s">
        <v>113</v>
      </c>
      <c r="F37" s="514">
        <f>IF(C37="Y",1,0)</f>
        <v>0</v>
      </c>
      <c r="G37" s="144"/>
      <c r="H37" s="305"/>
      <c r="I37" s="306"/>
      <c r="J37" s="306"/>
      <c r="K37" s="306"/>
    </row>
    <row r="38" spans="1:11" ht="46.5" x14ac:dyDescent="0.35">
      <c r="A38" s="248" t="s">
        <v>76</v>
      </c>
      <c r="B38" s="123" t="s">
        <v>161</v>
      </c>
      <c r="C38" s="1"/>
      <c r="D38" s="40" t="s">
        <v>69</v>
      </c>
      <c r="E38" s="81" t="s">
        <v>113</v>
      </c>
      <c r="F38" s="514">
        <f>IF(C38="Y",1,0)</f>
        <v>0</v>
      </c>
      <c r="G38" s="146"/>
      <c r="H38" s="305"/>
      <c r="I38" s="306"/>
      <c r="J38" s="306"/>
      <c r="K38" s="306"/>
    </row>
    <row r="39" spans="1:11" x14ac:dyDescent="0.35">
      <c r="A39" s="120"/>
      <c r="B39" s="314" t="s">
        <v>162</v>
      </c>
      <c r="C39" s="315"/>
      <c r="D39" s="315"/>
      <c r="E39" s="315"/>
      <c r="F39" s="515">
        <f>MIN(F37+F38,2)</f>
        <v>0</v>
      </c>
      <c r="G39" s="124"/>
      <c r="H39" s="305"/>
      <c r="I39" s="306"/>
      <c r="J39" s="306"/>
      <c r="K39" s="306"/>
    </row>
    <row r="40" spans="1:11" x14ac:dyDescent="0.35">
      <c r="A40" s="104" t="s">
        <v>163</v>
      </c>
      <c r="B40" s="125" t="s">
        <v>164</v>
      </c>
      <c r="C40" s="126"/>
      <c r="D40" s="105"/>
      <c r="E40" s="106"/>
      <c r="F40" s="526"/>
      <c r="G40" s="62"/>
      <c r="H40" s="305"/>
      <c r="I40" s="306"/>
      <c r="J40" s="306"/>
      <c r="K40" s="306"/>
    </row>
    <row r="41" spans="1:11" ht="31" x14ac:dyDescent="0.35">
      <c r="A41" s="107"/>
      <c r="B41" s="108" t="s">
        <v>165</v>
      </c>
      <c r="C41" s="108"/>
      <c r="D41" s="108"/>
      <c r="E41" s="127"/>
      <c r="F41" s="527"/>
      <c r="G41" s="110"/>
      <c r="H41" s="305"/>
      <c r="I41" s="306"/>
      <c r="J41" s="306"/>
      <c r="K41" s="306"/>
    </row>
    <row r="42" spans="1:11" x14ac:dyDescent="0.35">
      <c r="A42" s="321" t="s">
        <v>74</v>
      </c>
      <c r="B42" s="111" t="s">
        <v>166</v>
      </c>
      <c r="C42" s="112"/>
      <c r="D42" s="113"/>
      <c r="E42" s="128"/>
      <c r="F42" s="533"/>
      <c r="G42" s="142"/>
      <c r="H42" s="305"/>
      <c r="I42" s="306"/>
      <c r="J42" s="306"/>
      <c r="K42" s="306"/>
    </row>
    <row r="43" spans="1:11" x14ac:dyDescent="0.35">
      <c r="A43" s="322"/>
      <c r="B43" s="113" t="s">
        <v>167</v>
      </c>
      <c r="C43" s="1"/>
      <c r="D43" s="40" t="s">
        <v>69</v>
      </c>
      <c r="E43" s="81" t="s">
        <v>168</v>
      </c>
      <c r="F43" s="514">
        <f t="shared" ref="F43:F46" si="0">IF(C43="Y",0.5,0)</f>
        <v>0</v>
      </c>
      <c r="G43" s="146"/>
      <c r="H43" s="305"/>
      <c r="I43" s="306"/>
      <c r="J43" s="306"/>
      <c r="K43" s="306"/>
    </row>
    <row r="44" spans="1:11" x14ac:dyDescent="0.35">
      <c r="A44" s="322"/>
      <c r="B44" s="113" t="s">
        <v>169</v>
      </c>
      <c r="C44" s="1"/>
      <c r="D44" s="40" t="s">
        <v>69</v>
      </c>
      <c r="E44" s="81" t="s">
        <v>168</v>
      </c>
      <c r="F44" s="514">
        <f t="shared" si="0"/>
        <v>0</v>
      </c>
      <c r="G44" s="146"/>
      <c r="H44" s="305"/>
      <c r="I44" s="306"/>
      <c r="J44" s="306"/>
      <c r="K44" s="306"/>
    </row>
    <row r="45" spans="1:11" ht="31" x14ac:dyDescent="0.35">
      <c r="A45" s="234" t="s">
        <v>76</v>
      </c>
      <c r="B45" s="129" t="s">
        <v>170</v>
      </c>
      <c r="C45" s="1"/>
      <c r="D45" s="40" t="s">
        <v>69</v>
      </c>
      <c r="E45" s="81" t="s">
        <v>168</v>
      </c>
      <c r="F45" s="514">
        <f t="shared" si="0"/>
        <v>0</v>
      </c>
      <c r="G45" s="148"/>
      <c r="H45" s="305"/>
      <c r="I45" s="306"/>
      <c r="J45" s="306"/>
      <c r="K45" s="306"/>
    </row>
    <row r="46" spans="1:11" ht="62" x14ac:dyDescent="0.35">
      <c r="A46" s="234" t="s">
        <v>79</v>
      </c>
      <c r="B46" s="129" t="s">
        <v>171</v>
      </c>
      <c r="C46" s="2"/>
      <c r="D46" s="130" t="s">
        <v>69</v>
      </c>
      <c r="E46" s="243" t="s">
        <v>168</v>
      </c>
      <c r="F46" s="534">
        <f t="shared" si="0"/>
        <v>0</v>
      </c>
      <c r="G46" s="146"/>
      <c r="H46" s="305"/>
      <c r="I46" s="306"/>
      <c r="J46" s="306"/>
      <c r="K46" s="306"/>
    </row>
    <row r="47" spans="1:11" x14ac:dyDescent="0.35">
      <c r="A47" s="120"/>
      <c r="B47" s="323" t="s">
        <v>172</v>
      </c>
      <c r="C47" s="323"/>
      <c r="D47" s="323"/>
      <c r="E47" s="323"/>
      <c r="F47" s="531">
        <f>MIN(F43+F44+F45+F46,1)</f>
        <v>0</v>
      </c>
      <c r="G47" s="70"/>
      <c r="H47" s="305"/>
      <c r="I47" s="306"/>
      <c r="J47" s="306"/>
      <c r="K47" s="306"/>
    </row>
    <row r="48" spans="1:11" x14ac:dyDescent="0.35">
      <c r="A48" s="104" t="s">
        <v>173</v>
      </c>
      <c r="B48" s="125" t="s">
        <v>174</v>
      </c>
      <c r="C48" s="126"/>
      <c r="D48" s="105"/>
      <c r="E48" s="106"/>
      <c r="F48" s="526"/>
      <c r="G48" s="62"/>
      <c r="H48" s="305"/>
      <c r="I48" s="306"/>
      <c r="J48" s="306"/>
      <c r="K48" s="306"/>
    </row>
    <row r="49" spans="1:11" ht="31" x14ac:dyDescent="0.35">
      <c r="A49" s="131"/>
      <c r="B49" s="132" t="s">
        <v>175</v>
      </c>
      <c r="C49" s="109"/>
      <c r="D49" s="109"/>
      <c r="E49" s="133"/>
      <c r="F49" s="527"/>
      <c r="G49" s="110"/>
      <c r="H49" s="305"/>
      <c r="I49" s="306"/>
      <c r="J49" s="306"/>
      <c r="K49" s="306"/>
    </row>
    <row r="50" spans="1:11" ht="31" x14ac:dyDescent="0.35">
      <c r="A50" s="248" t="s">
        <v>74</v>
      </c>
      <c r="B50" s="134" t="s">
        <v>176</v>
      </c>
      <c r="C50" s="1"/>
      <c r="D50" s="40" t="s">
        <v>69</v>
      </c>
      <c r="E50" s="81" t="s">
        <v>131</v>
      </c>
      <c r="F50" s="514">
        <f>IF(C50="Y",2,0)</f>
        <v>0</v>
      </c>
      <c r="G50" s="142"/>
      <c r="H50" s="305"/>
      <c r="I50" s="306"/>
      <c r="J50" s="306"/>
      <c r="K50" s="306"/>
    </row>
    <row r="51" spans="1:11" ht="46.5" x14ac:dyDescent="0.35">
      <c r="A51" s="248" t="s">
        <v>76</v>
      </c>
      <c r="B51" s="134" t="s">
        <v>177</v>
      </c>
      <c r="C51" s="1"/>
      <c r="D51" s="40" t="s">
        <v>69</v>
      </c>
      <c r="E51" s="81" t="s">
        <v>113</v>
      </c>
      <c r="F51" s="514">
        <f>IF((C51="Y")*AND(C50="Y"),1,0)</f>
        <v>0</v>
      </c>
      <c r="G51" s="142"/>
      <c r="H51" s="305"/>
      <c r="I51" s="306"/>
      <c r="J51" s="306"/>
      <c r="K51" s="306"/>
    </row>
    <row r="52" spans="1:11" ht="31" x14ac:dyDescent="0.35">
      <c r="A52" s="248" t="s">
        <v>79</v>
      </c>
      <c r="B52" s="123" t="s">
        <v>178</v>
      </c>
      <c r="C52" s="135" t="s">
        <v>179</v>
      </c>
      <c r="D52" s="81" t="s">
        <v>120</v>
      </c>
      <c r="E52" s="81" t="s">
        <v>120</v>
      </c>
      <c r="F52" s="291" t="s">
        <v>120</v>
      </c>
      <c r="G52" s="142"/>
      <c r="H52" s="305"/>
      <c r="I52" s="306"/>
      <c r="J52" s="306"/>
      <c r="K52" s="306"/>
    </row>
    <row r="53" spans="1:11" x14ac:dyDescent="0.35">
      <c r="A53" s="120"/>
      <c r="B53" s="314" t="s">
        <v>180</v>
      </c>
      <c r="C53" s="315"/>
      <c r="D53" s="315"/>
      <c r="E53" s="315"/>
      <c r="F53" s="531">
        <f>MIN((F50+F51),3)</f>
        <v>0</v>
      </c>
      <c r="G53" s="70"/>
      <c r="H53" s="305"/>
      <c r="I53" s="306"/>
      <c r="J53" s="306"/>
      <c r="K53" s="306"/>
    </row>
    <row r="54" spans="1:11" x14ac:dyDescent="0.35">
      <c r="A54" s="55" t="s">
        <v>181</v>
      </c>
      <c r="B54" s="313" t="s">
        <v>182</v>
      </c>
      <c r="C54" s="313"/>
      <c r="D54" s="313"/>
      <c r="E54" s="55">
        <v>5</v>
      </c>
      <c r="F54" s="511">
        <f>MIN(SUM(F65,F60),5)</f>
        <v>0</v>
      </c>
      <c r="G54" s="55"/>
      <c r="H54" s="305"/>
      <c r="I54" s="306"/>
      <c r="J54" s="306"/>
      <c r="K54" s="306"/>
    </row>
    <row r="55" spans="1:11" x14ac:dyDescent="0.35">
      <c r="A55" s="104" t="s">
        <v>183</v>
      </c>
      <c r="B55" s="125" t="s">
        <v>184</v>
      </c>
      <c r="C55" s="126"/>
      <c r="D55" s="105"/>
      <c r="E55" s="106"/>
      <c r="F55" s="535"/>
      <c r="G55" s="62"/>
      <c r="H55" s="305"/>
      <c r="I55" s="306"/>
      <c r="J55" s="306"/>
      <c r="K55" s="306"/>
    </row>
    <row r="56" spans="1:11" ht="31" x14ac:dyDescent="0.35">
      <c r="A56" s="136"/>
      <c r="B56" s="132" t="s">
        <v>185</v>
      </c>
      <c r="C56" s="137"/>
      <c r="D56" s="137"/>
      <c r="E56" s="133"/>
      <c r="F56" s="536"/>
      <c r="G56" s="68"/>
      <c r="H56" s="305"/>
      <c r="I56" s="306"/>
      <c r="J56" s="306"/>
      <c r="K56" s="306"/>
    </row>
    <row r="57" spans="1:11" x14ac:dyDescent="0.35">
      <c r="A57" s="248" t="s">
        <v>74</v>
      </c>
      <c r="B57" s="123" t="s">
        <v>186</v>
      </c>
      <c r="C57" s="1"/>
      <c r="D57" s="46" t="s">
        <v>72</v>
      </c>
      <c r="E57" s="81" t="s">
        <v>113</v>
      </c>
      <c r="F57" s="514">
        <f>IF(C57&gt;5,1,0)</f>
        <v>0</v>
      </c>
      <c r="G57" s="142"/>
      <c r="H57" s="305"/>
      <c r="I57" s="306"/>
      <c r="J57" s="306"/>
      <c r="K57" s="306"/>
    </row>
    <row r="58" spans="1:11" ht="31" x14ac:dyDescent="0.35">
      <c r="A58" s="248" t="s">
        <v>76</v>
      </c>
      <c r="B58" s="123" t="s">
        <v>187</v>
      </c>
      <c r="C58" s="1"/>
      <c r="D58" s="40" t="s">
        <v>69</v>
      </c>
      <c r="E58" s="81" t="s">
        <v>113</v>
      </c>
      <c r="F58" s="514">
        <f t="shared" ref="F58:F59" si="1">IF(C58="Y",1,0)</f>
        <v>0</v>
      </c>
      <c r="G58" s="142"/>
      <c r="H58" s="305"/>
      <c r="I58" s="306"/>
      <c r="J58" s="306"/>
      <c r="K58" s="306"/>
    </row>
    <row r="59" spans="1:11" ht="46.5" x14ac:dyDescent="0.35">
      <c r="A59" s="248" t="s">
        <v>79</v>
      </c>
      <c r="B59" s="123" t="s">
        <v>188</v>
      </c>
      <c r="C59" s="1"/>
      <c r="D59" s="40" t="s">
        <v>69</v>
      </c>
      <c r="E59" s="81" t="s">
        <v>113</v>
      </c>
      <c r="F59" s="514">
        <f t="shared" si="1"/>
        <v>0</v>
      </c>
      <c r="G59" s="142"/>
      <c r="H59" s="305"/>
      <c r="I59" s="306"/>
      <c r="J59" s="306"/>
      <c r="K59" s="306"/>
    </row>
    <row r="60" spans="1:11" x14ac:dyDescent="0.35">
      <c r="A60" s="120"/>
      <c r="B60" s="314" t="s">
        <v>189</v>
      </c>
      <c r="C60" s="315"/>
      <c r="D60" s="315"/>
      <c r="E60" s="315"/>
      <c r="F60" s="531">
        <f>MIN(F57+F58+F59,3)</f>
        <v>0</v>
      </c>
      <c r="G60" s="94"/>
      <c r="H60" s="305"/>
      <c r="I60" s="306"/>
      <c r="J60" s="306"/>
      <c r="K60" s="306"/>
    </row>
    <row r="61" spans="1:11" x14ac:dyDescent="0.35">
      <c r="A61" s="104" t="s">
        <v>190</v>
      </c>
      <c r="B61" s="316" t="s">
        <v>191</v>
      </c>
      <c r="C61" s="317"/>
      <c r="D61" s="105"/>
      <c r="E61" s="106"/>
      <c r="F61" s="535"/>
      <c r="G61" s="62"/>
      <c r="H61" s="305"/>
      <c r="I61" s="306"/>
      <c r="J61" s="306"/>
      <c r="K61" s="306"/>
    </row>
    <row r="62" spans="1:11" ht="46.5" x14ac:dyDescent="0.35">
      <c r="A62" s="138"/>
      <c r="B62" s="108" t="s">
        <v>192</v>
      </c>
      <c r="C62" s="139"/>
      <c r="D62" s="139"/>
      <c r="E62" s="121"/>
      <c r="F62" s="536"/>
      <c r="G62" s="68"/>
      <c r="H62" s="305"/>
      <c r="I62" s="306"/>
      <c r="J62" s="306"/>
      <c r="K62" s="306"/>
    </row>
    <row r="63" spans="1:11" ht="62" x14ac:dyDescent="0.35">
      <c r="A63" s="248" t="s">
        <v>74</v>
      </c>
      <c r="B63" s="113" t="s">
        <v>193</v>
      </c>
      <c r="C63" s="1"/>
      <c r="D63" s="40" t="s">
        <v>69</v>
      </c>
      <c r="E63" s="81" t="s">
        <v>131</v>
      </c>
      <c r="F63" s="514">
        <f t="shared" ref="F63:F64" si="2">IF(C63="Y",2,0)</f>
        <v>0</v>
      </c>
      <c r="G63" s="142"/>
      <c r="H63" s="305"/>
      <c r="I63" s="306"/>
      <c r="J63" s="306"/>
      <c r="K63" s="306"/>
    </row>
    <row r="64" spans="1:11" ht="62" x14ac:dyDescent="0.35">
      <c r="A64" s="248" t="s">
        <v>76</v>
      </c>
      <c r="B64" s="113" t="s">
        <v>194</v>
      </c>
      <c r="C64" s="1"/>
      <c r="D64" s="40" t="s">
        <v>69</v>
      </c>
      <c r="E64" s="81" t="s">
        <v>131</v>
      </c>
      <c r="F64" s="514">
        <f t="shared" si="2"/>
        <v>0</v>
      </c>
      <c r="G64" s="142"/>
      <c r="H64" s="305"/>
      <c r="I64" s="306"/>
      <c r="J64" s="306"/>
      <c r="K64" s="306"/>
    </row>
    <row r="65" spans="1:11" x14ac:dyDescent="0.35">
      <c r="A65" s="120"/>
      <c r="B65" s="314" t="s">
        <v>195</v>
      </c>
      <c r="C65" s="315"/>
      <c r="D65" s="315"/>
      <c r="E65" s="315"/>
      <c r="F65" s="531">
        <f>MIN(F63+F64,4)</f>
        <v>0</v>
      </c>
      <c r="G65" s="70"/>
      <c r="H65" s="305"/>
      <c r="I65" s="306"/>
      <c r="J65" s="306"/>
      <c r="K65" s="306"/>
    </row>
    <row r="66" spans="1:11" x14ac:dyDescent="0.35">
      <c r="A66" s="55"/>
      <c r="B66" s="313" t="s">
        <v>196</v>
      </c>
      <c r="C66" s="313"/>
      <c r="D66" s="313"/>
      <c r="E66" s="56">
        <v>2</v>
      </c>
      <c r="F66" s="511">
        <f>MIN(F68+F69,2)</f>
        <v>0</v>
      </c>
      <c r="G66" s="55"/>
      <c r="H66" s="305"/>
      <c r="I66" s="306"/>
      <c r="J66" s="306"/>
      <c r="K66" s="306"/>
    </row>
    <row r="67" spans="1:11" ht="93" x14ac:dyDescent="0.35">
      <c r="A67" s="107"/>
      <c r="B67" s="140" t="s">
        <v>197</v>
      </c>
      <c r="C67" s="121"/>
      <c r="D67" s="121"/>
      <c r="E67" s="121" t="s">
        <v>198</v>
      </c>
      <c r="F67" s="537"/>
      <c r="G67" s="95" t="s">
        <v>199</v>
      </c>
      <c r="H67" s="305"/>
      <c r="I67" s="306"/>
      <c r="J67" s="306"/>
      <c r="K67" s="306"/>
    </row>
    <row r="68" spans="1:11" ht="136.5" customHeight="1" x14ac:dyDescent="0.35">
      <c r="A68" s="331"/>
      <c r="B68" s="333" t="s">
        <v>200</v>
      </c>
      <c r="C68" s="149"/>
      <c r="D68" s="141" t="s">
        <v>72</v>
      </c>
      <c r="E68" s="335" t="s">
        <v>201</v>
      </c>
      <c r="F68" s="514">
        <f>C68</f>
        <v>0</v>
      </c>
      <c r="G68" s="150" t="s">
        <v>202</v>
      </c>
      <c r="H68" s="305"/>
      <c r="I68" s="306"/>
      <c r="J68" s="306"/>
      <c r="K68" s="306"/>
    </row>
    <row r="69" spans="1:11" ht="136" customHeight="1" x14ac:dyDescent="0.35">
      <c r="A69" s="332"/>
      <c r="B69" s="334"/>
      <c r="C69" s="149"/>
      <c r="D69" s="141" t="s">
        <v>72</v>
      </c>
      <c r="E69" s="335"/>
      <c r="F69" s="514">
        <f>C69</f>
        <v>0</v>
      </c>
      <c r="G69" s="150" t="s">
        <v>203</v>
      </c>
      <c r="H69" s="305"/>
      <c r="I69" s="306"/>
      <c r="J69" s="306"/>
      <c r="K69" s="306"/>
    </row>
  </sheetData>
  <sheetProtection algorithmName="SHA-512" hashValue="zmGJp9sZbKqxgJzSLn9D1+XXq4kC1ypsXGUy0wkEUHH0TEvYppaV7DK0eabWo7zwlPVzwXyNVWKc5m4GlDCQkg==" saltValue="tcakf0ccdV1dzku9nm6y0A==" spinCount="100000" sheet="1" formatCells="0" selectLockedCells="1"/>
  <mergeCells count="93">
    <mergeCell ref="A68:A69"/>
    <mergeCell ref="B68:B69"/>
    <mergeCell ref="E68:E69"/>
    <mergeCell ref="F32:F33"/>
    <mergeCell ref="H36:K36"/>
    <mergeCell ref="H37:K37"/>
    <mergeCell ref="H38:K38"/>
    <mergeCell ref="H39:K39"/>
    <mergeCell ref="H40:K40"/>
    <mergeCell ref="H41:K41"/>
    <mergeCell ref="H42:K42"/>
    <mergeCell ref="H43:K43"/>
    <mergeCell ref="H44:K44"/>
    <mergeCell ref="H45:K45"/>
    <mergeCell ref="H46:K46"/>
    <mergeCell ref="H47:K47"/>
    <mergeCell ref="A2:D2"/>
    <mergeCell ref="B39:E39"/>
    <mergeCell ref="A42:A44"/>
    <mergeCell ref="B47:E47"/>
    <mergeCell ref="B53:E53"/>
    <mergeCell ref="B27:E27"/>
    <mergeCell ref="B29:C29"/>
    <mergeCell ref="A31:A33"/>
    <mergeCell ref="E32:E33"/>
    <mergeCell ref="B35:E35"/>
    <mergeCell ref="A10:A13"/>
    <mergeCell ref="A14:A15"/>
    <mergeCell ref="B16:E16"/>
    <mergeCell ref="B20:E20"/>
    <mergeCell ref="B3:D3"/>
    <mergeCell ref="B23:E23"/>
    <mergeCell ref="B28:D28"/>
    <mergeCell ref="B54:D54"/>
    <mergeCell ref="B66:D66"/>
    <mergeCell ref="B8:E8"/>
    <mergeCell ref="B60:E60"/>
    <mergeCell ref="B61:C61"/>
    <mergeCell ref="B65:E65"/>
    <mergeCell ref="H2:K2"/>
    <mergeCell ref="H3:K3"/>
    <mergeCell ref="H4:K4"/>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5:K35"/>
    <mergeCell ref="J32:J33"/>
    <mergeCell ref="K32:K33"/>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8:K68"/>
    <mergeCell ref="H69:K69"/>
    <mergeCell ref="H63:K63"/>
    <mergeCell ref="H64:K64"/>
    <mergeCell ref="H65:K65"/>
    <mergeCell ref="H66:K66"/>
    <mergeCell ref="H67:K67"/>
  </mergeCells>
  <dataValidations count="8">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37:C38 C63:C64 C58:C59 C6:C7 C26"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showGridLines="0" topLeftCell="A2" zoomScaleNormal="100" workbookViewId="0">
      <selection activeCell="J2" sqref="J2"/>
    </sheetView>
  </sheetViews>
  <sheetFormatPr defaultColWidth="9.1796875" defaultRowHeight="14.5" x14ac:dyDescent="0.35"/>
  <cols>
    <col min="1" max="1" width="8.26953125" style="7" customWidth="1"/>
    <col min="2" max="2" width="22.26953125" style="7" customWidth="1"/>
    <col min="3" max="3" width="34" style="7" customWidth="1"/>
    <col min="4" max="4" width="21.1796875" style="7" customWidth="1"/>
    <col min="5" max="5" width="10.7265625" style="265" customWidth="1"/>
    <col min="6" max="6" width="16.1796875" style="256" customWidth="1"/>
    <col min="7" max="7" width="18.1796875" style="7" customWidth="1"/>
    <col min="8" max="8" width="10.7265625" style="7" customWidth="1"/>
    <col min="9" max="9" width="30.7265625" style="7" customWidth="1"/>
    <col min="10" max="11" width="50.7265625" style="7" customWidth="1"/>
    <col min="12" max="12" width="15.54296875" style="7" customWidth="1"/>
    <col min="13" max="13" width="17.26953125" style="7" customWidth="1"/>
    <col min="14" max="16384" width="9.1796875" style="7"/>
  </cols>
  <sheetData>
    <row r="1" spans="1:9" ht="31" x14ac:dyDescent="0.35">
      <c r="A1" s="51"/>
      <c r="B1" s="341" t="s">
        <v>204</v>
      </c>
      <c r="C1" s="342"/>
      <c r="D1" s="343"/>
      <c r="E1" s="37" t="s">
        <v>65</v>
      </c>
      <c r="F1" s="37" t="s">
        <v>66</v>
      </c>
      <c r="G1" s="52" t="s">
        <v>102</v>
      </c>
      <c r="H1" s="37" t="s">
        <v>103</v>
      </c>
      <c r="I1" s="233" t="s">
        <v>104</v>
      </c>
    </row>
    <row r="2" spans="1:9" ht="21" x14ac:dyDescent="0.35">
      <c r="A2" s="354" t="s">
        <v>31</v>
      </c>
      <c r="B2" s="355"/>
      <c r="C2" s="355"/>
      <c r="D2" s="355"/>
      <c r="E2" s="355"/>
      <c r="F2" s="356"/>
      <c r="G2" s="151">
        <v>15</v>
      </c>
      <c r="H2" s="538">
        <f>MIN(SUM(H3,H31,H70,H81),15)</f>
        <v>0</v>
      </c>
      <c r="I2" s="152" t="s">
        <v>105</v>
      </c>
    </row>
    <row r="3" spans="1:9" ht="15.5" x14ac:dyDescent="0.35">
      <c r="A3" s="153" t="s">
        <v>205</v>
      </c>
      <c r="B3" s="344" t="s">
        <v>206</v>
      </c>
      <c r="C3" s="345"/>
      <c r="D3" s="345"/>
      <c r="E3" s="345"/>
      <c r="F3" s="345"/>
      <c r="G3" s="154">
        <v>5</v>
      </c>
      <c r="H3" s="539">
        <f>MIN(SUM(H17,H26,H30),5)</f>
        <v>0</v>
      </c>
      <c r="I3" s="155"/>
    </row>
    <row r="4" spans="1:9" ht="15.5" x14ac:dyDescent="0.35">
      <c r="A4" s="156" t="s">
        <v>207</v>
      </c>
      <c r="B4" s="336" t="s">
        <v>208</v>
      </c>
      <c r="C4" s="336"/>
      <c r="D4" s="337"/>
      <c r="E4" s="157"/>
      <c r="F4" s="156"/>
      <c r="G4" s="156"/>
      <c r="H4" s="540"/>
      <c r="I4" s="156"/>
    </row>
    <row r="5" spans="1:9" ht="15.5" x14ac:dyDescent="0.35">
      <c r="A5" s="242"/>
      <c r="B5" s="394" t="s">
        <v>209</v>
      </c>
      <c r="C5" s="394"/>
      <c r="D5" s="394"/>
      <c r="E5" s="246"/>
      <c r="F5" s="238"/>
      <c r="G5" s="242"/>
      <c r="H5" s="541"/>
      <c r="I5" s="189"/>
    </row>
    <row r="6" spans="1:9" ht="16" thickBot="1" x14ac:dyDescent="0.4">
      <c r="A6" s="158" t="s">
        <v>210</v>
      </c>
      <c r="B6" s="395" t="s">
        <v>211</v>
      </c>
      <c r="C6" s="396"/>
      <c r="D6" s="397"/>
      <c r="E6" s="159"/>
      <c r="F6" s="158"/>
      <c r="G6" s="158"/>
      <c r="H6" s="542"/>
      <c r="I6" s="158"/>
    </row>
    <row r="7" spans="1:9" ht="15.5" x14ac:dyDescent="0.35">
      <c r="A7" s="359"/>
      <c r="B7" s="399" t="s">
        <v>212</v>
      </c>
      <c r="C7" s="400"/>
      <c r="D7" s="360"/>
      <c r="E7" s="363"/>
      <c r="F7" s="359"/>
      <c r="G7" s="359"/>
      <c r="H7" s="530"/>
      <c r="I7" s="401"/>
    </row>
    <row r="8" spans="1:9" ht="15.5" x14ac:dyDescent="0.35">
      <c r="A8" s="359"/>
      <c r="B8" s="380" t="s">
        <v>213</v>
      </c>
      <c r="C8" s="160" t="s">
        <v>214</v>
      </c>
      <c r="D8" s="361"/>
      <c r="E8" s="363"/>
      <c r="F8" s="359"/>
      <c r="G8" s="359"/>
      <c r="H8" s="530"/>
      <c r="I8" s="401"/>
    </row>
    <row r="9" spans="1:9" ht="15.5" x14ac:dyDescent="0.35">
      <c r="A9" s="359"/>
      <c r="B9" s="380"/>
      <c r="C9" s="160" t="s">
        <v>215</v>
      </c>
      <c r="D9" s="361"/>
      <c r="E9" s="363"/>
      <c r="F9" s="359"/>
      <c r="G9" s="359"/>
      <c r="H9" s="530"/>
      <c r="I9" s="401"/>
    </row>
    <row r="10" spans="1:9" ht="15.5" x14ac:dyDescent="0.35">
      <c r="A10" s="359"/>
      <c r="B10" s="380" t="s">
        <v>216</v>
      </c>
      <c r="C10" s="160" t="s">
        <v>217</v>
      </c>
      <c r="D10" s="361"/>
      <c r="E10" s="363"/>
      <c r="F10" s="359"/>
      <c r="G10" s="359"/>
      <c r="H10" s="530"/>
      <c r="I10" s="401"/>
    </row>
    <row r="11" spans="1:9" ht="15.5" x14ac:dyDescent="0.35">
      <c r="A11" s="359"/>
      <c r="B11" s="380"/>
      <c r="C11" s="160" t="s">
        <v>218</v>
      </c>
      <c r="D11" s="361"/>
      <c r="E11" s="363"/>
      <c r="F11" s="359"/>
      <c r="G11" s="359"/>
      <c r="H11" s="530"/>
      <c r="I11" s="401"/>
    </row>
    <row r="12" spans="1:9" ht="15.5" x14ac:dyDescent="0.35">
      <c r="A12" s="359"/>
      <c r="B12" s="380"/>
      <c r="C12" s="160" t="s">
        <v>219</v>
      </c>
      <c r="D12" s="361"/>
      <c r="E12" s="363"/>
      <c r="F12" s="359"/>
      <c r="G12" s="359"/>
      <c r="H12" s="530"/>
      <c r="I12" s="401"/>
    </row>
    <row r="13" spans="1:9" ht="15.5" x14ac:dyDescent="0.35">
      <c r="A13" s="359"/>
      <c r="B13" s="380"/>
      <c r="C13" s="160" t="s">
        <v>220</v>
      </c>
      <c r="D13" s="361"/>
      <c r="E13" s="363"/>
      <c r="F13" s="359"/>
      <c r="G13" s="359"/>
      <c r="H13" s="530"/>
      <c r="I13" s="401"/>
    </row>
    <row r="14" spans="1:9" ht="16" thickBot="1" x14ac:dyDescent="0.4">
      <c r="A14" s="359"/>
      <c r="B14" s="381"/>
      <c r="C14" s="161" t="s">
        <v>221</v>
      </c>
      <c r="D14" s="361"/>
      <c r="E14" s="363"/>
      <c r="F14" s="359"/>
      <c r="G14" s="359"/>
      <c r="H14" s="530"/>
      <c r="I14" s="401"/>
    </row>
    <row r="15" spans="1:9" ht="98.5" customHeight="1" x14ac:dyDescent="0.35">
      <c r="A15" s="242"/>
      <c r="B15" s="339" t="s">
        <v>222</v>
      </c>
      <c r="C15" s="394"/>
      <c r="D15" s="394"/>
      <c r="E15" s="188"/>
      <c r="F15" s="180" t="s">
        <v>69</v>
      </c>
      <c r="G15" s="240" t="s">
        <v>223</v>
      </c>
      <c r="H15" s="543">
        <f>IF(E15="Y", 3, 0)</f>
        <v>0</v>
      </c>
      <c r="I15" s="247"/>
    </row>
    <row r="16" spans="1:9" ht="60.75" customHeight="1" x14ac:dyDescent="0.35">
      <c r="A16" s="242"/>
      <c r="B16" s="358" t="s">
        <v>224</v>
      </c>
      <c r="C16" s="358"/>
      <c r="D16" s="358"/>
      <c r="E16" s="246"/>
      <c r="F16" s="238"/>
      <c r="G16" s="242"/>
      <c r="H16" s="291"/>
      <c r="I16" s="189"/>
    </row>
    <row r="17" spans="1:9" ht="15.5" x14ac:dyDescent="0.35">
      <c r="A17" s="162"/>
      <c r="B17" s="347" t="s">
        <v>225</v>
      </c>
      <c r="C17" s="348"/>
      <c r="D17" s="348"/>
      <c r="E17" s="348"/>
      <c r="F17" s="348"/>
      <c r="G17" s="349"/>
      <c r="H17" s="544">
        <f>H15</f>
        <v>0</v>
      </c>
      <c r="I17" s="163"/>
    </row>
    <row r="18" spans="1:9" ht="15.75" customHeight="1" x14ac:dyDescent="0.35">
      <c r="A18" s="158" t="s">
        <v>226</v>
      </c>
      <c r="B18" s="395" t="s">
        <v>227</v>
      </c>
      <c r="C18" s="396"/>
      <c r="D18" s="397"/>
      <c r="E18" s="159"/>
      <c r="F18" s="158"/>
      <c r="G18" s="158"/>
      <c r="H18" s="542"/>
      <c r="I18" s="158"/>
    </row>
    <row r="19" spans="1:9" ht="84.75" customHeight="1" x14ac:dyDescent="0.35">
      <c r="A19" s="242" t="s">
        <v>228</v>
      </c>
      <c r="B19" s="339" t="s">
        <v>229</v>
      </c>
      <c r="C19" s="339"/>
      <c r="D19" s="339"/>
      <c r="E19" s="188"/>
      <c r="F19" s="164" t="s">
        <v>230</v>
      </c>
      <c r="G19" s="239" t="s">
        <v>168</v>
      </c>
      <c r="H19" s="181">
        <f>IF(ISNUMBER(E19), 0.5, 0)</f>
        <v>0</v>
      </c>
      <c r="I19" s="189"/>
    </row>
    <row r="20" spans="1:9" ht="64.5" customHeight="1" thickBot="1" x14ac:dyDescent="0.4">
      <c r="A20" s="242" t="s">
        <v>231</v>
      </c>
      <c r="B20" s="339" t="s">
        <v>232</v>
      </c>
      <c r="C20" s="339"/>
      <c r="D20" s="339"/>
      <c r="E20" s="188"/>
      <c r="F20" s="164" t="s">
        <v>78</v>
      </c>
      <c r="G20" s="81" t="s">
        <v>233</v>
      </c>
      <c r="H20" s="181">
        <f>IF(E20&gt;=30,2,0)+IF(AND(E20&gt;=10,E20&lt;30),1,0)</f>
        <v>0</v>
      </c>
      <c r="I20" s="189"/>
    </row>
    <row r="21" spans="1:9" ht="31" x14ac:dyDescent="0.35">
      <c r="A21" s="359"/>
      <c r="B21" s="165"/>
      <c r="C21" s="166" t="s">
        <v>234</v>
      </c>
      <c r="D21" s="167"/>
      <c r="E21" s="363"/>
      <c r="F21" s="359"/>
      <c r="G21" s="359"/>
      <c r="H21" s="530"/>
      <c r="I21" s="401"/>
    </row>
    <row r="22" spans="1:9" ht="15.5" x14ac:dyDescent="0.35">
      <c r="A22" s="359"/>
      <c r="B22" s="168" t="s">
        <v>235</v>
      </c>
      <c r="C22" s="169">
        <v>1000</v>
      </c>
      <c r="D22" s="170"/>
      <c r="E22" s="363"/>
      <c r="F22" s="359"/>
      <c r="G22" s="359"/>
      <c r="H22" s="530"/>
      <c r="I22" s="401"/>
    </row>
    <row r="23" spans="1:9" ht="15.5" x14ac:dyDescent="0.35">
      <c r="A23" s="359"/>
      <c r="B23" s="168" t="s">
        <v>236</v>
      </c>
      <c r="C23" s="169">
        <v>1500</v>
      </c>
      <c r="D23" s="170"/>
      <c r="E23" s="363"/>
      <c r="F23" s="359"/>
      <c r="G23" s="359"/>
      <c r="H23" s="530"/>
      <c r="I23" s="401"/>
    </row>
    <row r="24" spans="1:9" ht="16" thickBot="1" x14ac:dyDescent="0.4">
      <c r="A24" s="359"/>
      <c r="B24" s="171" t="s">
        <v>237</v>
      </c>
      <c r="C24" s="172">
        <v>2500</v>
      </c>
      <c r="D24" s="170"/>
      <c r="E24" s="363"/>
      <c r="F24" s="359"/>
      <c r="G24" s="359"/>
      <c r="H24" s="530"/>
      <c r="I24" s="401"/>
    </row>
    <row r="25" spans="1:9" ht="15.5" x14ac:dyDescent="0.35">
      <c r="A25" s="365"/>
      <c r="B25" s="357" t="s">
        <v>238</v>
      </c>
      <c r="C25" s="357"/>
      <c r="D25" s="357"/>
      <c r="E25" s="402"/>
      <c r="F25" s="365"/>
      <c r="G25" s="365"/>
      <c r="H25" s="529"/>
      <c r="I25" s="401"/>
    </row>
    <row r="26" spans="1:9" ht="15.5" x14ac:dyDescent="0.35">
      <c r="A26" s="162"/>
      <c r="B26" s="347" t="s">
        <v>239</v>
      </c>
      <c r="C26" s="348"/>
      <c r="D26" s="348"/>
      <c r="E26" s="348"/>
      <c r="F26" s="348"/>
      <c r="G26" s="349"/>
      <c r="H26" s="544">
        <f>SUM(H19:H20)</f>
        <v>0</v>
      </c>
      <c r="I26" s="163"/>
    </row>
    <row r="27" spans="1:9" ht="15.5" x14ac:dyDescent="0.35">
      <c r="A27" s="156" t="s">
        <v>240</v>
      </c>
      <c r="B27" s="336" t="s">
        <v>241</v>
      </c>
      <c r="C27" s="336"/>
      <c r="D27" s="337"/>
      <c r="E27" s="157"/>
      <c r="F27" s="156"/>
      <c r="G27" s="156"/>
      <c r="H27" s="540"/>
      <c r="I27" s="156"/>
    </row>
    <row r="28" spans="1:9" ht="47.25" customHeight="1" x14ac:dyDescent="0.35">
      <c r="A28" s="242" t="s">
        <v>228</v>
      </c>
      <c r="B28" s="339" t="s">
        <v>242</v>
      </c>
      <c r="C28" s="339"/>
      <c r="D28" s="339"/>
      <c r="E28" s="188"/>
      <c r="F28" s="180" t="s">
        <v>69</v>
      </c>
      <c r="G28" s="239" t="s">
        <v>113</v>
      </c>
      <c r="H28" s="181">
        <f>IF(E28="Y",1,0)</f>
        <v>0</v>
      </c>
      <c r="I28" s="190"/>
    </row>
    <row r="29" spans="1:9" ht="18.75" customHeight="1" x14ac:dyDescent="0.35">
      <c r="A29" s="242" t="s">
        <v>76</v>
      </c>
      <c r="B29" s="339" t="s">
        <v>243</v>
      </c>
      <c r="C29" s="339"/>
      <c r="D29" s="339"/>
      <c r="E29" s="187" t="s">
        <v>120</v>
      </c>
      <c r="F29" s="115" t="s">
        <v>120</v>
      </c>
      <c r="G29" s="43" t="s">
        <v>120</v>
      </c>
      <c r="H29" s="545" t="s">
        <v>120</v>
      </c>
      <c r="I29" s="190"/>
    </row>
    <row r="30" spans="1:9" ht="15.5" x14ac:dyDescent="0.35">
      <c r="A30" s="162"/>
      <c r="B30" s="347" t="s">
        <v>244</v>
      </c>
      <c r="C30" s="348"/>
      <c r="D30" s="348"/>
      <c r="E30" s="348"/>
      <c r="F30" s="348"/>
      <c r="G30" s="349"/>
      <c r="H30" s="544">
        <f>H28</f>
        <v>0</v>
      </c>
      <c r="I30" s="163"/>
    </row>
    <row r="31" spans="1:9" ht="15.5" x14ac:dyDescent="0.35">
      <c r="A31" s="153" t="s">
        <v>245</v>
      </c>
      <c r="B31" s="344" t="s">
        <v>246</v>
      </c>
      <c r="C31" s="345"/>
      <c r="D31" s="345"/>
      <c r="E31" s="345"/>
      <c r="F31" s="345"/>
      <c r="G31" s="154">
        <v>5</v>
      </c>
      <c r="H31" s="546">
        <f>MIN(SUM(H58,H63,H69),5)</f>
        <v>0</v>
      </c>
      <c r="I31" s="155"/>
    </row>
    <row r="32" spans="1:9" ht="15.75" customHeight="1" x14ac:dyDescent="0.35">
      <c r="A32" s="156" t="s">
        <v>247</v>
      </c>
      <c r="B32" s="336" t="s">
        <v>248</v>
      </c>
      <c r="C32" s="336"/>
      <c r="D32" s="337"/>
      <c r="E32" s="157"/>
      <c r="F32" s="156"/>
      <c r="G32" s="156"/>
      <c r="H32" s="540"/>
      <c r="I32" s="156"/>
    </row>
    <row r="33" spans="1:13" ht="31.5" customHeight="1" x14ac:dyDescent="0.35">
      <c r="A33" s="173"/>
      <c r="B33" s="340" t="s">
        <v>249</v>
      </c>
      <c r="C33" s="340"/>
      <c r="D33" s="340"/>
      <c r="E33" s="174"/>
      <c r="F33" s="175"/>
      <c r="G33" s="176"/>
      <c r="H33" s="547"/>
      <c r="I33" s="173"/>
    </row>
    <row r="34" spans="1:13" ht="16" thickBot="1" x14ac:dyDescent="0.4">
      <c r="A34" s="368" t="s">
        <v>74</v>
      </c>
      <c r="B34" s="388" t="s">
        <v>250</v>
      </c>
      <c r="C34" s="389"/>
      <c r="D34" s="390"/>
      <c r="E34" s="246"/>
      <c r="F34" s="177"/>
      <c r="G34" s="34"/>
      <c r="H34" s="517"/>
      <c r="I34" s="45"/>
    </row>
    <row r="35" spans="1:13" ht="15.5" x14ac:dyDescent="0.35">
      <c r="A35" s="369"/>
      <c r="B35" s="165"/>
      <c r="C35" s="166" t="s">
        <v>251</v>
      </c>
      <c r="D35" s="364"/>
      <c r="E35" s="383"/>
      <c r="F35" s="385" t="s">
        <v>72</v>
      </c>
      <c r="G35" s="368" t="s">
        <v>113</v>
      </c>
      <c r="H35" s="548">
        <f>IF(ISBLANK(E35),0,IF(E35&lt;=0.35,1,0))</f>
        <v>0</v>
      </c>
      <c r="I35" s="403"/>
    </row>
    <row r="36" spans="1:13" ht="15.5" x14ac:dyDescent="0.35">
      <c r="A36" s="369"/>
      <c r="B36" s="168" t="s">
        <v>235</v>
      </c>
      <c r="C36" s="169" t="s">
        <v>252</v>
      </c>
      <c r="D36" s="364"/>
      <c r="E36" s="384"/>
      <c r="F36" s="385"/>
      <c r="G36" s="368"/>
      <c r="H36" s="549"/>
      <c r="I36" s="404"/>
    </row>
    <row r="37" spans="1:13" ht="15.5" x14ac:dyDescent="0.35">
      <c r="A37" s="369"/>
      <c r="B37" s="168" t="s">
        <v>236</v>
      </c>
      <c r="C37" s="169" t="s">
        <v>253</v>
      </c>
      <c r="D37" s="364"/>
      <c r="E37" s="384"/>
      <c r="F37" s="385"/>
      <c r="G37" s="368"/>
      <c r="H37" s="549"/>
      <c r="I37" s="404"/>
    </row>
    <row r="38" spans="1:13" ht="16" thickBot="1" x14ac:dyDescent="0.4">
      <c r="A38" s="369"/>
      <c r="B38" s="171" t="s">
        <v>237</v>
      </c>
      <c r="C38" s="172" t="s">
        <v>253</v>
      </c>
      <c r="D38" s="364"/>
      <c r="E38" s="384"/>
      <c r="F38" s="385"/>
      <c r="G38" s="368"/>
      <c r="H38" s="549"/>
      <c r="I38" s="404"/>
    </row>
    <row r="39" spans="1:13" ht="67.5" customHeight="1" thickBot="1" x14ac:dyDescent="0.4">
      <c r="A39" s="370" t="s">
        <v>231</v>
      </c>
      <c r="B39" s="339" t="s">
        <v>254</v>
      </c>
      <c r="C39" s="339"/>
      <c r="D39" s="390"/>
      <c r="E39" s="374"/>
      <c r="F39" s="377"/>
      <c r="G39" s="377"/>
      <c r="H39" s="548"/>
      <c r="I39" s="406"/>
      <c r="K39" s="263"/>
      <c r="L39" s="253"/>
      <c r="M39" s="253"/>
    </row>
    <row r="40" spans="1:13" ht="31.5" customHeight="1" x14ac:dyDescent="0.35">
      <c r="A40" s="371"/>
      <c r="B40" s="165"/>
      <c r="C40" s="178" t="s">
        <v>255</v>
      </c>
      <c r="D40" s="366"/>
      <c r="E40" s="375"/>
      <c r="F40" s="378"/>
      <c r="G40" s="378"/>
      <c r="H40" s="549"/>
      <c r="I40" s="407"/>
      <c r="K40" s="263"/>
      <c r="L40" s="253"/>
      <c r="M40" s="253"/>
    </row>
    <row r="41" spans="1:13" ht="15.75" customHeight="1" x14ac:dyDescent="0.35">
      <c r="A41" s="371"/>
      <c r="B41" s="168" t="s">
        <v>235</v>
      </c>
      <c r="C41" s="169" t="s">
        <v>256</v>
      </c>
      <c r="D41" s="366"/>
      <c r="E41" s="375"/>
      <c r="F41" s="378"/>
      <c r="G41" s="378"/>
      <c r="H41" s="549"/>
      <c r="I41" s="407"/>
      <c r="K41" s="263"/>
      <c r="L41" s="253"/>
      <c r="M41" s="253"/>
    </row>
    <row r="42" spans="1:13" ht="15.75" customHeight="1" thickBot="1" x14ac:dyDescent="0.4">
      <c r="A42" s="371"/>
      <c r="B42" s="171" t="s">
        <v>236</v>
      </c>
      <c r="C42" s="179" t="s">
        <v>257</v>
      </c>
      <c r="D42" s="367"/>
      <c r="E42" s="376"/>
      <c r="F42" s="379"/>
      <c r="G42" s="379"/>
      <c r="H42" s="550"/>
      <c r="I42" s="408"/>
      <c r="K42" s="263"/>
      <c r="L42" s="253"/>
      <c r="M42" s="253"/>
    </row>
    <row r="43" spans="1:13" ht="15.75" customHeight="1" x14ac:dyDescent="0.35">
      <c r="A43" s="372"/>
      <c r="B43" s="392" t="s">
        <v>258</v>
      </c>
      <c r="C43" s="392"/>
      <c r="D43" s="339"/>
      <c r="E43" s="188"/>
      <c r="F43" s="180" t="s">
        <v>78</v>
      </c>
      <c r="G43" s="370" t="s">
        <v>113</v>
      </c>
      <c r="H43" s="548">
        <f>IF(SUM(E43:E47)&gt;=50, 1, 0)</f>
        <v>0</v>
      </c>
      <c r="I43" s="403"/>
      <c r="K43" s="263"/>
      <c r="L43" s="253"/>
      <c r="M43" s="253"/>
    </row>
    <row r="44" spans="1:13" ht="15.5" x14ac:dyDescent="0.35">
      <c r="A44" s="372"/>
      <c r="B44" s="339" t="s">
        <v>259</v>
      </c>
      <c r="C44" s="339"/>
      <c r="D44" s="339"/>
      <c r="E44" s="188"/>
      <c r="F44" s="180" t="s">
        <v>78</v>
      </c>
      <c r="G44" s="372"/>
      <c r="H44" s="549"/>
      <c r="I44" s="404"/>
      <c r="K44" s="263"/>
      <c r="L44" s="264"/>
      <c r="M44" s="265"/>
    </row>
    <row r="45" spans="1:13" ht="15.75" customHeight="1" x14ac:dyDescent="0.35">
      <c r="A45" s="372"/>
      <c r="B45" s="339" t="s">
        <v>260</v>
      </c>
      <c r="C45" s="339"/>
      <c r="D45" s="339"/>
      <c r="E45" s="188"/>
      <c r="F45" s="180" t="s">
        <v>78</v>
      </c>
      <c r="G45" s="372"/>
      <c r="H45" s="549"/>
      <c r="I45" s="404"/>
    </row>
    <row r="46" spans="1:13" ht="15.75" customHeight="1" x14ac:dyDescent="0.35">
      <c r="A46" s="372"/>
      <c r="B46" s="339" t="s">
        <v>261</v>
      </c>
      <c r="C46" s="339"/>
      <c r="D46" s="339"/>
      <c r="E46" s="188"/>
      <c r="F46" s="180" t="s">
        <v>78</v>
      </c>
      <c r="G46" s="372"/>
      <c r="H46" s="549"/>
      <c r="I46" s="404"/>
    </row>
    <row r="47" spans="1:13" ht="47.25" customHeight="1" x14ac:dyDescent="0.35">
      <c r="A47" s="373"/>
      <c r="B47" s="339" t="s">
        <v>262</v>
      </c>
      <c r="C47" s="339"/>
      <c r="D47" s="339"/>
      <c r="E47" s="188"/>
      <c r="F47" s="180" t="s">
        <v>78</v>
      </c>
      <c r="G47" s="373"/>
      <c r="H47" s="550"/>
      <c r="I47" s="405"/>
    </row>
    <row r="48" spans="1:13" ht="47.25" customHeight="1" x14ac:dyDescent="0.35">
      <c r="A48" s="370" t="s">
        <v>79</v>
      </c>
      <c r="B48" s="339" t="s">
        <v>263</v>
      </c>
      <c r="C48" s="339"/>
      <c r="D48" s="339"/>
      <c r="E48" s="246"/>
      <c r="F48" s="180"/>
      <c r="G48"/>
      <c r="H48" s="181"/>
      <c r="I48" s="142"/>
    </row>
    <row r="49" spans="1:9" ht="33" customHeight="1" x14ac:dyDescent="0.35">
      <c r="A49" s="373"/>
      <c r="B49" s="353" t="s">
        <v>264</v>
      </c>
      <c r="C49" s="353"/>
      <c r="D49" s="353"/>
      <c r="E49" s="188"/>
      <c r="F49" s="290" t="s">
        <v>72</v>
      </c>
      <c r="G49" s="289" t="s">
        <v>265</v>
      </c>
      <c r="H49" s="181">
        <f>IF(ISBLANK(E49), ,LEFT(E49,1)*0.25)</f>
        <v>0</v>
      </c>
      <c r="I49" s="142"/>
    </row>
    <row r="50" spans="1:9" ht="64.5" customHeight="1" x14ac:dyDescent="0.35">
      <c r="A50" s="370" t="s">
        <v>84</v>
      </c>
      <c r="B50" s="351" t="s">
        <v>266</v>
      </c>
      <c r="C50" s="339"/>
      <c r="D50" s="352"/>
      <c r="E50" s="246"/>
      <c r="F50" s="180"/>
      <c r="G50" s="182" t="s">
        <v>267</v>
      </c>
      <c r="H50" s="551"/>
      <c r="I50" s="213"/>
    </row>
    <row r="51" spans="1:9" ht="15.5" x14ac:dyDescent="0.35">
      <c r="A51" s="372"/>
      <c r="B51" s="353" t="s">
        <v>268</v>
      </c>
      <c r="C51" s="353"/>
      <c r="D51" s="353"/>
      <c r="E51" s="188"/>
      <c r="F51" s="180" t="s">
        <v>72</v>
      </c>
      <c r="G51" s="239" t="s">
        <v>120</v>
      </c>
      <c r="H51" s="517"/>
      <c r="I51" s="142"/>
    </row>
    <row r="52" spans="1:9" ht="15.5" x14ac:dyDescent="0.35">
      <c r="A52" s="372"/>
      <c r="B52" s="339" t="s">
        <v>269</v>
      </c>
      <c r="C52" s="339"/>
      <c r="D52" s="339"/>
      <c r="E52" s="188"/>
      <c r="F52" s="180" t="s">
        <v>78</v>
      </c>
      <c r="G52" s="386" t="s">
        <v>270</v>
      </c>
      <c r="H52" s="548">
        <f>IF(AND(E52&gt;=20,E53="Y"),0.5,0)</f>
        <v>0</v>
      </c>
      <c r="I52" s="142"/>
    </row>
    <row r="53" spans="1:9" ht="18" customHeight="1" x14ac:dyDescent="0.35">
      <c r="A53" s="372"/>
      <c r="B53" s="339" t="s">
        <v>271</v>
      </c>
      <c r="C53" s="339"/>
      <c r="D53" s="339"/>
      <c r="E53" s="188"/>
      <c r="F53" s="180" t="s">
        <v>69</v>
      </c>
      <c r="G53" s="387"/>
      <c r="H53" s="550"/>
      <c r="I53" s="142"/>
    </row>
    <row r="54" spans="1:9" ht="15.5" x14ac:dyDescent="0.35">
      <c r="A54" s="372"/>
      <c r="B54" s="339" t="s">
        <v>510</v>
      </c>
      <c r="C54" s="339"/>
      <c r="D54" s="339"/>
      <c r="E54" s="188"/>
      <c r="F54" s="164" t="s">
        <v>78</v>
      </c>
      <c r="G54" s="386" t="s">
        <v>270</v>
      </c>
      <c r="H54" s="548">
        <f>IF(OR(AND(E54&lt;=10,E55="Y"),AND(E56&gt;=50,E57="Y")),0.5,0)</f>
        <v>0</v>
      </c>
      <c r="I54" s="142"/>
    </row>
    <row r="55" spans="1:9" ht="15.75" customHeight="1" x14ac:dyDescent="0.35">
      <c r="A55" s="372"/>
      <c r="B55" s="339" t="s">
        <v>511</v>
      </c>
      <c r="C55" s="339"/>
      <c r="D55" s="339"/>
      <c r="E55" s="188"/>
      <c r="F55" s="180" t="s">
        <v>69</v>
      </c>
      <c r="G55" s="398"/>
      <c r="H55" s="549"/>
      <c r="I55" s="142"/>
    </row>
    <row r="56" spans="1:9" ht="15.75" customHeight="1" x14ac:dyDescent="0.35">
      <c r="A56" s="372"/>
      <c r="B56" s="339" t="s">
        <v>272</v>
      </c>
      <c r="C56" s="339"/>
      <c r="D56" s="339"/>
      <c r="E56" s="188"/>
      <c r="F56" s="164" t="s">
        <v>78</v>
      </c>
      <c r="G56" s="398"/>
      <c r="H56" s="549"/>
      <c r="I56" s="142"/>
    </row>
    <row r="57" spans="1:9" ht="15.75" customHeight="1" x14ac:dyDescent="0.35">
      <c r="A57" s="373"/>
      <c r="B57" s="339" t="s">
        <v>273</v>
      </c>
      <c r="C57" s="339"/>
      <c r="D57" s="339"/>
      <c r="E57" s="188"/>
      <c r="F57" s="180" t="s">
        <v>69</v>
      </c>
      <c r="G57" s="387"/>
      <c r="H57" s="550"/>
      <c r="I57" s="142"/>
    </row>
    <row r="58" spans="1:9" ht="15.5" x14ac:dyDescent="0.35">
      <c r="A58" s="162"/>
      <c r="B58" s="347" t="s">
        <v>274</v>
      </c>
      <c r="C58" s="348"/>
      <c r="D58" s="348"/>
      <c r="E58" s="348"/>
      <c r="F58" s="348"/>
      <c r="G58" s="349"/>
      <c r="H58" s="544">
        <f>SUM(H52:H57,H49,H43,H35)</f>
        <v>0</v>
      </c>
      <c r="I58" s="163"/>
    </row>
    <row r="59" spans="1:9" ht="15.75" customHeight="1" x14ac:dyDescent="0.35">
      <c r="A59" s="183" t="s">
        <v>275</v>
      </c>
      <c r="B59" s="362" t="s">
        <v>276</v>
      </c>
      <c r="C59" s="336"/>
      <c r="D59" s="337"/>
      <c r="E59" s="157"/>
      <c r="F59" s="156"/>
      <c r="G59" s="156"/>
      <c r="H59" s="540"/>
      <c r="I59" s="156"/>
    </row>
    <row r="60" spans="1:9" ht="34" customHeight="1" x14ac:dyDescent="0.35">
      <c r="A60" s="382" t="s">
        <v>74</v>
      </c>
      <c r="B60" s="388" t="s">
        <v>277</v>
      </c>
      <c r="C60" s="389"/>
      <c r="D60" s="390"/>
      <c r="E60" s="188"/>
      <c r="F60" s="164" t="s">
        <v>278</v>
      </c>
      <c r="G60" s="386" t="s">
        <v>113</v>
      </c>
      <c r="H60" s="552">
        <f>IF(AND(E60="Cost",E61&gt;=60),1,0) + IF(AND(E60="Area",E61&gt;=80),1,0)</f>
        <v>0</v>
      </c>
      <c r="I60" s="142"/>
    </row>
    <row r="61" spans="1:9" ht="31" customHeight="1" x14ac:dyDescent="0.35">
      <c r="A61" s="382"/>
      <c r="B61" s="391"/>
      <c r="C61" s="392"/>
      <c r="D61" s="393"/>
      <c r="E61" s="188"/>
      <c r="F61" s="164" t="s">
        <v>78</v>
      </c>
      <c r="G61" s="387"/>
      <c r="H61" s="553"/>
      <c r="I61" s="142"/>
    </row>
    <row r="62" spans="1:9" ht="48" customHeight="1" x14ac:dyDescent="0.35">
      <c r="A62" s="242" t="s">
        <v>76</v>
      </c>
      <c r="B62" s="338" t="s">
        <v>279</v>
      </c>
      <c r="C62" s="339"/>
      <c r="D62" s="339"/>
      <c r="E62" s="188"/>
      <c r="F62" s="164" t="s">
        <v>78</v>
      </c>
      <c r="G62" s="81" t="s">
        <v>113</v>
      </c>
      <c r="H62" s="554">
        <f>IF(E62&gt;=60,1,0)</f>
        <v>0</v>
      </c>
      <c r="I62" s="142"/>
    </row>
    <row r="63" spans="1:9" ht="15.75" customHeight="1" x14ac:dyDescent="0.35">
      <c r="A63" s="184"/>
      <c r="B63" s="347" t="s">
        <v>280</v>
      </c>
      <c r="C63" s="348"/>
      <c r="D63" s="348"/>
      <c r="E63" s="348"/>
      <c r="F63" s="348"/>
      <c r="G63" s="349"/>
      <c r="H63" s="544">
        <f>SUM(H60:H62)</f>
        <v>0</v>
      </c>
      <c r="I63" s="163"/>
    </row>
    <row r="64" spans="1:9" ht="15.5" x14ac:dyDescent="0.35">
      <c r="A64" s="156" t="s">
        <v>281</v>
      </c>
      <c r="B64" s="336" t="s">
        <v>282</v>
      </c>
      <c r="C64" s="336"/>
      <c r="D64" s="337"/>
      <c r="E64" s="157"/>
      <c r="F64" s="156"/>
      <c r="G64" s="156"/>
      <c r="H64" s="540"/>
      <c r="I64" s="156"/>
    </row>
    <row r="65" spans="1:9" ht="33" customHeight="1" x14ac:dyDescent="0.35">
      <c r="A65" s="242"/>
      <c r="B65" s="338" t="s">
        <v>283</v>
      </c>
      <c r="C65" s="339"/>
      <c r="D65" s="339"/>
      <c r="E65" s="246"/>
      <c r="F65" s="164"/>
      <c r="G65" s="81"/>
      <c r="H65" s="181"/>
      <c r="I65" s="142"/>
    </row>
    <row r="66" spans="1:9" ht="15.5" x14ac:dyDescent="0.35">
      <c r="A66" s="242" t="s">
        <v>74</v>
      </c>
      <c r="B66" s="338" t="s">
        <v>284</v>
      </c>
      <c r="C66" s="339"/>
      <c r="D66" s="339"/>
      <c r="E66" s="188"/>
      <c r="F66" s="164" t="s">
        <v>69</v>
      </c>
      <c r="G66" s="81" t="s">
        <v>113</v>
      </c>
      <c r="H66" s="181">
        <f>IF(E66="Y",1,0)</f>
        <v>0</v>
      </c>
      <c r="I66" s="142"/>
    </row>
    <row r="67" spans="1:9" ht="47.25" customHeight="1" x14ac:dyDescent="0.35">
      <c r="A67" s="242" t="s">
        <v>231</v>
      </c>
      <c r="B67" s="338" t="s">
        <v>285</v>
      </c>
      <c r="C67" s="339"/>
      <c r="D67" s="339"/>
      <c r="E67" s="188"/>
      <c r="F67" s="164" t="s">
        <v>78</v>
      </c>
      <c r="G67" s="81" t="s">
        <v>113</v>
      </c>
      <c r="H67" s="514">
        <f>IF(E67&gt;=40,1,0)</f>
        <v>0</v>
      </c>
      <c r="I67" s="142"/>
    </row>
    <row r="68" spans="1:9" ht="51.65" customHeight="1" x14ac:dyDescent="0.35">
      <c r="A68" s="242" t="s">
        <v>286</v>
      </c>
      <c r="B68" s="338" t="s">
        <v>287</v>
      </c>
      <c r="C68" s="339"/>
      <c r="D68" s="339"/>
      <c r="E68" s="188"/>
      <c r="F68" s="164" t="s">
        <v>69</v>
      </c>
      <c r="G68" s="81" t="s">
        <v>113</v>
      </c>
      <c r="H68" s="181">
        <f>IF(E68="Y",1,0)</f>
        <v>0</v>
      </c>
      <c r="I68" s="142"/>
    </row>
    <row r="69" spans="1:9" ht="15.5" x14ac:dyDescent="0.35">
      <c r="A69" s="184"/>
      <c r="B69" s="347" t="s">
        <v>288</v>
      </c>
      <c r="C69" s="348"/>
      <c r="D69" s="348"/>
      <c r="E69" s="348"/>
      <c r="F69" s="348"/>
      <c r="G69" s="349"/>
      <c r="H69" s="544">
        <f>SUM(H66:H68)</f>
        <v>0</v>
      </c>
      <c r="I69" s="163"/>
    </row>
    <row r="70" spans="1:9" ht="15.65" customHeight="1" x14ac:dyDescent="0.35">
      <c r="A70" s="153" t="s">
        <v>289</v>
      </c>
      <c r="B70" s="344" t="s">
        <v>290</v>
      </c>
      <c r="C70" s="345"/>
      <c r="D70" s="345"/>
      <c r="E70" s="345"/>
      <c r="F70" s="345"/>
      <c r="G70" s="185">
        <v>5</v>
      </c>
      <c r="H70" s="546">
        <f>MIN(SUM(H73,H77,H80),5)</f>
        <v>0</v>
      </c>
      <c r="I70" s="155"/>
    </row>
    <row r="71" spans="1:9" ht="19" customHeight="1" x14ac:dyDescent="0.35">
      <c r="A71" s="156" t="s">
        <v>291</v>
      </c>
      <c r="B71" s="336" t="s">
        <v>292</v>
      </c>
      <c r="C71" s="336"/>
      <c r="D71" s="337"/>
      <c r="E71" s="157"/>
      <c r="F71" s="156"/>
      <c r="G71" s="156"/>
      <c r="H71" s="540"/>
      <c r="I71" s="156"/>
    </row>
    <row r="72" spans="1:9" ht="98.5" customHeight="1" x14ac:dyDescent="0.35">
      <c r="A72" s="186"/>
      <c r="B72" s="338" t="s">
        <v>293</v>
      </c>
      <c r="C72" s="339"/>
      <c r="D72" s="339"/>
      <c r="E72" s="188"/>
      <c r="F72" s="164" t="s">
        <v>78</v>
      </c>
      <c r="G72" s="81" t="s">
        <v>294</v>
      </c>
      <c r="H72" s="514">
        <f>IF(E72=100,3,IF(E72&gt;=70,2,IF(E72&gt;=50,1,0)))</f>
        <v>0</v>
      </c>
      <c r="I72" s="142"/>
    </row>
    <row r="73" spans="1:9" ht="15.5" x14ac:dyDescent="0.35">
      <c r="A73" s="162"/>
      <c r="B73" s="347" t="s">
        <v>295</v>
      </c>
      <c r="C73" s="348"/>
      <c r="D73" s="348"/>
      <c r="E73" s="348"/>
      <c r="F73" s="348"/>
      <c r="G73" s="349"/>
      <c r="H73" s="544">
        <f>H72</f>
        <v>0</v>
      </c>
      <c r="I73" s="163"/>
    </row>
    <row r="74" spans="1:9" ht="16.5" customHeight="1" x14ac:dyDescent="0.35">
      <c r="A74" s="156" t="s">
        <v>296</v>
      </c>
      <c r="B74" s="336" t="s">
        <v>297</v>
      </c>
      <c r="C74" s="336"/>
      <c r="D74" s="337"/>
      <c r="E74" s="157"/>
      <c r="F74" s="156"/>
      <c r="G74" s="156"/>
      <c r="H74" s="540"/>
      <c r="I74" s="156"/>
    </row>
    <row r="75" spans="1:9" ht="48.75" customHeight="1" x14ac:dyDescent="0.35">
      <c r="A75" s="242" t="s">
        <v>74</v>
      </c>
      <c r="B75" s="338" t="s">
        <v>298</v>
      </c>
      <c r="C75" s="339"/>
      <c r="D75" s="339"/>
      <c r="E75" s="188"/>
      <c r="F75" s="164" t="s">
        <v>78</v>
      </c>
      <c r="G75" s="81" t="s">
        <v>113</v>
      </c>
      <c r="H75" s="514">
        <f>IF(E75&gt;=80,1,0)</f>
        <v>0</v>
      </c>
      <c r="I75" s="150"/>
    </row>
    <row r="76" spans="1:9" ht="50.5" customHeight="1" x14ac:dyDescent="0.35">
      <c r="A76" s="242" t="s">
        <v>231</v>
      </c>
      <c r="B76" s="338" t="s">
        <v>299</v>
      </c>
      <c r="C76" s="339"/>
      <c r="D76" s="339"/>
      <c r="E76" s="188"/>
      <c r="F76" s="164" t="s">
        <v>78</v>
      </c>
      <c r="G76" s="81" t="s">
        <v>113</v>
      </c>
      <c r="H76" s="514">
        <f>IF(E76&gt;=80,1,0)</f>
        <v>0</v>
      </c>
      <c r="I76" s="150"/>
    </row>
    <row r="77" spans="1:9" ht="15.5" x14ac:dyDescent="0.35">
      <c r="A77" s="162"/>
      <c r="B77" s="347" t="s">
        <v>300</v>
      </c>
      <c r="C77" s="348"/>
      <c r="D77" s="348"/>
      <c r="E77" s="348"/>
      <c r="F77" s="348"/>
      <c r="G77" s="349"/>
      <c r="H77" s="544">
        <f>SUM(H75:H76)</f>
        <v>0</v>
      </c>
      <c r="I77" s="163"/>
    </row>
    <row r="78" spans="1:9" ht="15.5" x14ac:dyDescent="0.35">
      <c r="A78" s="156" t="s">
        <v>301</v>
      </c>
      <c r="B78" s="336" t="s">
        <v>302</v>
      </c>
      <c r="C78" s="336"/>
      <c r="D78" s="337"/>
      <c r="E78" s="157"/>
      <c r="F78" s="156"/>
      <c r="G78" s="156"/>
      <c r="H78" s="540"/>
      <c r="I78" s="156"/>
    </row>
    <row r="79" spans="1:9" ht="100" customHeight="1" x14ac:dyDescent="0.35">
      <c r="A79" s="242"/>
      <c r="B79" s="346" t="s">
        <v>303</v>
      </c>
      <c r="C79" s="346"/>
      <c r="D79" s="346"/>
      <c r="E79" s="187" t="s">
        <v>120</v>
      </c>
      <c r="F79" s="115" t="s">
        <v>120</v>
      </c>
      <c r="G79" s="43" t="s">
        <v>120</v>
      </c>
      <c r="H79" s="545" t="s">
        <v>120</v>
      </c>
      <c r="I79" s="8"/>
    </row>
    <row r="80" spans="1:9" ht="15.5" x14ac:dyDescent="0.35">
      <c r="A80" s="162"/>
      <c r="B80" s="347" t="s">
        <v>304</v>
      </c>
      <c r="C80" s="348"/>
      <c r="D80" s="348"/>
      <c r="E80" s="348"/>
      <c r="F80" s="348"/>
      <c r="G80" s="349"/>
      <c r="H80" s="544">
        <f>0</f>
        <v>0</v>
      </c>
      <c r="I80" s="163"/>
    </row>
    <row r="81" spans="1:9" s="266" customFormat="1" ht="18.649999999999999" customHeight="1" x14ac:dyDescent="0.35">
      <c r="A81" s="153"/>
      <c r="B81" s="344" t="s">
        <v>305</v>
      </c>
      <c r="C81" s="345"/>
      <c r="D81" s="345"/>
      <c r="E81" s="345"/>
      <c r="F81" s="345"/>
      <c r="G81" s="185">
        <v>2</v>
      </c>
      <c r="H81" s="546">
        <f>SUM(H83:H84)</f>
        <v>0</v>
      </c>
      <c r="I81" s="155"/>
    </row>
    <row r="82" spans="1:9" ht="65.150000000000006" customHeight="1" x14ac:dyDescent="0.35">
      <c r="A82" s="156"/>
      <c r="B82" s="350" t="s">
        <v>306</v>
      </c>
      <c r="C82" s="350"/>
      <c r="D82" s="350"/>
      <c r="E82" s="157"/>
      <c r="F82" s="156"/>
      <c r="G82" s="157" t="s">
        <v>198</v>
      </c>
      <c r="H82" s="540"/>
      <c r="I82" s="237" t="s">
        <v>199</v>
      </c>
    </row>
    <row r="83" spans="1:9" ht="183" customHeight="1" x14ac:dyDescent="0.35">
      <c r="A83" s="242"/>
      <c r="B83" s="346" t="s">
        <v>307</v>
      </c>
      <c r="C83" s="346"/>
      <c r="D83" s="346"/>
      <c r="E83" s="188"/>
      <c r="F83" s="141" t="s">
        <v>72</v>
      </c>
      <c r="G83" s="335" t="s">
        <v>201</v>
      </c>
      <c r="H83" s="514">
        <f>E83</f>
        <v>0</v>
      </c>
      <c r="I83" s="150" t="s">
        <v>202</v>
      </c>
    </row>
    <row r="84" spans="1:9" ht="183" customHeight="1" x14ac:dyDescent="0.35">
      <c r="A84" s="34"/>
      <c r="B84" s="346"/>
      <c r="C84" s="346"/>
      <c r="D84" s="346"/>
      <c r="E84" s="188"/>
      <c r="F84" s="141" t="s">
        <v>72</v>
      </c>
      <c r="G84" s="335"/>
      <c r="H84" s="514">
        <f>E84</f>
        <v>0</v>
      </c>
      <c r="I84" s="150" t="s">
        <v>203</v>
      </c>
    </row>
  </sheetData>
  <sheetProtection algorithmName="SHA-512" hashValue="dzQq7lwE8QBHzwTHDkYysazHYwu/FK38DoKv94FiX9Aa9pSUO88pQRBIIc9PVWLtP1g7GPegBzJ1pox1nTYd3A==" saltValue="gjBKICT2QO1mure2ZVnDPw==" spinCount="100000" sheet="1" formatCells="0" selectLockedCells="1"/>
  <mergeCells count="106">
    <mergeCell ref="H7:H14"/>
    <mergeCell ref="I7:I14"/>
    <mergeCell ref="E21:E25"/>
    <mergeCell ref="F21:F25"/>
    <mergeCell ref="G21:G25"/>
    <mergeCell ref="I43:I47"/>
    <mergeCell ref="H39:H42"/>
    <mergeCell ref="I39:I42"/>
    <mergeCell ref="I35:I38"/>
    <mergeCell ref="H21:H25"/>
    <mergeCell ref="I21:I25"/>
    <mergeCell ref="B80:G80"/>
    <mergeCell ref="G39:G42"/>
    <mergeCell ref="B19:D19"/>
    <mergeCell ref="B4:D4"/>
    <mergeCell ref="B5:D5"/>
    <mergeCell ref="B6:D6"/>
    <mergeCell ref="B15:D15"/>
    <mergeCell ref="G43:G47"/>
    <mergeCell ref="B75:D75"/>
    <mergeCell ref="B67:D67"/>
    <mergeCell ref="B68:D68"/>
    <mergeCell ref="B62:D62"/>
    <mergeCell ref="B74:D74"/>
    <mergeCell ref="B18:D18"/>
    <mergeCell ref="B39:D39"/>
    <mergeCell ref="B43:D43"/>
    <mergeCell ref="B44:D44"/>
    <mergeCell ref="G54:G57"/>
    <mergeCell ref="G52:G53"/>
    <mergeCell ref="B73:G73"/>
    <mergeCell ref="B77:G77"/>
    <mergeCell ref="G7:G14"/>
    <mergeCell ref="B7:C7"/>
    <mergeCell ref="B20:D20"/>
    <mergeCell ref="A60:A61"/>
    <mergeCell ref="E35:E38"/>
    <mergeCell ref="F35:F38"/>
    <mergeCell ref="G35:G38"/>
    <mergeCell ref="H35:H38"/>
    <mergeCell ref="G60:G61"/>
    <mergeCell ref="B60:D61"/>
    <mergeCell ref="B49:D49"/>
    <mergeCell ref="B34:D34"/>
    <mergeCell ref="H43:H47"/>
    <mergeCell ref="H60:H61"/>
    <mergeCell ref="H52:H53"/>
    <mergeCell ref="H54:H57"/>
    <mergeCell ref="B25:D25"/>
    <mergeCell ref="B16:D16"/>
    <mergeCell ref="A7:A14"/>
    <mergeCell ref="D7:D14"/>
    <mergeCell ref="B59:D59"/>
    <mergeCell ref="E7:E14"/>
    <mergeCell ref="F7:F14"/>
    <mergeCell ref="D35:D38"/>
    <mergeCell ref="A21:A25"/>
    <mergeCell ref="D40:D42"/>
    <mergeCell ref="A34:A38"/>
    <mergeCell ref="A39:A47"/>
    <mergeCell ref="E39:E42"/>
    <mergeCell ref="F39:F42"/>
    <mergeCell ref="A48:A49"/>
    <mergeCell ref="A50:A57"/>
    <mergeCell ref="B10:B14"/>
    <mergeCell ref="B8:B9"/>
    <mergeCell ref="B1:D1"/>
    <mergeCell ref="B3:F3"/>
    <mergeCell ref="B31:F31"/>
    <mergeCell ref="B70:F70"/>
    <mergeCell ref="G83:G84"/>
    <mergeCell ref="B83:D84"/>
    <mergeCell ref="B17:G17"/>
    <mergeCell ref="B26:G26"/>
    <mergeCell ref="B30:G30"/>
    <mergeCell ref="B58:G58"/>
    <mergeCell ref="B63:G63"/>
    <mergeCell ref="B69:G69"/>
    <mergeCell ref="B82:D82"/>
    <mergeCell ref="B71:D71"/>
    <mergeCell ref="B72:D72"/>
    <mergeCell ref="B50:D50"/>
    <mergeCell ref="B51:D51"/>
    <mergeCell ref="B55:D55"/>
    <mergeCell ref="B56:D56"/>
    <mergeCell ref="B81:F81"/>
    <mergeCell ref="B76:D76"/>
    <mergeCell ref="B78:D78"/>
    <mergeCell ref="B79:D79"/>
    <mergeCell ref="A2:F2"/>
    <mergeCell ref="B64:D64"/>
    <mergeCell ref="B66:D66"/>
    <mergeCell ref="B57:D57"/>
    <mergeCell ref="B48:D48"/>
    <mergeCell ref="B45:D45"/>
    <mergeCell ref="B46:D46"/>
    <mergeCell ref="B47:D47"/>
    <mergeCell ref="B27:D27"/>
    <mergeCell ref="B28:D28"/>
    <mergeCell ref="B32:D32"/>
    <mergeCell ref="B33:D33"/>
    <mergeCell ref="B52:D52"/>
    <mergeCell ref="B53:D53"/>
    <mergeCell ref="B54:D54"/>
    <mergeCell ref="B65:D65"/>
    <mergeCell ref="B29:D29"/>
  </mergeCells>
  <dataValidations count="8">
    <dataValidation type="decimal" allowBlank="1" showErrorMessage="1" error="Please enter 0.5 or 1 or 1.5 or 2." prompt="Please Enter 0 or 1 or 1.5 or 2." sqref="H83 H75:H76" xr:uid="{00000000-0002-0000-0400-000000000000}">
      <formula1>0</formula1>
      <formula2>2</formula2>
    </dataValidation>
    <dataValidation allowBlank="1" showInputMessage="1" showErrorMessage="1" prompt="Please list down short description of your innovation." sqref="I75:I76 I83:I84" xr:uid="{00000000-0002-0000-0400-000001000000}"/>
    <dataValidation allowBlank="1" showErrorMessage="1" sqref="H84" xr:uid="{00000000-0002-0000-0400-000002000000}"/>
    <dataValidation type="list" allowBlank="1" showInputMessage="1" showErrorMessage="1" sqref="E15 E66 E68 E53 E57 E55 E28" xr:uid="{00000000-0002-0000-0400-000003000000}">
      <formula1>"Y,N"</formula1>
    </dataValidation>
    <dataValidation type="decimal" allowBlank="1" showInputMessage="1" showErrorMessage="1" sqref="E20 E35:E38 E43:E47 E61:E62 E67 E72 E75:E76 E56 E52 E54" xr:uid="{00000000-0002-0000-0400-000004000000}">
      <formula1>0</formula1>
      <formula2>100</formula2>
    </dataValidation>
    <dataValidation type="list" allowBlank="1" showInputMessage="1" showErrorMessage="1" sqref="E60" xr:uid="{00000000-0002-0000-0400-000006000000}">
      <formula1>"Cost,Area"</formula1>
    </dataValidation>
    <dataValidation type="list" showErrorMessage="1" error="Please enter 0.5 or 1 or 1.5 or 2." prompt="Please Enter 0.5 or 1 or 1.5 or 2." sqref="E83:E84" xr:uid="{00000000-0002-0000-0400-000007000000}">
      <formula1>"0, 0.5, 1.0, 1.5, 2.0"</formula1>
    </dataValidation>
    <dataValidation type="list" allowBlank="1" showInputMessage="1" showErrorMessage="1" sqref="E49" xr:uid="{47A946B5-A937-4DB1-8990-FD0D35061349}">
      <formula1>"2 ticks, 3 ticks, 4 ticks"</formula1>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zoomScaleNormal="100" workbookViewId="0">
      <selection activeCell="E10" sqref="E10"/>
    </sheetView>
  </sheetViews>
  <sheetFormatPr defaultColWidth="9.1796875" defaultRowHeight="14.5" x14ac:dyDescent="0.35"/>
  <cols>
    <col min="1" max="1" width="8.26953125" style="7" customWidth="1"/>
    <col min="2" max="2" width="22.26953125" style="7" customWidth="1"/>
    <col min="3" max="3" width="46.453125" style="7" customWidth="1"/>
    <col min="4" max="4" width="10.54296875" style="7" customWidth="1"/>
    <col min="5" max="5" width="10.7265625" style="265" customWidth="1"/>
    <col min="6" max="6" width="16.1796875" style="256" customWidth="1"/>
    <col min="7" max="7" width="18.1796875" style="7" customWidth="1"/>
    <col min="8" max="8" width="10.7265625" style="268" customWidth="1"/>
    <col min="9" max="9" width="30.7265625" style="7" customWidth="1"/>
    <col min="10" max="11" width="50.7265625" style="7" customWidth="1"/>
    <col min="12" max="12" width="15.54296875" style="7" customWidth="1"/>
    <col min="13" max="13" width="17.26953125" style="7" customWidth="1"/>
    <col min="14" max="16384" width="9.1796875" style="7"/>
  </cols>
  <sheetData>
    <row r="1" spans="1:9" ht="31" x14ac:dyDescent="0.35">
      <c r="A1" s="257"/>
      <c r="B1" s="424" t="s">
        <v>308</v>
      </c>
      <c r="C1" s="425"/>
      <c r="D1" s="426"/>
      <c r="E1" s="259" t="s">
        <v>65</v>
      </c>
      <c r="F1" s="259" t="s">
        <v>66</v>
      </c>
      <c r="G1" s="260" t="s">
        <v>102</v>
      </c>
      <c r="H1" s="259" t="s">
        <v>103</v>
      </c>
      <c r="I1" s="258" t="s">
        <v>104</v>
      </c>
    </row>
    <row r="2" spans="1:9" ht="21" x14ac:dyDescent="0.35">
      <c r="A2" s="427" t="s">
        <v>309</v>
      </c>
      <c r="B2" s="428"/>
      <c r="C2" s="428"/>
      <c r="D2" s="428"/>
      <c r="E2" s="428"/>
      <c r="F2" s="429"/>
      <c r="G2" s="191">
        <v>15</v>
      </c>
      <c r="H2" s="555">
        <f>MIN(SUM(H3,H46,H71,H94),15)</f>
        <v>0</v>
      </c>
      <c r="I2" s="192" t="s">
        <v>105</v>
      </c>
    </row>
    <row r="3" spans="1:9" ht="14.5" customHeight="1" x14ac:dyDescent="0.35">
      <c r="A3" s="193" t="s">
        <v>310</v>
      </c>
      <c r="B3" s="430" t="s">
        <v>311</v>
      </c>
      <c r="C3" s="431"/>
      <c r="D3" s="431"/>
      <c r="E3" s="431"/>
      <c r="F3" s="431"/>
      <c r="G3" s="194">
        <v>5</v>
      </c>
      <c r="H3" s="556">
        <f>MIN(SUM(H8,H12,H22,H35,H40,H45), 5)</f>
        <v>0</v>
      </c>
      <c r="I3" s="195"/>
    </row>
    <row r="4" spans="1:9" ht="15.5" x14ac:dyDescent="0.35">
      <c r="A4" s="196" t="s">
        <v>312</v>
      </c>
      <c r="B4" s="432" t="s">
        <v>313</v>
      </c>
      <c r="C4" s="432"/>
      <c r="D4" s="433"/>
      <c r="E4" s="197"/>
      <c r="F4" s="196"/>
      <c r="G4" s="196"/>
      <c r="H4" s="557"/>
      <c r="I4" s="196"/>
    </row>
    <row r="5" spans="1:9" ht="15.5" x14ac:dyDescent="0.35">
      <c r="A5" s="198" t="s">
        <v>314</v>
      </c>
      <c r="B5" s="434" t="s">
        <v>315</v>
      </c>
      <c r="C5" s="434"/>
      <c r="D5" s="434"/>
      <c r="E5" s="199"/>
      <c r="F5" s="198"/>
      <c r="G5" s="200"/>
      <c r="H5" s="558"/>
      <c r="I5" s="200"/>
    </row>
    <row r="6" spans="1:9" ht="80.25" customHeight="1" x14ac:dyDescent="0.35">
      <c r="A6" s="239" t="s">
        <v>228</v>
      </c>
      <c r="B6" s="346" t="s">
        <v>316</v>
      </c>
      <c r="C6" s="346"/>
      <c r="D6" s="346"/>
      <c r="E6" s="188"/>
      <c r="F6" s="180" t="s">
        <v>69</v>
      </c>
      <c r="G6" s="239" t="s">
        <v>270</v>
      </c>
      <c r="H6" s="181">
        <f>IF(E6="Y",0.5,0)</f>
        <v>0</v>
      </c>
      <c r="I6" s="212"/>
    </row>
    <row r="7" spans="1:9" ht="50.15" customHeight="1" x14ac:dyDescent="0.35">
      <c r="A7" s="239" t="s">
        <v>231</v>
      </c>
      <c r="B7" s="346" t="s">
        <v>317</v>
      </c>
      <c r="C7" s="346"/>
      <c r="D7" s="346"/>
      <c r="E7" s="188"/>
      <c r="F7" s="180" t="s">
        <v>69</v>
      </c>
      <c r="G7" s="239" t="s">
        <v>270</v>
      </c>
      <c r="H7" s="181">
        <f>IF(E7="Y",0.5,0)</f>
        <v>0</v>
      </c>
      <c r="I7" s="212"/>
    </row>
    <row r="8" spans="1:9" ht="15.5" x14ac:dyDescent="0.35">
      <c r="A8" s="415" t="s">
        <v>318</v>
      </c>
      <c r="B8" s="415"/>
      <c r="C8" s="415"/>
      <c r="D8" s="415"/>
      <c r="E8" s="415"/>
      <c r="F8" s="415"/>
      <c r="G8" s="415"/>
      <c r="H8" s="559">
        <f>SUM(H6:H7)</f>
        <v>0</v>
      </c>
      <c r="I8" s="201"/>
    </row>
    <row r="9" spans="1:9" ht="15.5" x14ac:dyDescent="0.35">
      <c r="A9" s="198" t="s">
        <v>319</v>
      </c>
      <c r="B9" s="421" t="s">
        <v>320</v>
      </c>
      <c r="C9" s="421"/>
      <c r="D9" s="421"/>
      <c r="E9" s="199"/>
      <c r="F9" s="198"/>
      <c r="G9" s="200"/>
      <c r="H9" s="558"/>
      <c r="I9" s="200"/>
    </row>
    <row r="10" spans="1:9" ht="128.5" customHeight="1" x14ac:dyDescent="0.35">
      <c r="A10" s="239" t="s">
        <v>74</v>
      </c>
      <c r="B10" s="338" t="s">
        <v>321</v>
      </c>
      <c r="C10" s="339"/>
      <c r="D10" s="352"/>
      <c r="E10" s="188"/>
      <c r="F10" s="180" t="s">
        <v>78</v>
      </c>
      <c r="G10" s="81" t="s">
        <v>322</v>
      </c>
      <c r="H10" s="181">
        <f>IF(E10=100,1,IF(E10&gt;=50,0.5,0))</f>
        <v>0</v>
      </c>
      <c r="I10" s="212"/>
    </row>
    <row r="11" spans="1:9" ht="81" customHeight="1" x14ac:dyDescent="0.35">
      <c r="A11" s="239" t="s">
        <v>76</v>
      </c>
      <c r="B11" s="339" t="s">
        <v>323</v>
      </c>
      <c r="C11" s="339"/>
      <c r="D11" s="339"/>
      <c r="E11" s="188"/>
      <c r="F11" s="180" t="s">
        <v>78</v>
      </c>
      <c r="G11" s="81" t="s">
        <v>322</v>
      </c>
      <c r="H11" s="181">
        <f>IF(E11&gt;=90,1,IF(E11&gt;=50,0.5,0))</f>
        <v>0</v>
      </c>
      <c r="I11" s="212"/>
    </row>
    <row r="12" spans="1:9" ht="15.5" x14ac:dyDescent="0.35">
      <c r="A12" s="415" t="s">
        <v>324</v>
      </c>
      <c r="B12" s="415"/>
      <c r="C12" s="415"/>
      <c r="D12" s="415"/>
      <c r="E12" s="415"/>
      <c r="F12" s="415"/>
      <c r="G12" s="415"/>
      <c r="H12" s="559">
        <f>SUM(H10:H11)</f>
        <v>0</v>
      </c>
      <c r="I12" s="201"/>
    </row>
    <row r="13" spans="1:9" ht="15.75" customHeight="1" x14ac:dyDescent="0.35">
      <c r="A13" s="196" t="s">
        <v>325</v>
      </c>
      <c r="B13" s="423" t="s">
        <v>326</v>
      </c>
      <c r="C13" s="423"/>
      <c r="D13" s="435"/>
      <c r="E13" s="197"/>
      <c r="F13" s="196"/>
      <c r="G13" s="196"/>
      <c r="H13" s="557"/>
      <c r="I13" s="196"/>
    </row>
    <row r="14" spans="1:9" ht="80.150000000000006" customHeight="1" thickBot="1" x14ac:dyDescent="0.4">
      <c r="A14" s="436"/>
      <c r="B14" s="388" t="s">
        <v>327</v>
      </c>
      <c r="C14" s="389"/>
      <c r="D14" s="352"/>
      <c r="E14" s="246"/>
      <c r="F14" s="238"/>
      <c r="G14" s="45"/>
      <c r="H14" s="181"/>
      <c r="I14" s="267"/>
    </row>
    <row r="15" spans="1:9" ht="15.5" x14ac:dyDescent="0.35">
      <c r="A15" s="437"/>
      <c r="B15" s="448" t="s">
        <v>328</v>
      </c>
      <c r="C15" s="449"/>
      <c r="D15" s="444"/>
      <c r="E15" s="417"/>
      <c r="F15" s="385"/>
      <c r="G15" s="382"/>
      <c r="H15" s="529"/>
      <c r="I15" s="445"/>
    </row>
    <row r="16" spans="1:9" ht="15" customHeight="1" x14ac:dyDescent="0.35">
      <c r="A16" s="437"/>
      <c r="B16" s="450" t="s">
        <v>329</v>
      </c>
      <c r="C16" s="451"/>
      <c r="D16" s="366"/>
      <c r="E16" s="417"/>
      <c r="F16" s="385"/>
      <c r="G16" s="382"/>
      <c r="H16" s="529"/>
      <c r="I16" s="446"/>
    </row>
    <row r="17" spans="1:9" ht="55" x14ac:dyDescent="0.35">
      <c r="A17" s="437"/>
      <c r="B17" s="202" t="s">
        <v>330</v>
      </c>
      <c r="C17" s="203" t="s">
        <v>331</v>
      </c>
      <c r="D17" s="366"/>
      <c r="E17" s="417"/>
      <c r="F17" s="385"/>
      <c r="G17" s="382"/>
      <c r="H17" s="529"/>
      <c r="I17" s="446"/>
    </row>
    <row r="18" spans="1:9" ht="43" customHeight="1" x14ac:dyDescent="0.35">
      <c r="A18" s="437"/>
      <c r="B18" s="204" t="s">
        <v>332</v>
      </c>
      <c r="C18" s="203" t="s">
        <v>333</v>
      </c>
      <c r="D18" s="366"/>
      <c r="E18" s="417"/>
      <c r="F18" s="385"/>
      <c r="G18" s="382"/>
      <c r="H18" s="529"/>
      <c r="I18" s="446"/>
    </row>
    <row r="19" spans="1:9" ht="67" customHeight="1" thickBot="1" x14ac:dyDescent="0.4">
      <c r="A19" s="437"/>
      <c r="B19" s="452" t="s">
        <v>334</v>
      </c>
      <c r="C19" s="453"/>
      <c r="D19" s="367"/>
      <c r="E19" s="417"/>
      <c r="F19" s="385"/>
      <c r="G19" s="382"/>
      <c r="H19" s="529"/>
      <c r="I19" s="447"/>
    </row>
    <row r="20" spans="1:9" ht="30" customHeight="1" x14ac:dyDescent="0.35">
      <c r="A20" s="437"/>
      <c r="B20" s="439" t="s">
        <v>335</v>
      </c>
      <c r="C20" s="440"/>
      <c r="D20" s="441"/>
      <c r="E20" s="188"/>
      <c r="F20" s="180" t="s">
        <v>336</v>
      </c>
      <c r="G20" s="335" t="s">
        <v>337</v>
      </c>
      <c r="H20" s="548">
        <f>IF(AND(E20="A",E21&gt;=60),1,0)+IF(AND(E20="B",E21&gt;=80),0.5,0)</f>
        <v>0</v>
      </c>
      <c r="I20" s="442"/>
    </row>
    <row r="21" spans="1:9" ht="28.5" customHeight="1" x14ac:dyDescent="0.35">
      <c r="A21" s="438"/>
      <c r="B21" s="391"/>
      <c r="C21" s="392"/>
      <c r="D21" s="393"/>
      <c r="E21" s="188"/>
      <c r="F21" s="180" t="s">
        <v>78</v>
      </c>
      <c r="G21" s="335"/>
      <c r="H21" s="550"/>
      <c r="I21" s="443"/>
    </row>
    <row r="22" spans="1:9" ht="15.5" x14ac:dyDescent="0.35">
      <c r="A22" s="415" t="s">
        <v>338</v>
      </c>
      <c r="B22" s="415"/>
      <c r="C22" s="415"/>
      <c r="D22" s="415"/>
      <c r="E22" s="415"/>
      <c r="F22" s="415"/>
      <c r="G22" s="415"/>
      <c r="H22" s="559">
        <f>H20</f>
        <v>0</v>
      </c>
      <c r="I22" s="201"/>
    </row>
    <row r="23" spans="1:9" ht="15.5" x14ac:dyDescent="0.35">
      <c r="A23" s="196" t="s">
        <v>339</v>
      </c>
      <c r="B23" s="423" t="s">
        <v>340</v>
      </c>
      <c r="C23" s="423"/>
      <c r="D23" s="423"/>
      <c r="E23" s="197"/>
      <c r="F23" s="205"/>
      <c r="G23" s="196"/>
      <c r="H23" s="557"/>
      <c r="I23" s="196"/>
    </row>
    <row r="24" spans="1:9" ht="15.75" customHeight="1" x14ac:dyDescent="0.35">
      <c r="A24" s="198" t="s">
        <v>341</v>
      </c>
      <c r="B24" s="421" t="s">
        <v>342</v>
      </c>
      <c r="C24" s="421"/>
      <c r="D24" s="421"/>
      <c r="E24" s="199"/>
      <c r="F24" s="206"/>
      <c r="G24" s="200"/>
      <c r="H24" s="558"/>
      <c r="I24" s="200"/>
    </row>
    <row r="25" spans="1:9" ht="136.5" customHeight="1" x14ac:dyDescent="0.35">
      <c r="A25" s="370" t="s">
        <v>228</v>
      </c>
      <c r="B25" s="353" t="s">
        <v>343</v>
      </c>
      <c r="C25" s="353"/>
      <c r="D25" s="353"/>
      <c r="E25" s="246"/>
      <c r="F25" s="207"/>
      <c r="G25" s="239"/>
      <c r="H25" s="181"/>
      <c r="I25" s="189"/>
    </row>
    <row r="26" spans="1:9" ht="15.5" x14ac:dyDescent="0.35">
      <c r="A26" s="372"/>
      <c r="B26" s="419" t="s">
        <v>344</v>
      </c>
      <c r="C26" s="353"/>
      <c r="D26" s="420"/>
      <c r="E26" s="188"/>
      <c r="F26" s="207" t="s">
        <v>69</v>
      </c>
      <c r="G26" s="386" t="s">
        <v>322</v>
      </c>
      <c r="H26" s="548">
        <f>IF(AND(E26="Y",E27="Y",E28&gt;=90),1,IF(AND(E26="Y",E27="Y",E28&gt;=50),0.5,0))</f>
        <v>0</v>
      </c>
      <c r="I26" s="189"/>
    </row>
    <row r="27" spans="1:9" ht="47.5" customHeight="1" x14ac:dyDescent="0.35">
      <c r="A27" s="372"/>
      <c r="B27" s="419" t="s">
        <v>345</v>
      </c>
      <c r="C27" s="353"/>
      <c r="D27" s="420"/>
      <c r="E27" s="188"/>
      <c r="F27" s="207" t="s">
        <v>69</v>
      </c>
      <c r="G27" s="372"/>
      <c r="H27" s="549"/>
      <c r="I27" s="189"/>
    </row>
    <row r="28" spans="1:9" ht="48" customHeight="1" x14ac:dyDescent="0.35">
      <c r="A28" s="373"/>
      <c r="B28" s="419" t="s">
        <v>346</v>
      </c>
      <c r="C28" s="353"/>
      <c r="D28" s="420"/>
      <c r="E28" s="188"/>
      <c r="F28" s="207" t="s">
        <v>78</v>
      </c>
      <c r="G28" s="373"/>
      <c r="H28" s="550"/>
      <c r="I28" s="189"/>
    </row>
    <row r="29" spans="1:9" ht="15.5" x14ac:dyDescent="0.35">
      <c r="A29" s="370" t="s">
        <v>231</v>
      </c>
      <c r="B29" s="454" t="s">
        <v>347</v>
      </c>
      <c r="C29" s="455"/>
      <c r="D29" s="456"/>
      <c r="E29" s="246"/>
      <c r="F29" s="207"/>
      <c r="G29" s="241"/>
      <c r="H29" s="560"/>
      <c r="I29" s="189"/>
    </row>
    <row r="30" spans="1:9" ht="15.5" x14ac:dyDescent="0.35">
      <c r="A30" s="372"/>
      <c r="B30" s="457" t="s">
        <v>348</v>
      </c>
      <c r="C30" s="455"/>
      <c r="D30" s="456"/>
      <c r="E30" s="188"/>
      <c r="F30" s="164" t="s">
        <v>72</v>
      </c>
      <c r="G30" s="239" t="s">
        <v>113</v>
      </c>
      <c r="H30" s="181">
        <f>IF(ISBLANK(E30),0,IF(AND(E30&lt;0.5,E30&gt;-0.5),1,0))</f>
        <v>0</v>
      </c>
      <c r="I30" s="189"/>
    </row>
    <row r="31" spans="1:9" ht="36" customHeight="1" x14ac:dyDescent="0.35">
      <c r="A31" s="372"/>
      <c r="B31" s="457" t="s">
        <v>349</v>
      </c>
      <c r="C31" s="455"/>
      <c r="D31" s="456"/>
      <c r="E31" s="188"/>
      <c r="F31" s="164" t="s">
        <v>78</v>
      </c>
      <c r="G31" s="239" t="s">
        <v>113</v>
      </c>
      <c r="H31" s="181">
        <f>IF(E31&gt;=70,1,0)</f>
        <v>0</v>
      </c>
      <c r="I31" s="189"/>
    </row>
    <row r="32" spans="1:9" ht="15.5" x14ac:dyDescent="0.35">
      <c r="A32" s="372"/>
      <c r="B32" s="458" t="s">
        <v>350</v>
      </c>
      <c r="C32" s="458"/>
      <c r="D32" s="458"/>
      <c r="E32" s="208"/>
      <c r="F32" s="164"/>
      <c r="G32" s="239"/>
      <c r="H32" s="181"/>
      <c r="I32" s="189"/>
    </row>
    <row r="33" spans="1:9" ht="46.5" x14ac:dyDescent="0.35">
      <c r="A33" s="372"/>
      <c r="B33" s="459" t="s">
        <v>351</v>
      </c>
      <c r="C33" s="459"/>
      <c r="D33" s="459"/>
      <c r="E33" s="188"/>
      <c r="F33" s="164" t="s">
        <v>78</v>
      </c>
      <c r="G33" s="81" t="s">
        <v>352</v>
      </c>
      <c r="H33" s="181">
        <f>MIN(ROUNDDOWN(E33*0.01,1),0.5)</f>
        <v>0</v>
      </c>
      <c r="I33" s="189"/>
    </row>
    <row r="34" spans="1:9" ht="228" customHeight="1" x14ac:dyDescent="0.35">
      <c r="A34" s="373"/>
      <c r="B34" s="422" t="s">
        <v>353</v>
      </c>
      <c r="C34" s="422"/>
      <c r="D34" s="422"/>
      <c r="E34" s="188"/>
      <c r="F34" s="164" t="s">
        <v>78</v>
      </c>
      <c r="G34" s="81" t="s">
        <v>322</v>
      </c>
      <c r="H34" s="181">
        <f>IF(E34&gt;=70,1,IF(E34&gt;=50,0.5,0))</f>
        <v>0</v>
      </c>
      <c r="I34" s="189"/>
    </row>
    <row r="35" spans="1:9" ht="15.5" x14ac:dyDescent="0.35">
      <c r="A35" s="415" t="s">
        <v>354</v>
      </c>
      <c r="B35" s="415"/>
      <c r="C35" s="415"/>
      <c r="D35" s="415"/>
      <c r="E35" s="415"/>
      <c r="F35" s="415"/>
      <c r="G35" s="415"/>
      <c r="H35" s="559">
        <f>SUM(H26,MAX(H30,H31,MIN(SUM(H33:H34),1)))</f>
        <v>0</v>
      </c>
      <c r="I35" s="201"/>
    </row>
    <row r="36" spans="1:9" ht="15.75" customHeight="1" x14ac:dyDescent="0.35">
      <c r="A36" s="198" t="s">
        <v>355</v>
      </c>
      <c r="B36" s="410" t="s">
        <v>356</v>
      </c>
      <c r="C36" s="410"/>
      <c r="D36" s="410"/>
      <c r="E36" s="199"/>
      <c r="F36" s="198"/>
      <c r="G36" s="200"/>
      <c r="H36" s="558"/>
      <c r="I36" s="200"/>
    </row>
    <row r="37" spans="1:9" ht="81" customHeight="1" x14ac:dyDescent="0.35">
      <c r="A37" s="43" t="s">
        <v>74</v>
      </c>
      <c r="B37" s="346" t="s">
        <v>357</v>
      </c>
      <c r="C37" s="346"/>
      <c r="D37" s="346"/>
      <c r="E37" s="188"/>
      <c r="F37" s="164" t="s">
        <v>72</v>
      </c>
      <c r="G37" s="81" t="s">
        <v>233</v>
      </c>
      <c r="H37" s="181">
        <f>IF(E37&gt;=2,2,IF(E37&gt;=1.5,1,0))</f>
        <v>0</v>
      </c>
      <c r="I37" s="189"/>
    </row>
    <row r="38" spans="1:9" ht="33.65" customHeight="1" x14ac:dyDescent="0.35">
      <c r="A38" s="43" t="s">
        <v>76</v>
      </c>
      <c r="B38" s="346" t="s">
        <v>358</v>
      </c>
      <c r="C38" s="346"/>
      <c r="D38" s="346"/>
      <c r="E38" s="188"/>
      <c r="F38" s="164" t="s">
        <v>69</v>
      </c>
      <c r="G38" s="81" t="s">
        <v>270</v>
      </c>
      <c r="H38" s="181">
        <f>IF(E38="Y",0.5,0)</f>
        <v>0</v>
      </c>
      <c r="I38" s="189"/>
    </row>
    <row r="39" spans="1:9" ht="63" customHeight="1" x14ac:dyDescent="0.35">
      <c r="A39" s="43" t="s">
        <v>79</v>
      </c>
      <c r="B39" s="346" t="s">
        <v>359</v>
      </c>
      <c r="C39" s="346"/>
      <c r="D39" s="346"/>
      <c r="E39" s="188"/>
      <c r="F39" s="164" t="s">
        <v>336</v>
      </c>
      <c r="G39" s="81" t="s">
        <v>322</v>
      </c>
      <c r="H39" s="181">
        <f>IF(E39="A",0.5,IF(E39="B",1,0))</f>
        <v>0</v>
      </c>
      <c r="I39" s="189"/>
    </row>
    <row r="40" spans="1:9" ht="15.5" x14ac:dyDescent="0.35">
      <c r="A40" s="415" t="s">
        <v>360</v>
      </c>
      <c r="B40" s="415"/>
      <c r="C40" s="415"/>
      <c r="D40" s="415"/>
      <c r="E40" s="415"/>
      <c r="F40" s="415"/>
      <c r="G40" s="415"/>
      <c r="H40" s="559">
        <f>SUM(H37:H39)</f>
        <v>0</v>
      </c>
      <c r="I40" s="201"/>
    </row>
    <row r="41" spans="1:9" ht="15.75" customHeight="1" x14ac:dyDescent="0.35">
      <c r="A41" s="198" t="s">
        <v>361</v>
      </c>
      <c r="B41" s="410" t="s">
        <v>362</v>
      </c>
      <c r="C41" s="410"/>
      <c r="D41" s="410"/>
      <c r="E41" s="199"/>
      <c r="F41" s="198"/>
      <c r="G41" s="200"/>
      <c r="H41" s="558"/>
      <c r="I41" s="200"/>
    </row>
    <row r="42" spans="1:9" ht="15.65" customHeight="1" x14ac:dyDescent="0.35">
      <c r="A42" s="43" t="s">
        <v>74</v>
      </c>
      <c r="B42" s="418" t="s">
        <v>363</v>
      </c>
      <c r="C42" s="418"/>
      <c r="D42" s="418"/>
      <c r="E42" s="188"/>
      <c r="F42" s="164" t="s">
        <v>69</v>
      </c>
      <c r="G42" s="81" t="s">
        <v>270</v>
      </c>
      <c r="H42" s="181">
        <f>IF(E42="Y",0.5,0)</f>
        <v>0</v>
      </c>
      <c r="I42" s="189"/>
    </row>
    <row r="43" spans="1:9" ht="64.5" customHeight="1" x14ac:dyDescent="0.35">
      <c r="A43" s="43" t="s">
        <v>76</v>
      </c>
      <c r="B43" s="346" t="s">
        <v>364</v>
      </c>
      <c r="C43" s="346"/>
      <c r="D43" s="346"/>
      <c r="E43" s="188"/>
      <c r="F43" s="164" t="s">
        <v>69</v>
      </c>
      <c r="G43" s="81" t="s">
        <v>113</v>
      </c>
      <c r="H43" s="181">
        <f>IF(E43="Y",1,0)</f>
        <v>0</v>
      </c>
      <c r="I43" s="189"/>
    </row>
    <row r="44" spans="1:9" ht="47.15" customHeight="1" x14ac:dyDescent="0.35">
      <c r="A44" s="43" t="s">
        <v>79</v>
      </c>
      <c r="B44" s="346" t="s">
        <v>365</v>
      </c>
      <c r="C44" s="346"/>
      <c r="D44" s="346"/>
      <c r="E44" s="188"/>
      <c r="F44" s="164" t="s">
        <v>69</v>
      </c>
      <c r="G44" s="81" t="s">
        <v>270</v>
      </c>
      <c r="H44" s="181">
        <f>IF(E44="Y",0.5,0)</f>
        <v>0</v>
      </c>
      <c r="I44" s="189"/>
    </row>
    <row r="45" spans="1:9" ht="15.5" x14ac:dyDescent="0.35">
      <c r="A45" s="415" t="s">
        <v>366</v>
      </c>
      <c r="B45" s="415"/>
      <c r="C45" s="415"/>
      <c r="D45" s="415"/>
      <c r="E45" s="415"/>
      <c r="F45" s="415"/>
      <c r="G45" s="415"/>
      <c r="H45" s="559">
        <f>SUM(H42:H44)</f>
        <v>0</v>
      </c>
      <c r="I45" s="201"/>
    </row>
    <row r="46" spans="1:9" ht="15.5" x14ac:dyDescent="0.35">
      <c r="A46" s="193" t="s">
        <v>367</v>
      </c>
      <c r="B46" s="411" t="s">
        <v>368</v>
      </c>
      <c r="C46" s="411"/>
      <c r="D46" s="411"/>
      <c r="E46" s="411"/>
      <c r="F46" s="411"/>
      <c r="G46" s="193">
        <v>5</v>
      </c>
      <c r="H46" s="561">
        <f>MIN(SUM(H53,H59,H63,H70),5)</f>
        <v>0</v>
      </c>
      <c r="I46" s="209"/>
    </row>
    <row r="47" spans="1:9" ht="15.5" x14ac:dyDescent="0.35">
      <c r="A47" s="196" t="s">
        <v>369</v>
      </c>
      <c r="B47" s="412" t="s">
        <v>370</v>
      </c>
      <c r="C47" s="413"/>
      <c r="D47" s="413"/>
      <c r="E47" s="197"/>
      <c r="F47" s="196"/>
      <c r="G47" s="196">
        <v>5</v>
      </c>
      <c r="H47" s="557"/>
      <c r="I47" s="196"/>
    </row>
    <row r="48" spans="1:9" ht="48.65" customHeight="1" x14ac:dyDescent="0.35">
      <c r="A48" s="210"/>
      <c r="B48" s="414" t="s">
        <v>371</v>
      </c>
      <c r="C48" s="414"/>
      <c r="D48" s="414"/>
      <c r="E48" s="246"/>
      <c r="F48" s="164"/>
      <c r="G48" s="81"/>
      <c r="H48" s="181"/>
      <c r="I48" s="189"/>
    </row>
    <row r="49" spans="1:9" ht="15.75" customHeight="1" x14ac:dyDescent="0.35">
      <c r="A49" s="43" t="s">
        <v>74</v>
      </c>
      <c r="B49" s="346" t="s">
        <v>372</v>
      </c>
      <c r="C49" s="346"/>
      <c r="D49" s="346"/>
      <c r="E49" s="188"/>
      <c r="F49" s="164" t="s">
        <v>69</v>
      </c>
      <c r="G49" s="81" t="s">
        <v>113</v>
      </c>
      <c r="H49" s="181">
        <f>IF(E49="Y",1,0)</f>
        <v>0</v>
      </c>
      <c r="I49" s="189"/>
    </row>
    <row r="50" spans="1:9" ht="32.15" customHeight="1" x14ac:dyDescent="0.35">
      <c r="A50" s="43" t="s">
        <v>76</v>
      </c>
      <c r="B50" s="346" t="s">
        <v>373</v>
      </c>
      <c r="C50" s="346"/>
      <c r="D50" s="346"/>
      <c r="E50" s="188"/>
      <c r="F50" s="164" t="s">
        <v>69</v>
      </c>
      <c r="G50" s="81" t="s">
        <v>270</v>
      </c>
      <c r="H50" s="181">
        <f t="shared" ref="H50:H52" si="0">IF(E50="Y",0.5,0)</f>
        <v>0</v>
      </c>
      <c r="I50" s="189"/>
    </row>
    <row r="51" spans="1:9" ht="32.15" customHeight="1" x14ac:dyDescent="0.35">
      <c r="A51" s="43" t="s">
        <v>79</v>
      </c>
      <c r="B51" s="346" t="s">
        <v>374</v>
      </c>
      <c r="C51" s="346"/>
      <c r="D51" s="346"/>
      <c r="E51" s="188"/>
      <c r="F51" s="164" t="s">
        <v>69</v>
      </c>
      <c r="G51" s="81" t="s">
        <v>270</v>
      </c>
      <c r="H51" s="181">
        <f t="shared" si="0"/>
        <v>0</v>
      </c>
      <c r="I51" s="189"/>
    </row>
    <row r="52" spans="1:9" ht="31.5" customHeight="1" x14ac:dyDescent="0.35">
      <c r="A52" s="43" t="s">
        <v>84</v>
      </c>
      <c r="B52" s="346" t="s">
        <v>375</v>
      </c>
      <c r="C52" s="346" t="s">
        <v>251</v>
      </c>
      <c r="D52" s="346"/>
      <c r="E52" s="188"/>
      <c r="F52" s="164" t="s">
        <v>69</v>
      </c>
      <c r="G52" s="81" t="s">
        <v>270</v>
      </c>
      <c r="H52" s="181">
        <f t="shared" si="0"/>
        <v>0</v>
      </c>
      <c r="I52" s="189"/>
    </row>
    <row r="53" spans="1:9" ht="15.5" x14ac:dyDescent="0.35">
      <c r="A53" s="415" t="s">
        <v>376</v>
      </c>
      <c r="B53" s="415"/>
      <c r="C53" s="415"/>
      <c r="D53" s="415"/>
      <c r="E53" s="415"/>
      <c r="F53" s="415"/>
      <c r="G53" s="415"/>
      <c r="H53" s="559">
        <f>SUM(H49:H52)</f>
        <v>0</v>
      </c>
      <c r="I53" s="201"/>
    </row>
    <row r="54" spans="1:9" ht="15.5" x14ac:dyDescent="0.35">
      <c r="A54" s="196" t="s">
        <v>377</v>
      </c>
      <c r="B54" s="412" t="s">
        <v>378</v>
      </c>
      <c r="C54" s="413"/>
      <c r="D54" s="413"/>
      <c r="E54" s="197"/>
      <c r="F54" s="196"/>
      <c r="G54" s="196"/>
      <c r="H54" s="557"/>
      <c r="I54" s="196"/>
    </row>
    <row r="55" spans="1:9" ht="32.15" customHeight="1" x14ac:dyDescent="0.35">
      <c r="A55" s="43"/>
      <c r="B55" s="346" t="s">
        <v>379</v>
      </c>
      <c r="C55" s="346"/>
      <c r="D55" s="346"/>
      <c r="E55" s="246"/>
      <c r="F55" s="180"/>
      <c r="G55" s="239"/>
      <c r="H55" s="181"/>
      <c r="I55" s="142"/>
    </row>
    <row r="56" spans="1:9" ht="31" customHeight="1" x14ac:dyDescent="0.35">
      <c r="A56" s="43" t="s">
        <v>74</v>
      </c>
      <c r="B56" s="346" t="s">
        <v>380</v>
      </c>
      <c r="C56" s="346"/>
      <c r="D56" s="346"/>
      <c r="E56" s="188"/>
      <c r="F56" s="180" t="s">
        <v>69</v>
      </c>
      <c r="G56" s="239" t="s">
        <v>113</v>
      </c>
      <c r="H56" s="181">
        <f>IF(E56="Y",1,0)</f>
        <v>0</v>
      </c>
      <c r="I56" s="142"/>
    </row>
    <row r="57" spans="1:9" ht="64.5" customHeight="1" x14ac:dyDescent="0.35">
      <c r="A57" s="43" t="s">
        <v>76</v>
      </c>
      <c r="B57" s="346" t="s">
        <v>381</v>
      </c>
      <c r="C57" s="346"/>
      <c r="D57" s="346"/>
      <c r="E57" s="188"/>
      <c r="F57" s="180" t="s">
        <v>69</v>
      </c>
      <c r="G57" s="239" t="s">
        <v>270</v>
      </c>
      <c r="H57" s="181">
        <f t="shared" ref="H57" si="1">IF(E57="Y",0.5,0)</f>
        <v>0</v>
      </c>
      <c r="I57" s="142"/>
    </row>
    <row r="58" spans="1:9" ht="65.150000000000006" customHeight="1" x14ac:dyDescent="0.35">
      <c r="A58" s="43" t="s">
        <v>79</v>
      </c>
      <c r="B58" s="346" t="s">
        <v>382</v>
      </c>
      <c r="C58" s="346" t="s">
        <v>255</v>
      </c>
      <c r="D58" s="346"/>
      <c r="E58" s="188"/>
      <c r="F58" s="180" t="s">
        <v>336</v>
      </c>
      <c r="G58" s="81" t="s">
        <v>233</v>
      </c>
      <c r="H58" s="181">
        <f>IF(E58="A",1,IF(E58="B",2,0))</f>
        <v>0</v>
      </c>
      <c r="I58" s="142"/>
    </row>
    <row r="59" spans="1:9" ht="15.5" x14ac:dyDescent="0.35">
      <c r="A59" s="415" t="s">
        <v>383</v>
      </c>
      <c r="B59" s="415"/>
      <c r="C59" s="415"/>
      <c r="D59" s="415"/>
      <c r="E59" s="415"/>
      <c r="F59" s="415"/>
      <c r="G59" s="415"/>
      <c r="H59" s="559">
        <f>SUM(H56:H58)</f>
        <v>0</v>
      </c>
      <c r="I59" s="201"/>
    </row>
    <row r="60" spans="1:9" ht="15.5" x14ac:dyDescent="0.35">
      <c r="A60" s="196" t="s">
        <v>384</v>
      </c>
      <c r="B60" s="412" t="s">
        <v>385</v>
      </c>
      <c r="C60" s="413" t="s">
        <v>257</v>
      </c>
      <c r="D60" s="413"/>
      <c r="E60" s="197"/>
      <c r="F60" s="196"/>
      <c r="G60" s="196"/>
      <c r="H60" s="557"/>
      <c r="I60" s="196"/>
    </row>
    <row r="61" spans="1:9" ht="15.75" customHeight="1" x14ac:dyDescent="0.35">
      <c r="A61" s="198" t="s">
        <v>386</v>
      </c>
      <c r="B61" s="410" t="s">
        <v>387</v>
      </c>
      <c r="C61" s="410"/>
      <c r="D61" s="410"/>
      <c r="E61" s="199"/>
      <c r="F61" s="198"/>
      <c r="G61" s="200"/>
      <c r="H61" s="558"/>
      <c r="I61" s="200"/>
    </row>
    <row r="62" spans="1:9" ht="97.5" customHeight="1" x14ac:dyDescent="0.35">
      <c r="A62" s="43"/>
      <c r="B62" s="346" t="s">
        <v>388</v>
      </c>
      <c r="C62" s="346"/>
      <c r="D62" s="346"/>
      <c r="E62" s="188"/>
      <c r="F62" s="180" t="s">
        <v>69</v>
      </c>
      <c r="G62" s="81" t="s">
        <v>270</v>
      </c>
      <c r="H62" s="181">
        <f t="shared" ref="H62" si="2">IF(E62="Y",0.5,0)</f>
        <v>0</v>
      </c>
      <c r="I62" s="142"/>
    </row>
    <row r="63" spans="1:9" ht="15.5" x14ac:dyDescent="0.35">
      <c r="A63" s="415" t="s">
        <v>389</v>
      </c>
      <c r="B63" s="415"/>
      <c r="C63" s="415"/>
      <c r="D63" s="415"/>
      <c r="E63" s="415"/>
      <c r="F63" s="415"/>
      <c r="G63" s="415"/>
      <c r="H63" s="559">
        <f>H62</f>
        <v>0</v>
      </c>
      <c r="I63" s="201"/>
    </row>
    <row r="64" spans="1:9" ht="15.75" customHeight="1" x14ac:dyDescent="0.35">
      <c r="A64" s="198" t="s">
        <v>390</v>
      </c>
      <c r="B64" s="410" t="s">
        <v>391</v>
      </c>
      <c r="C64" s="410"/>
      <c r="D64" s="410"/>
      <c r="E64" s="199"/>
      <c r="F64" s="198" t="s">
        <v>78</v>
      </c>
      <c r="G64" s="200"/>
      <c r="H64" s="558"/>
      <c r="I64" s="200"/>
    </row>
    <row r="65" spans="1:9" ht="15.5" x14ac:dyDescent="0.35">
      <c r="A65" s="43"/>
      <c r="B65" s="346" t="s">
        <v>392</v>
      </c>
      <c r="C65" s="409"/>
      <c r="D65" s="409"/>
      <c r="E65" s="246"/>
      <c r="F65" s="180"/>
      <c r="G65" s="81"/>
      <c r="H65" s="181"/>
      <c r="I65" s="142"/>
    </row>
    <row r="66" spans="1:9" ht="33.65" customHeight="1" x14ac:dyDescent="0.35">
      <c r="A66" s="43" t="s">
        <v>74</v>
      </c>
      <c r="B66" s="346" t="s">
        <v>393</v>
      </c>
      <c r="C66" s="409"/>
      <c r="D66" s="409"/>
      <c r="E66" s="246" t="s">
        <v>120</v>
      </c>
      <c r="F66" s="180" t="s">
        <v>120</v>
      </c>
      <c r="G66" s="81" t="s">
        <v>120</v>
      </c>
      <c r="H66" s="181" t="s">
        <v>120</v>
      </c>
      <c r="I66" s="142"/>
    </row>
    <row r="67" spans="1:9" ht="80.150000000000006" customHeight="1" x14ac:dyDescent="0.35">
      <c r="A67" s="43" t="s">
        <v>76</v>
      </c>
      <c r="B67" s="346" t="s">
        <v>394</v>
      </c>
      <c r="C67" s="409"/>
      <c r="D67" s="409"/>
      <c r="E67" s="188"/>
      <c r="F67" s="180" t="s">
        <v>69</v>
      </c>
      <c r="G67" s="81" t="s">
        <v>270</v>
      </c>
      <c r="H67" s="181">
        <f t="shared" ref="H67:H68" si="3">IF(E67="Y",0.5,0)</f>
        <v>0</v>
      </c>
      <c r="I67" s="142"/>
    </row>
    <row r="68" spans="1:9" ht="34" customHeight="1" x14ac:dyDescent="0.35">
      <c r="A68" s="43" t="s">
        <v>79</v>
      </c>
      <c r="B68" s="346" t="s">
        <v>395</v>
      </c>
      <c r="C68" s="409"/>
      <c r="D68" s="409"/>
      <c r="E68" s="188"/>
      <c r="F68" s="180" t="s">
        <v>69</v>
      </c>
      <c r="G68" s="81" t="s">
        <v>270</v>
      </c>
      <c r="H68" s="181">
        <f t="shared" si="3"/>
        <v>0</v>
      </c>
      <c r="I68" s="142"/>
    </row>
    <row r="69" spans="1:9" ht="49" customHeight="1" x14ac:dyDescent="0.35">
      <c r="A69" s="43" t="s">
        <v>84</v>
      </c>
      <c r="B69" s="346" t="s">
        <v>396</v>
      </c>
      <c r="C69" s="409"/>
      <c r="D69" s="409"/>
      <c r="E69" s="188"/>
      <c r="F69" s="180" t="s">
        <v>69</v>
      </c>
      <c r="G69" s="81" t="s">
        <v>113</v>
      </c>
      <c r="H69" s="181">
        <f>IF(E69="Y",1,0)</f>
        <v>0</v>
      </c>
      <c r="I69" s="142"/>
    </row>
    <row r="70" spans="1:9" ht="15.5" x14ac:dyDescent="0.35">
      <c r="A70" s="415" t="s">
        <v>397</v>
      </c>
      <c r="B70" s="415"/>
      <c r="C70" s="415"/>
      <c r="D70" s="415"/>
      <c r="E70" s="415"/>
      <c r="F70" s="415"/>
      <c r="G70" s="415"/>
      <c r="H70" s="559">
        <f>SUM(H67:H69)</f>
        <v>0</v>
      </c>
      <c r="I70" s="201"/>
    </row>
    <row r="71" spans="1:9" ht="15.5" x14ac:dyDescent="0.35">
      <c r="A71" s="193" t="s">
        <v>398</v>
      </c>
      <c r="B71" s="411" t="s">
        <v>399</v>
      </c>
      <c r="C71" s="411"/>
      <c r="D71" s="411"/>
      <c r="E71" s="411"/>
      <c r="F71" s="411" t="s">
        <v>72</v>
      </c>
      <c r="G71" s="193">
        <v>5</v>
      </c>
      <c r="H71" s="561">
        <f>MIN(SUM(H74,H80,H83,H87,H93),5)</f>
        <v>0</v>
      </c>
      <c r="I71" s="209"/>
    </row>
    <row r="72" spans="1:9" ht="15.5" x14ac:dyDescent="0.35">
      <c r="A72" s="196" t="s">
        <v>400</v>
      </c>
      <c r="B72" s="412" t="s">
        <v>401</v>
      </c>
      <c r="C72" s="413"/>
      <c r="D72" s="413"/>
      <c r="E72" s="197"/>
      <c r="F72" s="196" t="s">
        <v>72</v>
      </c>
      <c r="G72" s="196" t="s">
        <v>120</v>
      </c>
      <c r="H72" s="557"/>
      <c r="I72" s="196"/>
    </row>
    <row r="73" spans="1:9" ht="50.25" customHeight="1" x14ac:dyDescent="0.35">
      <c r="A73" s="43"/>
      <c r="B73" s="409" t="s">
        <v>402</v>
      </c>
      <c r="C73" s="409"/>
      <c r="D73" s="409"/>
      <c r="E73" s="188"/>
      <c r="F73" s="180" t="s">
        <v>336</v>
      </c>
      <c r="G73" s="81" t="s">
        <v>233</v>
      </c>
      <c r="H73" s="181">
        <f>IF(E73="A",1,IF(E73="B",2,0))</f>
        <v>0</v>
      </c>
      <c r="I73" s="142"/>
    </row>
    <row r="74" spans="1:9" ht="15.5" x14ac:dyDescent="0.35">
      <c r="A74" s="415" t="s">
        <v>403</v>
      </c>
      <c r="B74" s="415"/>
      <c r="C74" s="415"/>
      <c r="D74" s="415"/>
      <c r="E74" s="415"/>
      <c r="F74" s="415"/>
      <c r="G74" s="415"/>
      <c r="H74" s="559">
        <f>H73</f>
        <v>0</v>
      </c>
      <c r="I74" s="201"/>
    </row>
    <row r="75" spans="1:9" ht="15.5" x14ac:dyDescent="0.35">
      <c r="A75" s="196" t="s">
        <v>404</v>
      </c>
      <c r="B75" s="412" t="s">
        <v>405</v>
      </c>
      <c r="C75" s="413"/>
      <c r="D75" s="413"/>
      <c r="E75" s="197"/>
      <c r="F75" s="196"/>
      <c r="G75" s="196"/>
      <c r="H75" s="557"/>
      <c r="I75" s="196"/>
    </row>
    <row r="76" spans="1:9" ht="15.75" customHeight="1" x14ac:dyDescent="0.35">
      <c r="A76" s="198" t="s">
        <v>406</v>
      </c>
      <c r="B76" s="410" t="s">
        <v>407</v>
      </c>
      <c r="C76" s="410"/>
      <c r="D76" s="410"/>
      <c r="E76" s="199"/>
      <c r="F76" s="198"/>
      <c r="G76" s="200"/>
      <c r="H76" s="558"/>
      <c r="I76" s="200"/>
    </row>
    <row r="77" spans="1:9" ht="79.5" customHeight="1" x14ac:dyDescent="0.35">
      <c r="A77" s="43"/>
      <c r="B77" s="346" t="s">
        <v>408</v>
      </c>
      <c r="C77" s="346"/>
      <c r="D77" s="346"/>
      <c r="E77" s="246"/>
      <c r="F77" s="180"/>
      <c r="G77" s="182"/>
      <c r="H77" s="554"/>
      <c r="I77" s="213"/>
    </row>
    <row r="78" spans="1:9" ht="51" customHeight="1" x14ac:dyDescent="0.35">
      <c r="A78" s="43" t="s">
        <v>74</v>
      </c>
      <c r="B78" s="346" t="s">
        <v>409</v>
      </c>
      <c r="C78" s="346"/>
      <c r="D78" s="346"/>
      <c r="E78" s="188"/>
      <c r="F78" s="180" t="s">
        <v>69</v>
      </c>
      <c r="G78" s="81" t="s">
        <v>113</v>
      </c>
      <c r="H78" s="181">
        <f t="shared" ref="H78:H79" si="4">IF(E78="Y",1,0)</f>
        <v>0</v>
      </c>
      <c r="I78" s="213"/>
    </row>
    <row r="79" spans="1:9" ht="48.75" customHeight="1" x14ac:dyDescent="0.35">
      <c r="A79" s="43" t="s">
        <v>76</v>
      </c>
      <c r="B79" s="346" t="s">
        <v>410</v>
      </c>
      <c r="C79" s="346"/>
      <c r="D79" s="346"/>
      <c r="E79" s="188"/>
      <c r="F79" s="180" t="s">
        <v>69</v>
      </c>
      <c r="G79" s="81" t="s">
        <v>113</v>
      </c>
      <c r="H79" s="181">
        <f t="shared" si="4"/>
        <v>0</v>
      </c>
      <c r="I79" s="213"/>
    </row>
    <row r="80" spans="1:9" ht="15.5" x14ac:dyDescent="0.35">
      <c r="A80" s="415" t="s">
        <v>411</v>
      </c>
      <c r="B80" s="415"/>
      <c r="C80" s="415"/>
      <c r="D80" s="415"/>
      <c r="E80" s="415"/>
      <c r="F80" s="415"/>
      <c r="G80" s="415"/>
      <c r="H80" s="559">
        <f>SUM(H78:H79)</f>
        <v>0</v>
      </c>
      <c r="I80" s="201"/>
    </row>
    <row r="81" spans="1:9" ht="15.75" customHeight="1" x14ac:dyDescent="0.35">
      <c r="A81" s="198" t="s">
        <v>412</v>
      </c>
      <c r="B81" s="410" t="s">
        <v>413</v>
      </c>
      <c r="C81" s="410"/>
      <c r="D81" s="410"/>
      <c r="E81" s="199"/>
      <c r="F81" s="198"/>
      <c r="G81" s="200"/>
      <c r="H81" s="558"/>
      <c r="I81" s="200"/>
    </row>
    <row r="82" spans="1:9" ht="80.5" customHeight="1" x14ac:dyDescent="0.35">
      <c r="A82" s="43"/>
      <c r="B82" s="346" t="s">
        <v>414</v>
      </c>
      <c r="C82" s="346"/>
      <c r="D82" s="346"/>
      <c r="E82" s="188"/>
      <c r="F82" s="180" t="s">
        <v>69</v>
      </c>
      <c r="G82" s="81" t="s">
        <v>113</v>
      </c>
      <c r="H82" s="181">
        <f>IF(E82="Y",1,0)</f>
        <v>0</v>
      </c>
      <c r="I82" s="213"/>
    </row>
    <row r="83" spans="1:9" ht="15.5" x14ac:dyDescent="0.35">
      <c r="A83" s="415" t="s">
        <v>415</v>
      </c>
      <c r="B83" s="415"/>
      <c r="C83" s="415"/>
      <c r="D83" s="415"/>
      <c r="E83" s="415"/>
      <c r="F83" s="415"/>
      <c r="G83" s="415"/>
      <c r="H83" s="559">
        <f>SUM(H81:H82)</f>
        <v>0</v>
      </c>
      <c r="I83" s="201"/>
    </row>
    <row r="84" spans="1:9" ht="15.5" x14ac:dyDescent="0.35">
      <c r="A84" s="196" t="s">
        <v>416</v>
      </c>
      <c r="B84" s="412" t="s">
        <v>417</v>
      </c>
      <c r="C84" s="413"/>
      <c r="D84" s="413"/>
      <c r="E84" s="197"/>
      <c r="F84" s="196"/>
      <c r="G84" s="196"/>
      <c r="H84" s="557"/>
      <c r="I84" s="196"/>
    </row>
    <row r="85" spans="1:9" ht="15.75" customHeight="1" x14ac:dyDescent="0.35">
      <c r="A85" s="198" t="s">
        <v>418</v>
      </c>
      <c r="B85" s="410" t="s">
        <v>419</v>
      </c>
      <c r="C85" s="410"/>
      <c r="D85" s="410"/>
      <c r="E85" s="199"/>
      <c r="F85" s="198"/>
      <c r="G85" s="200"/>
      <c r="H85" s="558"/>
      <c r="I85" s="200"/>
    </row>
    <row r="86" spans="1:9" ht="65.25" customHeight="1" x14ac:dyDescent="0.35">
      <c r="A86" s="242" t="s">
        <v>74</v>
      </c>
      <c r="B86" s="346" t="s">
        <v>420</v>
      </c>
      <c r="C86" s="346"/>
      <c r="D86" s="346"/>
      <c r="E86" s="80" t="s">
        <v>120</v>
      </c>
      <c r="F86" s="164" t="s">
        <v>120</v>
      </c>
      <c r="G86" s="81" t="s">
        <v>120</v>
      </c>
      <c r="H86" s="514" t="s">
        <v>120</v>
      </c>
      <c r="I86" s="142"/>
    </row>
    <row r="87" spans="1:9" ht="15.5" x14ac:dyDescent="0.35">
      <c r="A87" s="415" t="s">
        <v>421</v>
      </c>
      <c r="B87" s="415"/>
      <c r="C87" s="415"/>
      <c r="D87" s="415"/>
      <c r="E87" s="415"/>
      <c r="F87" s="415"/>
      <c r="G87" s="415"/>
      <c r="H87" s="559">
        <v>0</v>
      </c>
      <c r="I87" s="201"/>
    </row>
    <row r="88" spans="1:9" ht="15.75" customHeight="1" x14ac:dyDescent="0.35">
      <c r="A88" s="198" t="s">
        <v>422</v>
      </c>
      <c r="B88" s="410" t="s">
        <v>423</v>
      </c>
      <c r="C88" s="410"/>
      <c r="D88" s="410"/>
      <c r="E88" s="199"/>
      <c r="F88" s="198"/>
      <c r="G88" s="200"/>
      <c r="H88" s="558"/>
      <c r="I88" s="200"/>
    </row>
    <row r="89" spans="1:9" ht="34.5" customHeight="1" x14ac:dyDescent="0.35">
      <c r="A89" s="242"/>
      <c r="B89" s="346" t="s">
        <v>424</v>
      </c>
      <c r="C89" s="346"/>
      <c r="D89" s="346"/>
      <c r="E89" s="246"/>
      <c r="F89" s="164"/>
      <c r="G89" s="81"/>
      <c r="H89" s="514"/>
      <c r="I89" s="142"/>
    </row>
    <row r="90" spans="1:9" ht="92.25" customHeight="1" x14ac:dyDescent="0.35">
      <c r="A90" s="239" t="s">
        <v>74</v>
      </c>
      <c r="B90" s="346" t="s">
        <v>425</v>
      </c>
      <c r="C90" s="346"/>
      <c r="D90" s="346"/>
      <c r="E90" s="188"/>
      <c r="F90" s="164" t="s">
        <v>69</v>
      </c>
      <c r="G90" s="81" t="s">
        <v>270</v>
      </c>
      <c r="H90" s="181">
        <f t="shared" ref="H90:H92" si="5">IF(E90="Y",0.5,0)</f>
        <v>0</v>
      </c>
      <c r="I90" s="142"/>
    </row>
    <row r="91" spans="1:9" ht="15.5" x14ac:dyDescent="0.35">
      <c r="A91" s="242" t="s">
        <v>76</v>
      </c>
      <c r="B91" s="346" t="s">
        <v>426</v>
      </c>
      <c r="C91" s="346"/>
      <c r="D91" s="346"/>
      <c r="E91" s="188"/>
      <c r="F91" s="164" t="s">
        <v>69</v>
      </c>
      <c r="G91" s="81" t="s">
        <v>270</v>
      </c>
      <c r="H91" s="181">
        <f t="shared" si="5"/>
        <v>0</v>
      </c>
      <c r="I91" s="142"/>
    </row>
    <row r="92" spans="1:9" ht="15.5" x14ac:dyDescent="0.35">
      <c r="A92" s="242" t="s">
        <v>79</v>
      </c>
      <c r="B92" s="346" t="s">
        <v>427</v>
      </c>
      <c r="C92" s="346"/>
      <c r="D92" s="346"/>
      <c r="E92" s="188"/>
      <c r="F92" s="164" t="s">
        <v>69</v>
      </c>
      <c r="G92" s="81" t="s">
        <v>270</v>
      </c>
      <c r="H92" s="181">
        <f t="shared" si="5"/>
        <v>0</v>
      </c>
      <c r="I92" s="142"/>
    </row>
    <row r="93" spans="1:9" ht="15.5" x14ac:dyDescent="0.35">
      <c r="A93" s="415" t="s">
        <v>428</v>
      </c>
      <c r="B93" s="415"/>
      <c r="C93" s="415"/>
      <c r="D93" s="415"/>
      <c r="E93" s="415"/>
      <c r="F93" s="415"/>
      <c r="G93" s="415"/>
      <c r="H93" s="559">
        <f>SUM(H90:H92)</f>
        <v>0</v>
      </c>
      <c r="I93" s="201"/>
    </row>
    <row r="94" spans="1:9" ht="15.5" x14ac:dyDescent="0.35">
      <c r="A94" s="193"/>
      <c r="B94" s="411" t="s">
        <v>305</v>
      </c>
      <c r="C94" s="411"/>
      <c r="D94" s="411"/>
      <c r="E94" s="411"/>
      <c r="F94" s="411"/>
      <c r="G94" s="193">
        <v>2</v>
      </c>
      <c r="H94" s="561">
        <f>MIN(SUM(H96:H97),2)</f>
        <v>0</v>
      </c>
      <c r="I94" s="209"/>
    </row>
    <row r="95" spans="1:9" ht="62" x14ac:dyDescent="0.35">
      <c r="A95" s="198"/>
      <c r="B95" s="416" t="s">
        <v>429</v>
      </c>
      <c r="C95" s="416"/>
      <c r="D95" s="416"/>
      <c r="E95" s="211"/>
      <c r="F95" s="198"/>
      <c r="G95" s="211" t="s">
        <v>198</v>
      </c>
      <c r="H95" s="558"/>
      <c r="I95" s="245" t="s">
        <v>199</v>
      </c>
    </row>
    <row r="96" spans="1:9" ht="120.75" customHeight="1" x14ac:dyDescent="0.35">
      <c r="A96" s="242"/>
      <c r="B96" s="346" t="s">
        <v>430</v>
      </c>
      <c r="C96" s="346"/>
      <c r="D96" s="346"/>
      <c r="E96" s="188"/>
      <c r="F96" s="141" t="s">
        <v>72</v>
      </c>
      <c r="G96" s="335" t="s">
        <v>431</v>
      </c>
      <c r="H96" s="514">
        <f>E96</f>
        <v>0</v>
      </c>
      <c r="I96" s="150" t="s">
        <v>202</v>
      </c>
    </row>
    <row r="97" spans="1:9" ht="120.75" customHeight="1" x14ac:dyDescent="0.35">
      <c r="A97" s="34"/>
      <c r="B97" s="346"/>
      <c r="C97" s="346"/>
      <c r="D97" s="346"/>
      <c r="E97" s="188"/>
      <c r="F97" s="141" t="s">
        <v>72</v>
      </c>
      <c r="G97" s="335"/>
      <c r="H97" s="514">
        <f>E97</f>
        <v>0</v>
      </c>
      <c r="I97" s="150" t="s">
        <v>203</v>
      </c>
    </row>
  </sheetData>
  <sheetProtection algorithmName="SHA-512" hashValue="ltyLM061cp/Iu5caQDyLZYp4rFLTQnC3qF3M5gU7Oa8J4Hw0cK7aDH0ZqJeGM0PeSX8aLKPRfPAbggP8Q9/npg==" saltValue="ORegsPXFoWmhmxLZnyWa7w==" spinCount="100000" sheet="1" formatCells="0" selectLockedCells="1"/>
  <mergeCells count="108">
    <mergeCell ref="A29:A34"/>
    <mergeCell ref="B29:D29"/>
    <mergeCell ref="B30:D30"/>
    <mergeCell ref="B31:D31"/>
    <mergeCell ref="B32:D32"/>
    <mergeCell ref="B33:D33"/>
    <mergeCell ref="A25:A28"/>
    <mergeCell ref="G26:G28"/>
    <mergeCell ref="H26:H28"/>
    <mergeCell ref="G20:G21"/>
    <mergeCell ref="H20:H21"/>
    <mergeCell ref="I20:I21"/>
    <mergeCell ref="D15:D19"/>
    <mergeCell ref="F15:F19"/>
    <mergeCell ref="H15:H19"/>
    <mergeCell ref="I15:I19"/>
    <mergeCell ref="B15:C15"/>
    <mergeCell ref="B16:C16"/>
    <mergeCell ref="B19:C19"/>
    <mergeCell ref="B23:D23"/>
    <mergeCell ref="B1:D1"/>
    <mergeCell ref="A2:F2"/>
    <mergeCell ref="B3:F3"/>
    <mergeCell ref="B4:D4"/>
    <mergeCell ref="B5:D5"/>
    <mergeCell ref="B10:D10"/>
    <mergeCell ref="B11:D11"/>
    <mergeCell ref="B13:D13"/>
    <mergeCell ref="B14:D14"/>
    <mergeCell ref="B6:D6"/>
    <mergeCell ref="B7:D7"/>
    <mergeCell ref="B9:D9"/>
    <mergeCell ref="A14:A21"/>
    <mergeCell ref="B20:D21"/>
    <mergeCell ref="B51:D51"/>
    <mergeCell ref="B52:D52"/>
    <mergeCell ref="B54:D54"/>
    <mergeCell ref="B55:D55"/>
    <mergeCell ref="B41:D41"/>
    <mergeCell ref="B42:D42"/>
    <mergeCell ref="B27:D27"/>
    <mergeCell ref="B24:D24"/>
    <mergeCell ref="B25:D25"/>
    <mergeCell ref="B34:D34"/>
    <mergeCell ref="B36:D36"/>
    <mergeCell ref="B43:D43"/>
    <mergeCell ref="B26:D26"/>
    <mergeCell ref="B38:D38"/>
    <mergeCell ref="B39:D39"/>
    <mergeCell ref="B28:D28"/>
    <mergeCell ref="B37:D37"/>
    <mergeCell ref="A87:G87"/>
    <mergeCell ref="A93:G93"/>
    <mergeCell ref="B94:F94"/>
    <mergeCell ref="B85:D85"/>
    <mergeCell ref="B86:D86"/>
    <mergeCell ref="B88:D88"/>
    <mergeCell ref="B89:D89"/>
    <mergeCell ref="B84:D84"/>
    <mergeCell ref="B90:D90"/>
    <mergeCell ref="B95:D95"/>
    <mergeCell ref="B96:D97"/>
    <mergeCell ref="A8:G8"/>
    <mergeCell ref="A12:G12"/>
    <mergeCell ref="A22:G22"/>
    <mergeCell ref="A35:G35"/>
    <mergeCell ref="A40:G40"/>
    <mergeCell ref="E15:E19"/>
    <mergeCell ref="G15:G19"/>
    <mergeCell ref="B60:D60"/>
    <mergeCell ref="B71:F71"/>
    <mergeCell ref="B67:D67"/>
    <mergeCell ref="B68:D68"/>
    <mergeCell ref="B69:D69"/>
    <mergeCell ref="A45:G45"/>
    <mergeCell ref="A53:G53"/>
    <mergeCell ref="A59:G59"/>
    <mergeCell ref="A63:G63"/>
    <mergeCell ref="A70:G70"/>
    <mergeCell ref="G96:G97"/>
    <mergeCell ref="A80:G80"/>
    <mergeCell ref="A83:G83"/>
    <mergeCell ref="B92:D92"/>
    <mergeCell ref="B91:D91"/>
    <mergeCell ref="B65:D65"/>
    <mergeCell ref="B78:D78"/>
    <mergeCell ref="B82:D82"/>
    <mergeCell ref="B81:D81"/>
    <mergeCell ref="B77:D77"/>
    <mergeCell ref="B79:D79"/>
    <mergeCell ref="B49:D49"/>
    <mergeCell ref="B44:D44"/>
    <mergeCell ref="B46:F46"/>
    <mergeCell ref="B47:D47"/>
    <mergeCell ref="B48:D48"/>
    <mergeCell ref="B75:D75"/>
    <mergeCell ref="B76:D76"/>
    <mergeCell ref="B61:D61"/>
    <mergeCell ref="B62:D62"/>
    <mergeCell ref="B64:D64"/>
    <mergeCell ref="B66:D66"/>
    <mergeCell ref="B58:D58"/>
    <mergeCell ref="A74:G74"/>
    <mergeCell ref="B72:D72"/>
    <mergeCell ref="B73:D73"/>
    <mergeCell ref="B56:D56"/>
    <mergeCell ref="B57:D57"/>
    <mergeCell ref="B50:D50"/>
  </mergeCells>
  <dataValidations count="8">
    <dataValidation allowBlank="1" showErrorMessage="1" sqref="H97" xr:uid="{00000000-0002-0000-0500-000000000000}"/>
    <dataValidation allowBlank="1" showInputMessage="1" showErrorMessage="1" prompt="Please list down short description of your innovation." sqref="I96:I97" xr:uid="{00000000-0002-0000-0500-000001000000}"/>
    <dataValidation type="decimal" allowBlank="1" showErrorMessage="1" error="Please enter 0.5 or 1 or 1.5 or 2." prompt="Please Enter 0 or 1 or 1.5 or 2." sqref="H96" xr:uid="{00000000-0002-0000-0500-000002000000}">
      <formula1>0</formula1>
      <formula2>2</formula2>
    </dataValidation>
    <dataValidation type="list" allowBlank="1" showInputMessage="1" showErrorMessage="1" sqref="E6:E7 E42:E44 E38 E49:E52 E56:E57 E62 E67:E69 E78:E79 E82 E90:E92 E26:E27" xr:uid="{00000000-0002-0000-0500-000003000000}">
      <formula1>"Y,N"</formula1>
    </dataValidation>
    <dataValidation type="decimal" allowBlank="1" showInputMessage="1" showErrorMessage="1" sqref="E10:E11 E21 E37 E28:E29 E33:E34 E31" xr:uid="{00000000-0002-0000-0500-000004000000}">
      <formula1>0</formula1>
      <formula2>100</formula2>
    </dataValidation>
    <dataValidation type="list" allowBlank="1" showInputMessage="1" showErrorMessage="1" sqref="E20 E73 E39 E58" xr:uid="{00000000-0002-0000-0500-000005000000}">
      <formula1>"A,B"</formula1>
    </dataValidation>
    <dataValidation type="decimal" allowBlank="1" showInputMessage="1" showErrorMessage="1" sqref="E30" xr:uid="{00000000-0002-0000-0500-000006000000}">
      <formula1>-1000</formula1>
      <formula2>1000</formula2>
    </dataValidation>
    <dataValidation type="list" showErrorMessage="1" error="Please enter 0.5 or 1 or 1.5 or 2." prompt="Please Enter 0.5 or 1 or 1.5 or 2." sqref="E96:E97" xr:uid="{00000000-0002-0000-0500-000007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2"/>
  <sheetViews>
    <sheetView zoomScaleNormal="100" workbookViewId="0">
      <selection activeCell="G5" sqref="G5"/>
    </sheetView>
  </sheetViews>
  <sheetFormatPr defaultColWidth="9.1796875" defaultRowHeight="15.5" x14ac:dyDescent="0.35"/>
  <cols>
    <col min="1" max="1" width="8.26953125" style="262" customWidth="1"/>
    <col min="2" max="2" width="65.7265625" style="7" customWidth="1"/>
    <col min="3" max="4" width="10.7265625" style="7" customWidth="1"/>
    <col min="5" max="5" width="18.1796875" style="7" customWidth="1"/>
    <col min="6" max="6" width="10.7265625" style="7" customWidth="1"/>
    <col min="7" max="7" width="30.7265625" style="7" customWidth="1"/>
    <col min="8" max="9" width="50.7265625" style="7" customWidth="1"/>
    <col min="10" max="10" width="15.54296875" style="7" customWidth="1"/>
    <col min="11" max="11" width="17.26953125" style="7" customWidth="1"/>
    <col min="12" max="16384" width="9.1796875" style="7"/>
  </cols>
  <sheetData>
    <row r="1" spans="1:7" ht="31" x14ac:dyDescent="0.35">
      <c r="A1" s="51"/>
      <c r="B1" s="233" t="s">
        <v>432</v>
      </c>
      <c r="C1" s="37" t="s">
        <v>65</v>
      </c>
      <c r="D1" s="37" t="s">
        <v>66</v>
      </c>
      <c r="E1" s="52" t="s">
        <v>102</v>
      </c>
      <c r="F1" s="37" t="s">
        <v>103</v>
      </c>
      <c r="G1" s="233" t="s">
        <v>104</v>
      </c>
    </row>
    <row r="2" spans="1:7" ht="21" x14ac:dyDescent="0.35">
      <c r="A2" s="464" t="s">
        <v>33</v>
      </c>
      <c r="B2" s="464"/>
      <c r="C2" s="464"/>
      <c r="D2" s="464"/>
      <c r="E2" s="214">
        <v>15</v>
      </c>
      <c r="F2" s="562">
        <f>MIN(SUM(F3,F22,F33,F49),15)</f>
        <v>0</v>
      </c>
      <c r="G2" s="215" t="s">
        <v>105</v>
      </c>
    </row>
    <row r="3" spans="1:7" x14ac:dyDescent="0.35">
      <c r="A3" s="216" t="s">
        <v>433</v>
      </c>
      <c r="B3" s="460" t="s">
        <v>56</v>
      </c>
      <c r="C3" s="460"/>
      <c r="D3" s="460"/>
      <c r="E3" s="217">
        <v>5</v>
      </c>
      <c r="F3" s="563">
        <f>MIN(SUM(F17,F10,F21), 5)</f>
        <v>0</v>
      </c>
      <c r="G3" s="216"/>
    </row>
    <row r="4" spans="1:7" x14ac:dyDescent="0.35">
      <c r="A4" s="218" t="s">
        <v>434</v>
      </c>
      <c r="B4" s="219" t="s">
        <v>435</v>
      </c>
      <c r="C4" s="219"/>
      <c r="D4" s="220"/>
      <c r="E4" s="221"/>
      <c r="F4" s="564"/>
      <c r="G4" s="221"/>
    </row>
    <row r="5" spans="1:7" ht="31" x14ac:dyDescent="0.35">
      <c r="A5" s="239" t="s">
        <v>74</v>
      </c>
      <c r="B5" s="39" t="s">
        <v>436</v>
      </c>
      <c r="C5" s="3"/>
      <c r="D5" s="40" t="s">
        <v>69</v>
      </c>
      <c r="E5" s="81" t="s">
        <v>131</v>
      </c>
      <c r="F5" s="514">
        <f>IF(C5="Y",2,0)</f>
        <v>0</v>
      </c>
      <c r="G5" s="230"/>
    </row>
    <row r="6" spans="1:7" ht="31" x14ac:dyDescent="0.35">
      <c r="A6" s="368" t="s">
        <v>76</v>
      </c>
      <c r="B6" s="39" t="s">
        <v>437</v>
      </c>
      <c r="C6" s="222"/>
      <c r="D6" s="40"/>
      <c r="E6" s="81"/>
      <c r="F6" s="514"/>
      <c r="G6" s="142"/>
    </row>
    <row r="7" spans="1:7" x14ac:dyDescent="0.35">
      <c r="A7" s="368"/>
      <c r="B7" s="39" t="s">
        <v>438</v>
      </c>
      <c r="C7" s="3"/>
      <c r="D7" s="40" t="s">
        <v>69</v>
      </c>
      <c r="E7" s="81" t="s">
        <v>113</v>
      </c>
      <c r="F7" s="514">
        <f>IF(C7="Y",1,0)</f>
        <v>0</v>
      </c>
      <c r="G7" s="142"/>
    </row>
    <row r="8" spans="1:7" ht="31" x14ac:dyDescent="0.35">
      <c r="A8" s="368"/>
      <c r="B8" s="39" t="s">
        <v>439</v>
      </c>
      <c r="C8" s="3"/>
      <c r="D8" s="40" t="s">
        <v>69</v>
      </c>
      <c r="E8" s="81" t="s">
        <v>113</v>
      </c>
      <c r="F8" s="514">
        <f>IF(C8="Y",1,0)</f>
        <v>0</v>
      </c>
      <c r="G8" s="142"/>
    </row>
    <row r="9" spans="1:7" ht="62" x14ac:dyDescent="0.35">
      <c r="A9" s="239" t="s">
        <v>79</v>
      </c>
      <c r="B9" s="39" t="s">
        <v>440</v>
      </c>
      <c r="C9" s="3"/>
      <c r="D9" s="40" t="s">
        <v>69</v>
      </c>
      <c r="E9" s="81" t="s">
        <v>113</v>
      </c>
      <c r="F9" s="514">
        <f>IF(C9="Y",1,0)</f>
        <v>0</v>
      </c>
      <c r="G9" s="142"/>
    </row>
    <row r="10" spans="1:7" x14ac:dyDescent="0.35">
      <c r="A10" s="223"/>
      <c r="B10" s="461" t="s">
        <v>441</v>
      </c>
      <c r="C10" s="461"/>
      <c r="D10" s="461"/>
      <c r="E10" s="461"/>
      <c r="F10" s="565">
        <f>SUM(F5:F9)</f>
        <v>0</v>
      </c>
      <c r="G10" s="224"/>
    </row>
    <row r="11" spans="1:7" x14ac:dyDescent="0.35">
      <c r="A11" s="218" t="s">
        <v>442</v>
      </c>
      <c r="B11" s="219" t="s">
        <v>443</v>
      </c>
      <c r="C11" s="219"/>
      <c r="D11" s="220"/>
      <c r="E11" s="221"/>
      <c r="F11" s="564"/>
      <c r="G11" s="221"/>
    </row>
    <row r="12" spans="1:7" ht="62" x14ac:dyDescent="0.35">
      <c r="A12" s="239"/>
      <c r="B12" s="47" t="s">
        <v>444</v>
      </c>
      <c r="C12" s="40"/>
      <c r="D12" s="40"/>
      <c r="E12" s="164" t="str">
        <f>IF(C13="N","Assessor, Please check GM application date","")</f>
        <v/>
      </c>
      <c r="F12" s="514"/>
      <c r="G12" s="142"/>
    </row>
    <row r="13" spans="1:7" x14ac:dyDescent="0.35">
      <c r="A13" s="239" t="s">
        <v>445</v>
      </c>
      <c r="B13" s="47" t="s">
        <v>446</v>
      </c>
      <c r="C13" s="3"/>
      <c r="D13" s="40" t="s">
        <v>69</v>
      </c>
      <c r="E13" s="81"/>
      <c r="F13" s="514"/>
      <c r="G13" s="142"/>
    </row>
    <row r="14" spans="1:7" ht="46.5" x14ac:dyDescent="0.35">
      <c r="A14" s="235" t="s">
        <v>74</v>
      </c>
      <c r="B14" s="78" t="s">
        <v>447</v>
      </c>
      <c r="C14" s="3"/>
      <c r="D14" s="40" t="s">
        <v>69</v>
      </c>
      <c r="E14" s="225" t="s">
        <v>113</v>
      </c>
      <c r="F14" s="514">
        <f>IF(C14="Y",1,0)</f>
        <v>0</v>
      </c>
      <c r="G14" s="142"/>
    </row>
    <row r="15" spans="1:7" ht="62" x14ac:dyDescent="0.35">
      <c r="A15" s="235" t="s">
        <v>76</v>
      </c>
      <c r="B15" s="77" t="s">
        <v>448</v>
      </c>
      <c r="C15" s="3"/>
      <c r="D15" s="40" t="s">
        <v>69</v>
      </c>
      <c r="E15" s="81" t="s">
        <v>113</v>
      </c>
      <c r="F15" s="514">
        <f>IF(C15="Y",1,0)</f>
        <v>0</v>
      </c>
      <c r="G15" s="142"/>
    </row>
    <row r="16" spans="1:7" ht="61" customHeight="1" x14ac:dyDescent="0.35">
      <c r="A16" s="235" t="s">
        <v>79</v>
      </c>
      <c r="B16" s="77" t="s">
        <v>449</v>
      </c>
      <c r="C16" s="3"/>
      <c r="D16" s="40" t="s">
        <v>69</v>
      </c>
      <c r="E16" s="81" t="s">
        <v>270</v>
      </c>
      <c r="F16" s="514">
        <f>IF(C16="Y",0.5,0)</f>
        <v>0</v>
      </c>
      <c r="G16" s="142"/>
    </row>
    <row r="17" spans="1:7" x14ac:dyDescent="0.35">
      <c r="A17" s="223"/>
      <c r="B17" s="461" t="s">
        <v>450</v>
      </c>
      <c r="C17" s="461"/>
      <c r="D17" s="461"/>
      <c r="E17" s="461"/>
      <c r="F17" s="565">
        <f>SUM(F14:F16)</f>
        <v>0</v>
      </c>
      <c r="G17" s="224"/>
    </row>
    <row r="18" spans="1:7" x14ac:dyDescent="0.35">
      <c r="A18" s="218" t="s">
        <v>451</v>
      </c>
      <c r="B18" s="219" t="s">
        <v>452</v>
      </c>
      <c r="C18" s="219"/>
      <c r="D18" s="220"/>
      <c r="E18" s="221"/>
      <c r="F18" s="564"/>
      <c r="G18" s="221"/>
    </row>
    <row r="19" spans="1:7" ht="31" x14ac:dyDescent="0.35">
      <c r="A19" s="235" t="s">
        <v>74</v>
      </c>
      <c r="B19" s="78" t="s">
        <v>453</v>
      </c>
      <c r="C19" s="3"/>
      <c r="D19" s="40" t="s">
        <v>69</v>
      </c>
      <c r="E19" s="225" t="s">
        <v>270</v>
      </c>
      <c r="F19" s="514">
        <f>IF(C19="Y",0.5,0)</f>
        <v>0</v>
      </c>
      <c r="G19" s="142"/>
    </row>
    <row r="20" spans="1:7" ht="31" x14ac:dyDescent="0.35">
      <c r="A20" s="235" t="s">
        <v>76</v>
      </c>
      <c r="B20" s="77" t="s">
        <v>454</v>
      </c>
      <c r="C20" s="3"/>
      <c r="D20" s="40" t="s">
        <v>69</v>
      </c>
      <c r="E20" s="81" t="s">
        <v>113</v>
      </c>
      <c r="F20" s="514">
        <f t="shared" ref="F20" si="0">IF(C20="Y",1,0)</f>
        <v>0</v>
      </c>
      <c r="G20" s="142"/>
    </row>
    <row r="21" spans="1:7" x14ac:dyDescent="0.35">
      <c r="A21" s="223"/>
      <c r="B21" s="461" t="s">
        <v>455</v>
      </c>
      <c r="C21" s="461"/>
      <c r="D21" s="461"/>
      <c r="E21" s="461"/>
      <c r="F21" s="565">
        <f>SUM(F18:F20)</f>
        <v>0</v>
      </c>
      <c r="G21" s="224"/>
    </row>
    <row r="22" spans="1:7" x14ac:dyDescent="0.35">
      <c r="A22" s="216" t="s">
        <v>456</v>
      </c>
      <c r="B22" s="460" t="s">
        <v>58</v>
      </c>
      <c r="C22" s="460"/>
      <c r="D22" s="460"/>
      <c r="E22" s="217">
        <v>5</v>
      </c>
      <c r="F22" s="563">
        <f>MIN(SUM(F27,F32),5)</f>
        <v>0</v>
      </c>
      <c r="G22" s="216"/>
    </row>
    <row r="23" spans="1:7" x14ac:dyDescent="0.35">
      <c r="A23" s="218" t="s">
        <v>457</v>
      </c>
      <c r="B23" s="219" t="s">
        <v>458</v>
      </c>
      <c r="C23" s="219"/>
      <c r="D23" s="220"/>
      <c r="E23" s="221"/>
      <c r="F23" s="564"/>
      <c r="G23" s="221"/>
    </row>
    <row r="24" spans="1:7" ht="46.5" x14ac:dyDescent="0.35">
      <c r="A24" s="239" t="s">
        <v>74</v>
      </c>
      <c r="B24" s="47" t="s">
        <v>459</v>
      </c>
      <c r="C24" s="3"/>
      <c r="D24" s="40" t="s">
        <v>69</v>
      </c>
      <c r="E24" s="81" t="s">
        <v>113</v>
      </c>
      <c r="F24" s="514">
        <f t="shared" ref="F24:F26" si="1">IF(C24="Y",1,0)</f>
        <v>0</v>
      </c>
      <c r="G24" s="142"/>
    </row>
    <row r="25" spans="1:7" ht="77.5" x14ac:dyDescent="0.35">
      <c r="A25" s="239" t="s">
        <v>76</v>
      </c>
      <c r="B25" s="47" t="s">
        <v>460</v>
      </c>
      <c r="C25" s="3"/>
      <c r="D25" s="40" t="s">
        <v>69</v>
      </c>
      <c r="E25" s="81" t="s">
        <v>113</v>
      </c>
      <c r="F25" s="514">
        <f t="shared" si="1"/>
        <v>0</v>
      </c>
      <c r="G25" s="142"/>
    </row>
    <row r="26" spans="1:7" ht="31" x14ac:dyDescent="0.35">
      <c r="A26" s="239" t="s">
        <v>79</v>
      </c>
      <c r="B26" s="47" t="s">
        <v>461</v>
      </c>
      <c r="C26" s="3"/>
      <c r="D26" s="40" t="s">
        <v>69</v>
      </c>
      <c r="E26" s="81" t="s">
        <v>113</v>
      </c>
      <c r="F26" s="514">
        <f t="shared" si="1"/>
        <v>0</v>
      </c>
      <c r="G26" s="142"/>
    </row>
    <row r="27" spans="1:7" x14ac:dyDescent="0.35">
      <c r="A27" s="223"/>
      <c r="B27" s="461" t="s">
        <v>462</v>
      </c>
      <c r="C27" s="461"/>
      <c r="D27" s="461"/>
      <c r="E27" s="461"/>
      <c r="F27" s="565">
        <f>SUM(F24:F26)</f>
        <v>0</v>
      </c>
      <c r="G27" s="224"/>
    </row>
    <row r="28" spans="1:7" x14ac:dyDescent="0.35">
      <c r="A28" s="218" t="s">
        <v>463</v>
      </c>
      <c r="B28" s="219" t="s">
        <v>464</v>
      </c>
      <c r="C28" s="219"/>
      <c r="D28" s="220"/>
      <c r="E28" s="221"/>
      <c r="F28" s="564"/>
      <c r="G28" s="221"/>
    </row>
    <row r="29" spans="1:7" ht="77.5" x14ac:dyDescent="0.35">
      <c r="A29" s="239" t="s">
        <v>74</v>
      </c>
      <c r="B29" s="47" t="s">
        <v>465</v>
      </c>
      <c r="C29" s="3"/>
      <c r="D29" s="40" t="s">
        <v>69</v>
      </c>
      <c r="E29" s="82" t="s">
        <v>131</v>
      </c>
      <c r="F29" s="514">
        <f>IF(C29="Y",2,0)</f>
        <v>0</v>
      </c>
      <c r="G29" s="142"/>
    </row>
    <row r="30" spans="1:7" ht="46.5" x14ac:dyDescent="0.35">
      <c r="A30" s="239" t="s">
        <v>76</v>
      </c>
      <c r="B30" s="47" t="s">
        <v>466</v>
      </c>
      <c r="C30" s="3"/>
      <c r="D30" s="40" t="s">
        <v>69</v>
      </c>
      <c r="E30" s="226" t="s">
        <v>223</v>
      </c>
      <c r="F30" s="514">
        <f>IF(C30="Y",3,0)</f>
        <v>0</v>
      </c>
      <c r="G30" s="144"/>
    </row>
    <row r="31" spans="1:7" ht="31" x14ac:dyDescent="0.35">
      <c r="A31" s="239" t="s">
        <v>79</v>
      </c>
      <c r="B31" s="47" t="s">
        <v>467</v>
      </c>
      <c r="C31" s="3"/>
      <c r="D31" s="40" t="s">
        <v>69</v>
      </c>
      <c r="E31" s="226" t="s">
        <v>113</v>
      </c>
      <c r="F31" s="514">
        <f>IF(C31="Y",1,0)</f>
        <v>0</v>
      </c>
      <c r="G31" s="144"/>
    </row>
    <row r="32" spans="1:7" x14ac:dyDescent="0.35">
      <c r="A32" s="223"/>
      <c r="B32" s="461" t="s">
        <v>468</v>
      </c>
      <c r="C32" s="461"/>
      <c r="D32" s="461"/>
      <c r="E32" s="461"/>
      <c r="F32" s="565">
        <f>SUM(F29:F31)</f>
        <v>0</v>
      </c>
      <c r="G32" s="224"/>
    </row>
    <row r="33" spans="1:7" x14ac:dyDescent="0.35">
      <c r="A33" s="216" t="s">
        <v>469</v>
      </c>
      <c r="B33" s="460" t="s">
        <v>60</v>
      </c>
      <c r="C33" s="460"/>
      <c r="D33" s="460"/>
      <c r="E33" s="217">
        <v>5</v>
      </c>
      <c r="F33" s="563">
        <f>MIN(SUM(F38,F43,F48),5)</f>
        <v>0</v>
      </c>
      <c r="G33" s="216"/>
    </row>
    <row r="34" spans="1:7" x14ac:dyDescent="0.35">
      <c r="A34" s="218" t="s">
        <v>470</v>
      </c>
      <c r="B34" s="219" t="s">
        <v>471</v>
      </c>
      <c r="C34" s="219"/>
      <c r="D34" s="220"/>
      <c r="E34" s="221"/>
      <c r="F34" s="564"/>
      <c r="G34" s="221"/>
    </row>
    <row r="35" spans="1:7" ht="46.5" x14ac:dyDescent="0.35">
      <c r="A35" s="239" t="s">
        <v>74</v>
      </c>
      <c r="B35" s="249" t="s">
        <v>472</v>
      </c>
      <c r="C35" s="3"/>
      <c r="D35" s="40" t="s">
        <v>69</v>
      </c>
      <c r="E35" s="81" t="s">
        <v>113</v>
      </c>
      <c r="F35" s="514">
        <f t="shared" ref="F35:F37" si="2">IF(C35="Y",1,0)</f>
        <v>0</v>
      </c>
      <c r="G35" s="142"/>
    </row>
    <row r="36" spans="1:7" ht="31" x14ac:dyDescent="0.35">
      <c r="A36" s="239" t="s">
        <v>76</v>
      </c>
      <c r="B36" s="249" t="s">
        <v>473</v>
      </c>
      <c r="C36" s="3"/>
      <c r="D36" s="40" t="s">
        <v>69</v>
      </c>
      <c r="E36" s="81" t="s">
        <v>113</v>
      </c>
      <c r="F36" s="514">
        <f t="shared" si="2"/>
        <v>0</v>
      </c>
      <c r="G36" s="142"/>
    </row>
    <row r="37" spans="1:7" ht="46.5" x14ac:dyDescent="0.35">
      <c r="A37" s="239" t="s">
        <v>79</v>
      </c>
      <c r="B37" s="249" t="s">
        <v>474</v>
      </c>
      <c r="C37" s="3"/>
      <c r="D37" s="40" t="s">
        <v>69</v>
      </c>
      <c r="E37" s="81" t="s">
        <v>113</v>
      </c>
      <c r="F37" s="514">
        <f t="shared" si="2"/>
        <v>0</v>
      </c>
      <c r="G37" s="142"/>
    </row>
    <row r="38" spans="1:7" x14ac:dyDescent="0.35">
      <c r="A38" s="223"/>
      <c r="B38" s="461" t="s">
        <v>475</v>
      </c>
      <c r="C38" s="461"/>
      <c r="D38" s="461"/>
      <c r="E38" s="461"/>
      <c r="F38" s="565">
        <f>SUM(F35:F37)</f>
        <v>0</v>
      </c>
      <c r="G38" s="224"/>
    </row>
    <row r="39" spans="1:7" x14ac:dyDescent="0.35">
      <c r="A39" s="218" t="s">
        <v>476</v>
      </c>
      <c r="B39" s="219" t="s">
        <v>477</v>
      </c>
      <c r="C39" s="219"/>
      <c r="D39" s="220"/>
      <c r="E39" s="221"/>
      <c r="F39" s="564"/>
      <c r="G39" s="221"/>
    </row>
    <row r="40" spans="1:7" ht="124" x14ac:dyDescent="0.35">
      <c r="A40" s="45"/>
      <c r="B40" s="47" t="s">
        <v>478</v>
      </c>
      <c r="C40" s="222"/>
      <c r="D40" s="40"/>
      <c r="E40" s="81"/>
      <c r="F40" s="514"/>
      <c r="G40" s="142"/>
    </row>
    <row r="41" spans="1:7" x14ac:dyDescent="0.35">
      <c r="A41" s="239" t="s">
        <v>74</v>
      </c>
      <c r="B41" s="49" t="s">
        <v>479</v>
      </c>
      <c r="C41" s="3"/>
      <c r="D41" s="40" t="s">
        <v>69</v>
      </c>
      <c r="E41" s="81" t="s">
        <v>113</v>
      </c>
      <c r="F41" s="514">
        <f t="shared" ref="F41" si="3">IF(C41="Y",1,0)</f>
        <v>0</v>
      </c>
      <c r="G41" s="142"/>
    </row>
    <row r="42" spans="1:7" x14ac:dyDescent="0.35">
      <c r="A42" s="239" t="s">
        <v>76</v>
      </c>
      <c r="B42" s="49" t="s">
        <v>480</v>
      </c>
      <c r="C42" s="3"/>
      <c r="D42" s="40" t="s">
        <v>69</v>
      </c>
      <c r="E42" s="81" t="s">
        <v>270</v>
      </c>
      <c r="F42" s="514">
        <f>IF(C42="Y",0.5,0)</f>
        <v>0</v>
      </c>
      <c r="G42" s="142"/>
    </row>
    <row r="43" spans="1:7" ht="15.65" customHeight="1" x14ac:dyDescent="0.35">
      <c r="A43" s="223"/>
      <c r="B43" s="461" t="s">
        <v>481</v>
      </c>
      <c r="C43" s="461"/>
      <c r="D43" s="461"/>
      <c r="E43" s="461"/>
      <c r="F43" s="565">
        <f>SUM(F40:F42)</f>
        <v>0</v>
      </c>
      <c r="G43" s="224"/>
    </row>
    <row r="44" spans="1:7" x14ac:dyDescent="0.35">
      <c r="A44" s="218" t="s">
        <v>482</v>
      </c>
      <c r="B44" s="219" t="s">
        <v>483</v>
      </c>
      <c r="C44" s="219"/>
      <c r="D44" s="220"/>
      <c r="E44" s="221"/>
      <c r="F44" s="564"/>
      <c r="G44" s="221"/>
    </row>
    <row r="45" spans="1:7" ht="62" x14ac:dyDescent="0.35">
      <c r="A45" s="462"/>
      <c r="B45" s="134" t="s">
        <v>484</v>
      </c>
      <c r="C45" s="222"/>
      <c r="D45" s="40"/>
      <c r="E45" s="81"/>
      <c r="F45" s="514"/>
      <c r="G45" s="144"/>
    </row>
    <row r="46" spans="1:7" ht="46.5" x14ac:dyDescent="0.35">
      <c r="A46" s="462"/>
      <c r="B46" s="227" t="s">
        <v>485</v>
      </c>
      <c r="C46" s="3"/>
      <c r="D46" s="40" t="s">
        <v>69</v>
      </c>
      <c r="E46" s="81" t="s">
        <v>113</v>
      </c>
      <c r="F46" s="514">
        <f t="shared" ref="F46:F47" si="4">IF(C46="Y",1,0)</f>
        <v>0</v>
      </c>
      <c r="G46" s="142"/>
    </row>
    <row r="47" spans="1:7" ht="46.5" x14ac:dyDescent="0.35">
      <c r="A47" s="462"/>
      <c r="B47" s="123" t="s">
        <v>486</v>
      </c>
      <c r="C47" s="3"/>
      <c r="D47" s="40" t="s">
        <v>69</v>
      </c>
      <c r="E47" s="81" t="s">
        <v>113</v>
      </c>
      <c r="F47" s="514">
        <f t="shared" si="4"/>
        <v>0</v>
      </c>
      <c r="G47" s="142"/>
    </row>
    <row r="48" spans="1:7" ht="15.65" customHeight="1" x14ac:dyDescent="0.35">
      <c r="A48" s="223"/>
      <c r="B48" s="461" t="s">
        <v>487</v>
      </c>
      <c r="C48" s="461"/>
      <c r="D48" s="461"/>
      <c r="E48" s="461"/>
      <c r="F48" s="565">
        <f>SUM(F45:F47)</f>
        <v>0</v>
      </c>
      <c r="G48" s="224"/>
    </row>
    <row r="49" spans="1:7" x14ac:dyDescent="0.35">
      <c r="A49" s="216"/>
      <c r="B49" s="460" t="s">
        <v>488</v>
      </c>
      <c r="C49" s="460"/>
      <c r="D49" s="460"/>
      <c r="E49" s="217">
        <v>3</v>
      </c>
      <c r="F49" s="563">
        <f>MIN(SUM(F51:F52),3)</f>
        <v>0</v>
      </c>
      <c r="G49" s="216"/>
    </row>
    <row r="50" spans="1:7" ht="63" customHeight="1" x14ac:dyDescent="0.35">
      <c r="A50" s="218"/>
      <c r="B50" s="219" t="s">
        <v>489</v>
      </c>
      <c r="C50" s="219"/>
      <c r="D50" s="220"/>
      <c r="E50" s="228"/>
      <c r="F50" s="566"/>
      <c r="G50" s="229" t="s">
        <v>199</v>
      </c>
    </row>
    <row r="51" spans="1:7" ht="161.25" customHeight="1" x14ac:dyDescent="0.35">
      <c r="A51" s="368"/>
      <c r="B51" s="463" t="s">
        <v>490</v>
      </c>
      <c r="C51" s="3"/>
      <c r="D51" s="40" t="s">
        <v>72</v>
      </c>
      <c r="E51" s="81" t="s">
        <v>131</v>
      </c>
      <c r="F51" s="514">
        <f>C51</f>
        <v>0</v>
      </c>
      <c r="G51" s="142" t="s">
        <v>202</v>
      </c>
    </row>
    <row r="52" spans="1:7" ht="162" customHeight="1" x14ac:dyDescent="0.35">
      <c r="A52" s="368"/>
      <c r="B52" s="463"/>
      <c r="C52" s="3"/>
      <c r="D52" s="40" t="s">
        <v>72</v>
      </c>
      <c r="E52" s="81" t="s">
        <v>131</v>
      </c>
      <c r="F52" s="514">
        <f>C52</f>
        <v>0</v>
      </c>
      <c r="G52" s="213" t="s">
        <v>491</v>
      </c>
    </row>
  </sheetData>
  <sheetProtection algorithmName="SHA-512" hashValue="kvEDGWbytm6rNXmqV/w2/Xl3tomz9tKxIFKS7eJVPLWw0rZKBOqhUfR5J4NHi59UxnTmDHeZHXSQHU2/STZjxQ==" saltValue="kp/cuZi3DqL0w6zs9tozPw==" spinCount="100000" sheet="1" formatCells="0" selectLockedCells="1"/>
  <mergeCells count="17">
    <mergeCell ref="B21:E21"/>
    <mergeCell ref="A2:D2"/>
    <mergeCell ref="B3:D3"/>
    <mergeCell ref="B10:E10"/>
    <mergeCell ref="B17:E17"/>
    <mergeCell ref="A6:A8"/>
    <mergeCell ref="B51:B52"/>
    <mergeCell ref="A51:A52"/>
    <mergeCell ref="B27:E27"/>
    <mergeCell ref="B32:E32"/>
    <mergeCell ref="B38:E38"/>
    <mergeCell ref="B49:D49"/>
    <mergeCell ref="B22:D22"/>
    <mergeCell ref="B33:D33"/>
    <mergeCell ref="B43:E43"/>
    <mergeCell ref="A45:A47"/>
    <mergeCell ref="B48:E48"/>
  </mergeCells>
  <conditionalFormatting sqref="E12">
    <cfRule type="expression" dxfId="0" priority="3">
      <formula>$E$12="Assessor, Please check GM application date"</formula>
    </cfRule>
  </conditionalFormatting>
  <dataValidations count="4">
    <dataValidation type="list" allowBlank="1" showInputMessage="1" showErrorMessage="1" sqref="C7:C9 C19:C20 C35:C37 C46:C47 C5 C29:C31 C13:C16 C24:C26" xr:uid="{00000000-0002-0000-0600-000000000000}">
      <formula1>"Y,N"</formula1>
    </dataValidation>
    <dataValidation type="decimal" allowBlank="1" showErrorMessage="1" error="Please enter 0.5 or 1 or 1.5 or 2." prompt="Please Enter 0 or 1 or 1.5 or 2." sqref="F51:F52" xr:uid="{00000000-0002-0000-0600-000001000000}">
      <formula1>0</formula1>
      <formula2>2</formula2>
    </dataValidation>
    <dataValidation allowBlank="1" showInputMessage="1" showErrorMessage="1" prompt="Please list down short description of your innovation." sqref="G51:G52" xr:uid="{00000000-0002-0000-0600-000002000000}"/>
    <dataValidation type="list" showErrorMessage="1" error="Please enter 0.5 or 1 or 1.5 or 2." prompt="Please Enter 0.5 or 1 or 1.5 or 2." sqref="C51:C52"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8"/>
  <sheetViews>
    <sheetView topLeftCell="A3" zoomScaleNormal="100" workbookViewId="0">
      <selection activeCell="G66" sqref="G66"/>
    </sheetView>
  </sheetViews>
  <sheetFormatPr defaultColWidth="9.1796875" defaultRowHeight="15.5" x14ac:dyDescent="0.35"/>
  <cols>
    <col min="1" max="1" width="8.26953125" style="5" customWidth="1"/>
    <col min="2" max="2" width="65.7265625" customWidth="1"/>
    <col min="3" max="3" width="9.453125" customWidth="1"/>
    <col min="4" max="4" width="10.453125" bestFit="1" customWidth="1"/>
    <col min="5" max="5" width="12" style="6" customWidth="1"/>
    <col min="6" max="6" width="11.7265625" style="6" customWidth="1"/>
    <col min="7" max="7" width="18" customWidth="1"/>
    <col min="8" max="8" width="50.453125" style="270" customWidth="1"/>
    <col min="9" max="9" width="50.7265625" customWidth="1"/>
    <col min="10" max="10" width="17.26953125" hidden="1" customWidth="1"/>
    <col min="11" max="14" width="9.1796875" hidden="1" customWidth="1"/>
  </cols>
  <sheetData>
    <row r="1" spans="1:14" ht="16" thickBot="1" x14ac:dyDescent="0.4"/>
    <row r="2" spans="1:14" ht="21" x14ac:dyDescent="0.35">
      <c r="A2" s="506" t="s">
        <v>492</v>
      </c>
      <c r="B2" s="507"/>
      <c r="C2" s="507"/>
      <c r="D2" s="507"/>
      <c r="E2" s="507"/>
      <c r="F2" s="507"/>
      <c r="G2" s="508"/>
    </row>
    <row r="3" spans="1:14" ht="85.5" customHeight="1" x14ac:dyDescent="0.35">
      <c r="A3" s="490"/>
      <c r="B3" s="491"/>
      <c r="C3" s="491"/>
      <c r="D3" s="491"/>
      <c r="E3" s="491"/>
      <c r="F3" s="491"/>
      <c r="G3" s="492"/>
    </row>
    <row r="4" spans="1:14" ht="189.75" customHeight="1" thickBot="1" x14ac:dyDescent="0.4">
      <c r="A4" s="487" t="s">
        <v>493</v>
      </c>
      <c r="B4" s="488"/>
      <c r="C4" s="488"/>
      <c r="D4" s="488"/>
      <c r="E4" s="488"/>
      <c r="F4" s="488"/>
      <c r="G4" s="489"/>
    </row>
    <row r="6" spans="1:14" ht="31" customHeight="1" x14ac:dyDescent="0.35">
      <c r="A6" s="51"/>
      <c r="B6" s="233" t="s">
        <v>494</v>
      </c>
      <c r="C6" s="481" t="s">
        <v>102</v>
      </c>
      <c r="D6" s="481"/>
      <c r="E6" s="481" t="s">
        <v>495</v>
      </c>
      <c r="F6" s="481"/>
      <c r="G6" s="37" t="s">
        <v>496</v>
      </c>
      <c r="H6" s="255"/>
      <c r="I6" s="7"/>
      <c r="K6" s="481" t="s">
        <v>495</v>
      </c>
      <c r="L6" s="481"/>
      <c r="M6" s="481" t="s">
        <v>495</v>
      </c>
      <c r="N6" s="481"/>
    </row>
    <row r="7" spans="1:14" ht="18.5" x14ac:dyDescent="0.35">
      <c r="A7" s="494" t="s">
        <v>34</v>
      </c>
      <c r="B7" s="495"/>
      <c r="C7" s="497">
        <f>'[3]Maintainability Score Summary'!$K$25</f>
        <v>91</v>
      </c>
      <c r="D7" s="299"/>
      <c r="E7" s="497"/>
      <c r="F7" s="299"/>
      <c r="G7" s="271"/>
      <c r="H7" s="255"/>
      <c r="I7" s="7"/>
      <c r="K7" s="299"/>
      <c r="L7" s="299"/>
      <c r="M7" s="299"/>
      <c r="N7" s="299"/>
    </row>
    <row r="8" spans="1:14" x14ac:dyDescent="0.35">
      <c r="A8" s="496" t="str">
        <f>'[3]Maintainability Score Summary'!$A$6</f>
        <v>SECTION 0 - GENERAL</v>
      </c>
      <c r="B8" s="496"/>
      <c r="C8" s="472">
        <f>'[3]Maintainability Score Summary'!$E$6</f>
        <v>7</v>
      </c>
      <c r="D8" s="472"/>
      <c r="E8" s="472">
        <f>MAX(K8:N8)</f>
        <v>0</v>
      </c>
      <c r="F8" s="472"/>
      <c r="G8" s="272" t="str">
        <f>IF(G9="","",G9)</f>
        <v/>
      </c>
      <c r="H8" s="255"/>
      <c r="I8" s="7"/>
      <c r="K8" s="471">
        <f>'[3]Maintainability Score Summary'!$F$6</f>
        <v>0</v>
      </c>
      <c r="L8" s="472"/>
      <c r="M8" s="471">
        <f>'[4]Maintainability Score Summary'!$F$6</f>
        <v>0</v>
      </c>
      <c r="N8" s="472"/>
    </row>
    <row r="9" spans="1:14" x14ac:dyDescent="0.35">
      <c r="A9" s="273">
        <v>0.1</v>
      </c>
      <c r="B9" s="274" t="str">
        <f>'[3]Maintainability Score Summary'!$B$7</f>
        <v>General Project Requirement</v>
      </c>
      <c r="C9" s="498">
        <f>'[3]Maintainability Score Summary'!$E$7</f>
        <v>7</v>
      </c>
      <c r="D9" s="498"/>
      <c r="E9" s="498">
        <f t="shared" ref="E9:E13" si="0">MAX(K9:N9)</f>
        <v>0</v>
      </c>
      <c r="F9" s="498"/>
      <c r="G9" s="283"/>
      <c r="H9" s="255"/>
      <c r="I9" s="7"/>
      <c r="K9" s="473">
        <f>'[3]Maintainability Score Summary'!$F$7</f>
        <v>0</v>
      </c>
      <c r="L9" s="335"/>
      <c r="M9" s="473">
        <f>'[4]Maintainability Score Summary'!$F$7</f>
        <v>0</v>
      </c>
      <c r="N9" s="335"/>
    </row>
    <row r="10" spans="1:14" x14ac:dyDescent="0.35">
      <c r="A10" s="496" t="str">
        <f>'[3]Maintainability Score Summary'!$A$8</f>
        <v>SECTION 1 - ARCHITECTURAL EXTERIOR</v>
      </c>
      <c r="B10" s="496"/>
      <c r="C10" s="472">
        <f>'[3]Maintainability Score Summary'!$E$8</f>
        <v>10.5</v>
      </c>
      <c r="D10" s="472"/>
      <c r="E10" s="472">
        <f t="shared" si="0"/>
        <v>0</v>
      </c>
      <c r="F10" s="472"/>
      <c r="G10" s="272" t="str">
        <f>IF(OR(G11="",G13="",G17=""),"",SUM(G17,G13,G11))</f>
        <v/>
      </c>
      <c r="H10" s="255"/>
      <c r="I10" s="7"/>
      <c r="K10" s="471">
        <f>'[3]Maintainability Score Summary'!$F$8</f>
        <v>0</v>
      </c>
      <c r="L10" s="472"/>
      <c r="M10" s="471">
        <f>'[4]Maintainability Score Summary'!$F$8</f>
        <v>0</v>
      </c>
      <c r="N10" s="472"/>
    </row>
    <row r="11" spans="1:14" x14ac:dyDescent="0.35">
      <c r="A11" s="504" t="str">
        <f>'[3]Maintainability Score Summary'!$A$9</f>
        <v>Part A - General Façade</v>
      </c>
      <c r="B11" s="505"/>
      <c r="C11" s="478">
        <f>'[3]Maintainability Score Summary'!$E$9</f>
        <v>0.5</v>
      </c>
      <c r="D11" s="478"/>
      <c r="E11" s="478">
        <f t="shared" si="0"/>
        <v>0</v>
      </c>
      <c r="F11" s="478"/>
      <c r="G11" s="275" t="str">
        <f>IF(G12="","",G12)</f>
        <v/>
      </c>
      <c r="H11" s="255"/>
      <c r="I11" s="7"/>
      <c r="K11" s="477">
        <f>'[3]Maintainability Score Summary'!$F$9</f>
        <v>0</v>
      </c>
      <c r="L11" s="478"/>
      <c r="M11" s="477">
        <f>'[4]Maintainability Score Summary'!$F$9</f>
        <v>0</v>
      </c>
      <c r="N11" s="478"/>
    </row>
    <row r="12" spans="1:14" x14ac:dyDescent="0.35">
      <c r="A12" s="239">
        <v>1.1000000000000001</v>
      </c>
      <c r="B12" s="39" t="str">
        <f>'[3]Maintainability Score Summary'!$B$10</f>
        <v>General Façade</v>
      </c>
      <c r="C12" s="335">
        <f>'[3]Maintainability Score Summary'!$E$10</f>
        <v>0.5</v>
      </c>
      <c r="D12" s="335"/>
      <c r="E12" s="335">
        <f t="shared" si="0"/>
        <v>0</v>
      </c>
      <c r="F12" s="335"/>
      <c r="G12" s="283"/>
      <c r="H12" s="255"/>
      <c r="I12" s="7"/>
      <c r="K12" s="473">
        <f>'[3]Maintainability Score Summary'!$F$10</f>
        <v>0</v>
      </c>
      <c r="L12" s="335"/>
      <c r="M12" s="473">
        <f>'[4]Maintainability Score Summary'!$F$10</f>
        <v>0</v>
      </c>
      <c r="N12" s="335"/>
    </row>
    <row r="13" spans="1:14" x14ac:dyDescent="0.35">
      <c r="A13" s="504" t="str">
        <f>'[3]Maintainability Score Summary'!$A$11</f>
        <v>Part B - Façade System</v>
      </c>
      <c r="B13" s="505"/>
      <c r="C13" s="478">
        <f>'[3]Maintainability Score Summary'!$E$11</f>
        <v>4</v>
      </c>
      <c r="D13" s="478"/>
      <c r="E13" s="478">
        <f t="shared" si="0"/>
        <v>0</v>
      </c>
      <c r="F13" s="478"/>
      <c r="G13" s="275" t="str">
        <f>IF(G14="","",G14)</f>
        <v/>
      </c>
      <c r="H13" s="255"/>
      <c r="I13" s="7"/>
      <c r="K13" s="477">
        <f>'[3]Maintainability Score Summary'!$F$11</f>
        <v>0</v>
      </c>
      <c r="L13" s="477"/>
      <c r="M13" s="477">
        <f>'[4]Maintainability Score Summary'!$F$11</f>
        <v>0</v>
      </c>
      <c r="N13" s="477"/>
    </row>
    <row r="14" spans="1:14" x14ac:dyDescent="0.35">
      <c r="A14" s="239">
        <v>1.2</v>
      </c>
      <c r="B14" s="39" t="str">
        <f>'[3]Maintainability Score Summary'!$B$12</f>
        <v>Cladding system: Tile/ Stone/ Metal/ Others</v>
      </c>
      <c r="C14" s="335">
        <f>'[3]Maintainability Score Summary'!$E$12</f>
        <v>4</v>
      </c>
      <c r="D14" s="335"/>
      <c r="E14" s="335">
        <f>MAX(K14:N14)</f>
        <v>0</v>
      </c>
      <c r="F14" s="335"/>
      <c r="G14" s="499"/>
      <c r="H14" s="255"/>
      <c r="I14" s="7"/>
      <c r="K14" s="482">
        <f>'[3]Maintainability Score Summary'!$F$12</f>
        <v>0</v>
      </c>
      <c r="L14" s="482"/>
      <c r="M14" s="482">
        <f>'[4]Maintainability Score Summary'!$F$12</f>
        <v>0</v>
      </c>
      <c r="N14" s="482"/>
    </row>
    <row r="15" spans="1:14" x14ac:dyDescent="0.35">
      <c r="A15" s="239">
        <v>1.3</v>
      </c>
      <c r="B15" s="39" t="str">
        <f>'[3]Maintainability Score Summary'!$B$13</f>
        <v>Curtain Wall: Glazing/ Others</v>
      </c>
      <c r="C15" s="335"/>
      <c r="D15" s="335"/>
      <c r="E15" s="335"/>
      <c r="F15" s="335"/>
      <c r="G15" s="500"/>
      <c r="H15" s="255"/>
      <c r="I15" s="7"/>
      <c r="K15" s="482"/>
      <c r="L15" s="482"/>
      <c r="M15" s="482"/>
      <c r="N15" s="482"/>
    </row>
    <row r="16" spans="1:14" x14ac:dyDescent="0.35">
      <c r="A16" s="239">
        <v>1.4</v>
      </c>
      <c r="B16" s="39" t="str">
        <f>'[3]Maintainability Score Summary'!$B$14</f>
        <v>Masonry and Lightweight Concrete Panels</v>
      </c>
      <c r="C16" s="335"/>
      <c r="D16" s="335"/>
      <c r="E16" s="335"/>
      <c r="F16" s="335"/>
      <c r="G16" s="501"/>
      <c r="H16" s="255"/>
      <c r="I16" s="7"/>
      <c r="K16" s="482"/>
      <c r="L16" s="482"/>
      <c r="M16" s="482"/>
      <c r="N16" s="482"/>
    </row>
    <row r="17" spans="1:14" x14ac:dyDescent="0.35">
      <c r="A17" s="504" t="str">
        <f>'[3]Maintainability Score Summary'!$A$15</f>
        <v>Part C - Others</v>
      </c>
      <c r="B17" s="505"/>
      <c r="C17" s="478">
        <f>'[3]Maintainability Score Summary'!$E$15</f>
        <v>6</v>
      </c>
      <c r="D17" s="478"/>
      <c r="E17" s="478">
        <f t="shared" ref="E17" si="1">MAX(K17:N17)</f>
        <v>0</v>
      </c>
      <c r="F17" s="478"/>
      <c r="G17" s="275" t="str">
        <f>IF(OR(G18="",G19=""),"",SUM(G18:G19))</f>
        <v/>
      </c>
      <c r="H17" s="255"/>
      <c r="I17" s="7"/>
      <c r="K17" s="477">
        <f>'[3]Maintainability Score Summary'!$F$15</f>
        <v>0</v>
      </c>
      <c r="L17" s="477"/>
      <c r="M17" s="477">
        <f>'[4]Maintainability Score Summary'!$F$15</f>
        <v>0</v>
      </c>
      <c r="N17" s="477"/>
    </row>
    <row r="18" spans="1:14" x14ac:dyDescent="0.35">
      <c r="A18" s="239" t="s">
        <v>497</v>
      </c>
      <c r="B18" s="39" t="str">
        <f>'[3]Maintainability Score Summary'!$B$16</f>
        <v>Façade Features/ considerations</v>
      </c>
      <c r="C18" s="335">
        <f>'[3]Maintainability Score Summary'!$E$16</f>
        <v>3</v>
      </c>
      <c r="D18" s="335"/>
      <c r="E18" s="335">
        <f t="shared" ref="E18:E60" si="2">MAX(K18:N18)</f>
        <v>0</v>
      </c>
      <c r="F18" s="335"/>
      <c r="G18" s="283"/>
      <c r="H18" s="255"/>
      <c r="I18" s="7"/>
      <c r="K18" s="473">
        <f>'[3]Maintainability Score Summary'!$F$16</f>
        <v>0</v>
      </c>
      <c r="L18" s="473"/>
      <c r="M18" s="473">
        <f>'[4]Maintainability Score Summary'!$F$16</f>
        <v>0</v>
      </c>
      <c r="N18" s="473"/>
    </row>
    <row r="19" spans="1:14" x14ac:dyDescent="0.35">
      <c r="A19" s="239" t="s">
        <v>498</v>
      </c>
      <c r="B19" s="39" t="str">
        <f>'[3]Maintainability Score Summary'!$B$17</f>
        <v>Entrance lobby</v>
      </c>
      <c r="C19" s="335">
        <f>'[3]Maintainability Score Summary'!$E$17</f>
        <v>3</v>
      </c>
      <c r="D19" s="335"/>
      <c r="E19" s="335">
        <f t="shared" si="2"/>
        <v>0</v>
      </c>
      <c r="F19" s="335"/>
      <c r="G19" s="283"/>
      <c r="H19" s="255"/>
      <c r="I19" s="7"/>
      <c r="K19" s="473">
        <f>'[3]Maintainability Score Summary'!$F$17</f>
        <v>0</v>
      </c>
      <c r="L19" s="473"/>
      <c r="M19" s="473">
        <f>'[4]Maintainability Score Summary'!$F$17</f>
        <v>0</v>
      </c>
      <c r="N19" s="473"/>
    </row>
    <row r="20" spans="1:14" x14ac:dyDescent="0.35">
      <c r="A20" s="239" t="s">
        <v>499</v>
      </c>
      <c r="B20" s="39" t="str">
        <f>'[3]Maintainability Score Summary'!$B$18</f>
        <v>Roof</v>
      </c>
      <c r="C20" s="335" t="str">
        <f>'[3]Maintainability Score Summary'!$E$18</f>
        <v>Pre-req</v>
      </c>
      <c r="D20" s="335"/>
      <c r="E20" s="335">
        <f t="shared" si="2"/>
        <v>0</v>
      </c>
      <c r="F20" s="335"/>
      <c r="G20" s="276"/>
      <c r="H20" s="255"/>
      <c r="I20" s="7"/>
      <c r="K20" s="335"/>
      <c r="L20" s="335"/>
      <c r="M20" s="335"/>
      <c r="N20" s="335"/>
    </row>
    <row r="21" spans="1:14" x14ac:dyDescent="0.35">
      <c r="A21" s="496" t="str">
        <f>'[3]Maintainability Score Summary'!$A$19</f>
        <v>SECTION 2 - ARCHITECTURAL INTERIOR</v>
      </c>
      <c r="B21" s="496" t="s">
        <v>58</v>
      </c>
      <c r="C21" s="472">
        <f>'[3]Maintainability Score Summary'!$E$19</f>
        <v>21</v>
      </c>
      <c r="D21" s="472"/>
      <c r="E21" s="472">
        <f t="shared" si="2"/>
        <v>0</v>
      </c>
      <c r="F21" s="472"/>
      <c r="G21" s="272" t="str">
        <f>IF(OR(G22="",G23="",G24="",G25="",G26="",G27=""),"",SUM(G22:G27))</f>
        <v/>
      </c>
      <c r="H21" s="255"/>
      <c r="I21" s="7"/>
      <c r="K21" s="471">
        <f>'[3]Maintainability Score Summary'!$F$19</f>
        <v>0</v>
      </c>
      <c r="L21" s="472"/>
      <c r="M21" s="471">
        <f>'[4]Maintainability Score Summary'!$F$19</f>
        <v>0</v>
      </c>
      <c r="N21" s="472"/>
    </row>
    <row r="22" spans="1:14" x14ac:dyDescent="0.35">
      <c r="A22" s="239">
        <v>2.1</v>
      </c>
      <c r="B22" s="47" t="str">
        <f>'[3]Maintainability Score Summary'!$B$20</f>
        <v>Floors</v>
      </c>
      <c r="C22" s="335">
        <f>'[3]Maintainability Score Summary'!$E$20</f>
        <v>2.5</v>
      </c>
      <c r="D22" s="335"/>
      <c r="E22" s="335">
        <f t="shared" si="2"/>
        <v>0</v>
      </c>
      <c r="F22" s="335"/>
      <c r="G22" s="283"/>
      <c r="H22" s="255"/>
      <c r="I22" s="7"/>
      <c r="K22" s="473">
        <f>'[3]Maintainability Score Summary'!$F$20</f>
        <v>0</v>
      </c>
      <c r="L22" s="335"/>
      <c r="M22" s="473">
        <f>'[4]Maintainability Score Summary'!$F$20</f>
        <v>0</v>
      </c>
      <c r="N22" s="335"/>
    </row>
    <row r="23" spans="1:14" x14ac:dyDescent="0.35">
      <c r="A23" s="239">
        <v>2.2000000000000002</v>
      </c>
      <c r="B23" s="47" t="str">
        <f>'[3]Maintainability Score Summary'!$B$21</f>
        <v>Walls and Partitions</v>
      </c>
      <c r="C23" s="335">
        <f>'[3]Maintainability Score Summary'!$E$21</f>
        <v>1</v>
      </c>
      <c r="D23" s="335"/>
      <c r="E23" s="335">
        <f t="shared" si="2"/>
        <v>0</v>
      </c>
      <c r="F23" s="335"/>
      <c r="G23" s="283"/>
      <c r="H23" s="255"/>
      <c r="I23" s="7"/>
      <c r="K23" s="473">
        <f>'[3]Maintainability Score Summary'!$F$21</f>
        <v>0</v>
      </c>
      <c r="L23" s="335"/>
      <c r="M23" s="473">
        <f>'[4]Maintainability Score Summary'!$F$21</f>
        <v>0</v>
      </c>
      <c r="N23" s="335"/>
    </row>
    <row r="24" spans="1:14" x14ac:dyDescent="0.35">
      <c r="A24" s="239">
        <v>2.2999999999999998</v>
      </c>
      <c r="B24" s="47" t="str">
        <f>'[3]Maintainability Score Summary'!$B$22</f>
        <v>Ceiling</v>
      </c>
      <c r="C24" s="335">
        <f>'[3]Maintainability Score Summary'!$E$22</f>
        <v>4</v>
      </c>
      <c r="D24" s="335"/>
      <c r="E24" s="335">
        <f t="shared" si="2"/>
        <v>0</v>
      </c>
      <c r="F24" s="335"/>
      <c r="G24" s="283"/>
      <c r="H24" s="255"/>
      <c r="I24" s="7"/>
      <c r="K24" s="473">
        <f>'[3]Maintainability Score Summary'!$F$22</f>
        <v>0</v>
      </c>
      <c r="L24" s="335"/>
      <c r="M24" s="473">
        <f>'[4]Maintainability Score Summary'!$F$22</f>
        <v>0</v>
      </c>
      <c r="N24" s="335"/>
    </row>
    <row r="25" spans="1:14" x14ac:dyDescent="0.35">
      <c r="A25" s="239">
        <v>2.4</v>
      </c>
      <c r="B25" s="47" t="str">
        <f>'[3]Maintainability Score Summary'!$B$23</f>
        <v>Wet Rooms and Storage</v>
      </c>
      <c r="C25" s="335">
        <f>'[3]Maintainability Score Summary'!$E$23</f>
        <v>8</v>
      </c>
      <c r="D25" s="335"/>
      <c r="E25" s="335">
        <f t="shared" si="2"/>
        <v>0</v>
      </c>
      <c r="F25" s="335"/>
      <c r="G25" s="283"/>
      <c r="H25" s="255"/>
      <c r="I25" s="7"/>
      <c r="K25" s="473">
        <f>'[3]Maintainability Score Summary'!$F$23</f>
        <v>0</v>
      </c>
      <c r="L25" s="335"/>
      <c r="M25" s="473">
        <f>'[4]Maintainability Score Summary'!$F$23</f>
        <v>0</v>
      </c>
      <c r="N25" s="335"/>
    </row>
    <row r="26" spans="1:14" x14ac:dyDescent="0.35">
      <c r="A26" s="239">
        <v>2.5</v>
      </c>
      <c r="B26" s="47" t="str">
        <f>'[3]Maintainability Score Summary'!$B$24</f>
        <v>Basements</v>
      </c>
      <c r="C26" s="335">
        <f>'[3]Maintainability Score Summary'!$E$24</f>
        <v>4</v>
      </c>
      <c r="D26" s="335"/>
      <c r="E26" s="335">
        <f t="shared" si="2"/>
        <v>0</v>
      </c>
      <c r="F26" s="335"/>
      <c r="G26" s="283"/>
      <c r="H26" s="255"/>
      <c r="I26" s="7"/>
      <c r="K26" s="473">
        <f>'[3]Maintainability Score Summary'!$F$24</f>
        <v>0</v>
      </c>
      <c r="L26" s="335"/>
      <c r="M26" s="473">
        <f>'[4]Maintainability Score Summary'!$F$24</f>
        <v>0</v>
      </c>
      <c r="N26" s="335"/>
    </row>
    <row r="27" spans="1:14" x14ac:dyDescent="0.35">
      <c r="A27" s="239">
        <v>2.6</v>
      </c>
      <c r="B27" s="47" t="str">
        <f>'[3]Maintainability Score Summary'!$B$25</f>
        <v>Loading Bay/ Back of House Service Areas</v>
      </c>
      <c r="C27" s="335">
        <f>'[3]Maintainability Score Summary'!$E$25</f>
        <v>1.5</v>
      </c>
      <c r="D27" s="335"/>
      <c r="E27" s="335">
        <f t="shared" si="2"/>
        <v>0</v>
      </c>
      <c r="F27" s="335"/>
      <c r="G27" s="283"/>
      <c r="H27" s="255"/>
      <c r="I27" s="7"/>
      <c r="K27" s="473">
        <f>'[3]Maintainability Score Summary'!$F$25</f>
        <v>0</v>
      </c>
      <c r="L27" s="335"/>
      <c r="M27" s="473">
        <f>'[4]Maintainability Score Summary'!$F$25</f>
        <v>0</v>
      </c>
      <c r="N27" s="335"/>
    </row>
    <row r="28" spans="1:14" x14ac:dyDescent="0.35">
      <c r="A28" s="496" t="str">
        <f>'[3]Maintainability Score Summary'!$A$26</f>
        <v xml:space="preserve">SECTION 3 - MECHANICAL </v>
      </c>
      <c r="B28" s="496"/>
      <c r="C28" s="472">
        <f>'[3]Maintainability Score Summary'!$E$26</f>
        <v>18.5</v>
      </c>
      <c r="D28" s="472"/>
      <c r="E28" s="472">
        <f t="shared" si="2"/>
        <v>0</v>
      </c>
      <c r="F28" s="472"/>
      <c r="G28" s="272" t="str">
        <f>IF(OR(G29="",G32=""),"",G29+G32)</f>
        <v/>
      </c>
      <c r="H28" s="255"/>
      <c r="I28" s="7"/>
      <c r="K28" s="471">
        <f>'[3]Maintainability Score Summary'!$F$26</f>
        <v>0</v>
      </c>
      <c r="L28" s="472"/>
      <c r="M28" s="471">
        <f>'[4]Maintainability Score Summary'!$F$26</f>
        <v>0</v>
      </c>
      <c r="N28" s="472"/>
    </row>
    <row r="29" spans="1:14" x14ac:dyDescent="0.35">
      <c r="A29" s="504" t="str">
        <f>'[3]Maintainability Score Summary'!$A$27</f>
        <v>Part A - Cooling Systems</v>
      </c>
      <c r="B29" s="505"/>
      <c r="C29" s="478">
        <f>'[3]Maintainability Score Summary'!$E$27</f>
        <v>9.5</v>
      </c>
      <c r="D29" s="478"/>
      <c r="E29" s="478">
        <f t="shared" si="2"/>
        <v>0</v>
      </c>
      <c r="F29" s="478"/>
      <c r="G29" s="275" t="str">
        <f>IF(OR(G30="",G31=""),"",SUM(G30:G31))</f>
        <v/>
      </c>
      <c r="H29" s="255"/>
      <c r="I29" s="7"/>
      <c r="K29" s="477">
        <f>'[3]Maintainability Score Summary'!$F$27</f>
        <v>0</v>
      </c>
      <c r="L29" s="478"/>
      <c r="M29" s="477">
        <f>'[4]Maintainability Score Summary'!$F$27</f>
        <v>0</v>
      </c>
      <c r="N29" s="478"/>
    </row>
    <row r="30" spans="1:14" x14ac:dyDescent="0.35">
      <c r="A30" s="239">
        <v>3.1</v>
      </c>
      <c r="B30" s="47" t="str">
        <f>'[3]Maintainability Score Summary'!$B$28</f>
        <v>Chiller Plant</v>
      </c>
      <c r="C30" s="335">
        <f>'[3]Maintainability Score Summary'!$E$28</f>
        <v>9.5</v>
      </c>
      <c r="D30" s="335"/>
      <c r="E30" s="335">
        <f t="shared" si="2"/>
        <v>0</v>
      </c>
      <c r="F30" s="335"/>
      <c r="G30" s="283"/>
      <c r="H30" s="255"/>
      <c r="I30" s="7"/>
      <c r="K30" s="473">
        <f>'[3]Maintainability Score Summary'!$F$28</f>
        <v>0</v>
      </c>
      <c r="L30" s="335"/>
      <c r="M30" s="473">
        <f>'[4]Maintainability Score Summary'!$F$28</f>
        <v>0</v>
      </c>
      <c r="N30" s="335"/>
    </row>
    <row r="31" spans="1:14" x14ac:dyDescent="0.35">
      <c r="A31" s="239">
        <v>3.2</v>
      </c>
      <c r="B31" s="47" t="str">
        <f>'[3]Maintainability Score Summary'!$B$29</f>
        <v>VRF</v>
      </c>
      <c r="C31" s="335">
        <f>'[3]Maintainability Score Summary'!$E$29</f>
        <v>1</v>
      </c>
      <c r="D31" s="335"/>
      <c r="E31" s="335">
        <f t="shared" si="2"/>
        <v>0</v>
      </c>
      <c r="F31" s="335"/>
      <c r="G31" s="283"/>
      <c r="H31" s="255"/>
      <c r="I31" s="7"/>
      <c r="K31" s="473">
        <f>'[3]Maintainability Score Summary'!$F$29</f>
        <v>0</v>
      </c>
      <c r="L31" s="335"/>
      <c r="M31" s="473">
        <f>'[4]Maintainability Score Summary'!$F$29</f>
        <v>0</v>
      </c>
      <c r="N31" s="335"/>
    </row>
    <row r="32" spans="1:14" x14ac:dyDescent="0.35">
      <c r="A32" s="504" t="str">
        <f>'[3]Maintainability Score Summary'!$A$30</f>
        <v>Part B - Other systems</v>
      </c>
      <c r="B32" s="505"/>
      <c r="C32" s="478">
        <f>'[3]Maintainability Score Summary'!$E$30</f>
        <v>9</v>
      </c>
      <c r="D32" s="478"/>
      <c r="E32" s="478">
        <f t="shared" si="2"/>
        <v>0</v>
      </c>
      <c r="F32" s="478"/>
      <c r="G32" s="275" t="str">
        <f>IF(OR(G33="",G35="",G36="",G37=""),"",SUM(G33,G35:G37))</f>
        <v/>
      </c>
      <c r="H32" s="255"/>
      <c r="I32" s="7"/>
      <c r="K32" s="477">
        <f>'[3]Maintainability Score Summary'!$F$30</f>
        <v>0</v>
      </c>
      <c r="L32" s="478"/>
      <c r="M32" s="477">
        <f>'[4]Maintainability Score Summary'!$F$30</f>
        <v>0</v>
      </c>
      <c r="N32" s="478"/>
    </row>
    <row r="33" spans="1:14" x14ac:dyDescent="0.35">
      <c r="A33" s="239">
        <v>3.3</v>
      </c>
      <c r="B33" s="47" t="str">
        <f>'[3]Maintainability Score Summary'!$B$31</f>
        <v>Air Distribution System</v>
      </c>
      <c r="C33" s="335">
        <f>'[3]Maintainability Score Summary'!$E$31</f>
        <v>4</v>
      </c>
      <c r="D33" s="335"/>
      <c r="E33" s="335">
        <f t="shared" si="2"/>
        <v>0</v>
      </c>
      <c r="F33" s="335"/>
      <c r="G33" s="283"/>
      <c r="H33" s="255"/>
      <c r="I33" s="7"/>
      <c r="K33" s="473">
        <f>'[3]Maintainability Score Summary'!$F$31</f>
        <v>0</v>
      </c>
      <c r="L33" s="335"/>
      <c r="M33" s="473">
        <f>'[4]Maintainability Score Summary'!$F$31</f>
        <v>0</v>
      </c>
      <c r="N33" s="335"/>
    </row>
    <row r="34" spans="1:14" x14ac:dyDescent="0.35">
      <c r="A34" s="239">
        <v>3.4</v>
      </c>
      <c r="B34" s="47" t="str">
        <f>'[3]Maintainability Score Summary'!$B$32</f>
        <v>Domestic Water Supply</v>
      </c>
      <c r="C34" s="335" t="str">
        <f>'[3]Maintainability Score Summary'!$E$32</f>
        <v>Pre-req</v>
      </c>
      <c r="D34" s="335"/>
      <c r="E34" s="335">
        <f t="shared" si="2"/>
        <v>0</v>
      </c>
      <c r="F34" s="335"/>
      <c r="G34" s="284"/>
      <c r="H34" s="255"/>
      <c r="I34" s="7"/>
      <c r="K34" s="335"/>
      <c r="L34" s="335"/>
      <c r="M34" s="335"/>
      <c r="N34" s="335"/>
    </row>
    <row r="35" spans="1:14" x14ac:dyDescent="0.35">
      <c r="A35" s="239">
        <v>3.5</v>
      </c>
      <c r="B35" s="47" t="str">
        <f>'[3]Maintainability Score Summary'!$B$33</f>
        <v>Sanitary System</v>
      </c>
      <c r="C35" s="335">
        <f>'[3]Maintainability Score Summary'!$E$33</f>
        <v>2</v>
      </c>
      <c r="D35" s="335"/>
      <c r="E35" s="335">
        <f t="shared" si="2"/>
        <v>0</v>
      </c>
      <c r="F35" s="335"/>
      <c r="G35" s="283"/>
      <c r="H35" s="255"/>
      <c r="I35" s="7"/>
      <c r="K35" s="473">
        <f>'[3]Maintainability Score Summary'!$F$33</f>
        <v>0</v>
      </c>
      <c r="L35" s="335"/>
      <c r="M35" s="473">
        <f>'[4]Maintainability Score Summary'!$F$33</f>
        <v>0</v>
      </c>
      <c r="N35" s="335"/>
    </row>
    <row r="36" spans="1:14" x14ac:dyDescent="0.35">
      <c r="A36" s="239">
        <v>3.6</v>
      </c>
      <c r="B36" s="47" t="str">
        <f>'[3]Maintainability Score Summary'!$B$34</f>
        <v>Fire Protection System</v>
      </c>
      <c r="C36" s="335">
        <f>'[3]Maintainability Score Summary'!$E$34</f>
        <v>2</v>
      </c>
      <c r="D36" s="335"/>
      <c r="E36" s="335">
        <f t="shared" si="2"/>
        <v>0</v>
      </c>
      <c r="F36" s="335"/>
      <c r="G36" s="283"/>
      <c r="H36" s="255"/>
      <c r="I36" s="7"/>
      <c r="K36" s="473">
        <f>'[3]Maintainability Score Summary'!$F$34</f>
        <v>0</v>
      </c>
      <c r="L36" s="335"/>
      <c r="M36" s="473">
        <f>'[4]Maintainability Score Summary'!$F$34</f>
        <v>0</v>
      </c>
      <c r="N36" s="335"/>
    </row>
    <row r="37" spans="1:14" x14ac:dyDescent="0.35">
      <c r="A37" s="239">
        <v>3.7</v>
      </c>
      <c r="B37" s="47" t="str">
        <f>'[3]Maintainability Score Summary'!$B$35</f>
        <v>Building Management System</v>
      </c>
      <c r="C37" s="335">
        <f>'[3]Maintainability Score Summary'!$E$35</f>
        <v>1</v>
      </c>
      <c r="D37" s="335"/>
      <c r="E37" s="335">
        <f t="shared" si="2"/>
        <v>0</v>
      </c>
      <c r="F37" s="335"/>
      <c r="G37" s="283"/>
      <c r="H37" s="255"/>
      <c r="I37" s="7"/>
      <c r="K37" s="473">
        <f>'[3]Maintainability Score Summary'!$F$35</f>
        <v>0</v>
      </c>
      <c r="L37" s="335"/>
      <c r="M37" s="473">
        <f>'[4]Maintainability Score Summary'!$F$35</f>
        <v>0</v>
      </c>
      <c r="N37" s="335"/>
    </row>
    <row r="38" spans="1:14" x14ac:dyDescent="0.35">
      <c r="A38" s="496" t="str">
        <f>'[3]Maintainability Score Summary'!$A$36</f>
        <v xml:space="preserve">SECTION 4 - ELECTRICAL </v>
      </c>
      <c r="B38" s="496" t="s">
        <v>477</v>
      </c>
      <c r="C38" s="472">
        <f>'[3]Maintainability Score Summary'!$E$36</f>
        <v>10.5</v>
      </c>
      <c r="D38" s="472"/>
      <c r="E38" s="472">
        <f t="shared" si="2"/>
        <v>0</v>
      </c>
      <c r="F38" s="472"/>
      <c r="G38" s="272" t="str">
        <f>IF(OR(G39="",G40="",G41="",G42="",G43="",G44=""),"",SUM(G39:G44))</f>
        <v/>
      </c>
      <c r="H38" s="255"/>
      <c r="I38" s="7"/>
      <c r="K38" s="471">
        <f>'[3]Maintainability Score Summary'!$F$36</f>
        <v>0</v>
      </c>
      <c r="L38" s="472"/>
      <c r="M38" s="471">
        <f>'[4]Maintainability Score Summary'!$F$36</f>
        <v>0</v>
      </c>
      <c r="N38" s="472"/>
    </row>
    <row r="39" spans="1:14" x14ac:dyDescent="0.35">
      <c r="A39" s="239">
        <v>4.0999999999999996</v>
      </c>
      <c r="B39" s="47" t="str">
        <f>'[3]Maintainability Score Summary'!$B$37</f>
        <v>Lighting System</v>
      </c>
      <c r="C39" s="335">
        <f>'[3]Maintainability Score Summary'!$E$37</f>
        <v>2</v>
      </c>
      <c r="D39" s="335"/>
      <c r="E39" s="335">
        <f t="shared" si="2"/>
        <v>0</v>
      </c>
      <c r="F39" s="335"/>
      <c r="G39" s="283"/>
      <c r="H39" s="255"/>
      <c r="I39" s="7"/>
      <c r="K39" s="473">
        <f>'[3]Maintainability Score Summary'!$F$37</f>
        <v>0</v>
      </c>
      <c r="L39" s="335"/>
      <c r="M39" s="473">
        <f>'[4]Maintainability Score Summary'!$F$37</f>
        <v>0</v>
      </c>
      <c r="N39" s="335"/>
    </row>
    <row r="40" spans="1:14" x14ac:dyDescent="0.35">
      <c r="A40" s="239">
        <v>4.2</v>
      </c>
      <c r="B40" s="47" t="str">
        <f>'[3]Maintainability Score Summary'!$B$38</f>
        <v>Power Distribution System</v>
      </c>
      <c r="C40" s="335">
        <f>'[3]Maintainability Score Summary'!$E$38</f>
        <v>2</v>
      </c>
      <c r="D40" s="335"/>
      <c r="E40" s="335">
        <f t="shared" si="2"/>
        <v>0</v>
      </c>
      <c r="F40" s="335"/>
      <c r="G40" s="283"/>
      <c r="H40" s="255"/>
      <c r="I40" s="7"/>
      <c r="K40" s="473">
        <f>'[3]Maintainability Score Summary'!$F$38</f>
        <v>0</v>
      </c>
      <c r="L40" s="335"/>
      <c r="M40" s="473">
        <f>'[4]Maintainability Score Summary'!$F$38</f>
        <v>0</v>
      </c>
      <c r="N40" s="335"/>
    </row>
    <row r="41" spans="1:14" x14ac:dyDescent="0.35">
      <c r="A41" s="239">
        <v>4.3</v>
      </c>
      <c r="B41" s="47" t="str">
        <f>'[3]Maintainability Score Summary'!$B$39</f>
        <v>Extra Low Voltage System</v>
      </c>
      <c r="C41" s="335">
        <f>'[3]Maintainability Score Summary'!$E$39</f>
        <v>3</v>
      </c>
      <c r="D41" s="335"/>
      <c r="E41" s="335">
        <f t="shared" si="2"/>
        <v>0</v>
      </c>
      <c r="F41" s="335"/>
      <c r="G41" s="283"/>
      <c r="H41" s="255"/>
      <c r="I41" s="7"/>
      <c r="K41" s="473">
        <f>'[3]Maintainability Score Summary'!$F$39</f>
        <v>0</v>
      </c>
      <c r="L41" s="335"/>
      <c r="M41" s="473">
        <f>'[4]Maintainability Score Summary'!$F$39</f>
        <v>0</v>
      </c>
      <c r="N41" s="335"/>
    </row>
    <row r="42" spans="1:14" x14ac:dyDescent="0.35">
      <c r="A42" s="239">
        <v>4.4000000000000004</v>
      </c>
      <c r="B42" s="47" t="str">
        <f>'[3]Maintainability Score Summary'!$B$40</f>
        <v>Lightning Protection System</v>
      </c>
      <c r="C42" s="335">
        <f>'[3]Maintainability Score Summary'!$E$40</f>
        <v>1</v>
      </c>
      <c r="D42" s="335"/>
      <c r="E42" s="335">
        <f t="shared" si="2"/>
        <v>0</v>
      </c>
      <c r="F42" s="335"/>
      <c r="G42" s="283"/>
      <c r="H42" s="255"/>
      <c r="I42" s="7"/>
      <c r="K42" s="473">
        <f>'[3]Maintainability Score Summary'!$F$40</f>
        <v>0</v>
      </c>
      <c r="L42" s="335"/>
      <c r="M42" s="473">
        <f>'[4]Maintainability Score Summary'!$F$40</f>
        <v>0</v>
      </c>
      <c r="N42" s="335"/>
    </row>
    <row r="43" spans="1:14" x14ac:dyDescent="0.35">
      <c r="A43" s="239">
        <v>4.5</v>
      </c>
      <c r="B43" s="47" t="str">
        <f>'[3]Maintainability Score Summary'!$B$41</f>
        <v>Vertical Transportation System</v>
      </c>
      <c r="C43" s="335">
        <f>'[3]Maintainability Score Summary'!$E$41</f>
        <v>2</v>
      </c>
      <c r="D43" s="335"/>
      <c r="E43" s="335">
        <f t="shared" si="2"/>
        <v>0</v>
      </c>
      <c r="F43" s="335"/>
      <c r="G43" s="283"/>
      <c r="H43" s="255"/>
      <c r="I43" s="7"/>
      <c r="K43" s="473">
        <f>'[3]Maintainability Score Summary'!$F$41</f>
        <v>0</v>
      </c>
      <c r="L43" s="335"/>
      <c r="M43" s="473">
        <f>'[4]Maintainability Score Summary'!$F$41</f>
        <v>0</v>
      </c>
      <c r="N43" s="335"/>
    </row>
    <row r="44" spans="1:14" x14ac:dyDescent="0.35">
      <c r="A44" s="239">
        <v>4.5999999999999996</v>
      </c>
      <c r="B44" s="47" t="str">
        <f>'[3]Maintainability Score Summary'!$B$42</f>
        <v>Solar PV System</v>
      </c>
      <c r="C44" s="335">
        <f>'[3]Maintainability Score Summary'!$E$42</f>
        <v>0.5</v>
      </c>
      <c r="D44" s="335"/>
      <c r="E44" s="335">
        <f t="shared" si="2"/>
        <v>0</v>
      </c>
      <c r="F44" s="335"/>
      <c r="G44" s="283"/>
      <c r="H44" s="255"/>
      <c r="I44" s="7"/>
      <c r="K44" s="473">
        <f>'[3]Maintainability Score Summary'!$F$42</f>
        <v>0</v>
      </c>
      <c r="L44" s="335"/>
      <c r="M44" s="473">
        <f>'[4]Maintainability Score Summary'!$F$42</f>
        <v>0</v>
      </c>
      <c r="N44" s="335"/>
    </row>
    <row r="45" spans="1:14" x14ac:dyDescent="0.35">
      <c r="A45" s="496" t="str">
        <f>'[3]Maintainability Score Summary'!$H$6</f>
        <v xml:space="preserve">SECTION 5 - LANDSCAPE </v>
      </c>
      <c r="B45" s="496"/>
      <c r="C45" s="472">
        <f>'[3]Maintainability Score Summary'!$L$6</f>
        <v>10.5</v>
      </c>
      <c r="D45" s="472"/>
      <c r="E45" s="472">
        <f t="shared" si="2"/>
        <v>0</v>
      </c>
      <c r="F45" s="472"/>
      <c r="G45" s="272" t="str">
        <f>IF(OR(G46="",G47="",G49="",G50="",G51=""),"",SUM(G46:G47,G49:G51))</f>
        <v/>
      </c>
      <c r="H45" s="255"/>
      <c r="I45" s="7"/>
      <c r="K45" s="471">
        <f>'[3]Maintainability Score Summary'!$M$6</f>
        <v>0</v>
      </c>
      <c r="L45" s="472"/>
      <c r="M45" s="471">
        <f>'[4]Maintainability Score Summary'!$M$6</f>
        <v>0</v>
      </c>
      <c r="N45" s="472"/>
    </row>
    <row r="46" spans="1:14" x14ac:dyDescent="0.35">
      <c r="A46" s="239">
        <v>5.0999999999999996</v>
      </c>
      <c r="B46" s="47" t="str">
        <f>'[3]Maintainability Score Summary'!$I$7</f>
        <v>Softscape</v>
      </c>
      <c r="C46" s="502">
        <f>'[3]Maintainability Score Summary'!$L$7</f>
        <v>1.5</v>
      </c>
      <c r="D46" s="476"/>
      <c r="E46" s="502">
        <f t="shared" si="2"/>
        <v>0</v>
      </c>
      <c r="F46" s="476"/>
      <c r="G46" s="283"/>
      <c r="H46" s="255"/>
      <c r="I46" s="7"/>
      <c r="K46" s="475">
        <f>'[3]Maintainability Score Summary'!$M$7</f>
        <v>0</v>
      </c>
      <c r="L46" s="476"/>
      <c r="M46" s="475">
        <f>'[4]Maintainability Score Summary'!$M$7</f>
        <v>0</v>
      </c>
      <c r="N46" s="476"/>
    </row>
    <row r="47" spans="1:14" x14ac:dyDescent="0.35">
      <c r="A47" s="239">
        <v>5.2</v>
      </c>
      <c r="B47" s="47" t="str">
        <f>'[3]Maintainability Score Summary'!$I$8</f>
        <v>Hardscape</v>
      </c>
      <c r="C47" s="502">
        <f>'[3]Maintainability Score Summary'!$L$8</f>
        <v>3.5</v>
      </c>
      <c r="D47" s="476"/>
      <c r="E47" s="502">
        <f t="shared" si="2"/>
        <v>0</v>
      </c>
      <c r="F47" s="476"/>
      <c r="G47" s="283"/>
      <c r="H47" s="255"/>
      <c r="I47" s="7"/>
      <c r="K47" s="475">
        <f>'[3]Maintainability Score Summary'!$M$8</f>
        <v>0</v>
      </c>
      <c r="L47" s="476"/>
      <c r="M47" s="475">
        <f>'[4]Maintainability Score Summary'!$M$8</f>
        <v>0</v>
      </c>
      <c r="N47" s="476"/>
    </row>
    <row r="48" spans="1:14" x14ac:dyDescent="0.35">
      <c r="A48" s="239">
        <v>5.3</v>
      </c>
      <c r="B48" s="47" t="str">
        <f>'[3]Maintainability Score Summary'!$I$9</f>
        <v>Vertical Greenery</v>
      </c>
      <c r="C48" s="335" t="str">
        <f>'[3]Maintainability Score Summary'!$L$9</f>
        <v>Pre-req</v>
      </c>
      <c r="D48" s="335"/>
      <c r="E48" s="335">
        <f t="shared" si="2"/>
        <v>0</v>
      </c>
      <c r="F48" s="335"/>
      <c r="G48" s="284"/>
      <c r="H48" s="255"/>
      <c r="I48" s="7"/>
      <c r="K48" s="335"/>
      <c r="L48" s="335"/>
      <c r="M48" s="335"/>
      <c r="N48" s="335"/>
    </row>
    <row r="49" spans="1:14" x14ac:dyDescent="0.35">
      <c r="A49" s="239">
        <v>5.4</v>
      </c>
      <c r="B49" s="47" t="str">
        <f>'[3]Maintainability Score Summary'!$I$10</f>
        <v>Roof and Sky Terraces</v>
      </c>
      <c r="C49" s="335">
        <f>'[3]Maintainability Score Summary'!$L$10</f>
        <v>1.5</v>
      </c>
      <c r="D49" s="335"/>
      <c r="E49" s="335">
        <f t="shared" si="2"/>
        <v>0</v>
      </c>
      <c r="F49" s="335"/>
      <c r="G49" s="283"/>
      <c r="H49" s="255"/>
      <c r="I49" s="7"/>
      <c r="K49" s="473">
        <f>'[3]Maintainability Score Summary'!$M$10</f>
        <v>0</v>
      </c>
      <c r="L49" s="335"/>
      <c r="M49" s="473">
        <f>'[4]Maintainability Score Summary'!$M$10</f>
        <v>0</v>
      </c>
      <c r="N49" s="335"/>
    </row>
    <row r="50" spans="1:14" x14ac:dyDescent="0.35">
      <c r="A50" s="239">
        <v>5.5</v>
      </c>
      <c r="B50" s="47" t="str">
        <f>'[3]Maintainability Score Summary'!$I$11</f>
        <v>Water Retaining Structures</v>
      </c>
      <c r="C50" s="335">
        <f>'[3]Maintainability Score Summary'!$L$11</f>
        <v>2</v>
      </c>
      <c r="D50" s="335"/>
      <c r="E50" s="335">
        <f t="shared" si="2"/>
        <v>0</v>
      </c>
      <c r="F50" s="335"/>
      <c r="G50" s="283"/>
      <c r="H50" s="255"/>
      <c r="I50" s="7"/>
      <c r="K50" s="473">
        <f>'[3]Maintainability Score Summary'!$M$11</f>
        <v>0</v>
      </c>
      <c r="L50" s="335"/>
      <c r="M50" s="473">
        <f>'[4]Maintainability Score Summary'!$M$11</f>
        <v>0</v>
      </c>
      <c r="N50" s="335"/>
    </row>
    <row r="51" spans="1:14" x14ac:dyDescent="0.35">
      <c r="A51" s="239">
        <v>5.6</v>
      </c>
      <c r="B51" s="47" t="str">
        <f>'[3]Maintainability Score Summary'!$I$12</f>
        <v>Standalone Structures</v>
      </c>
      <c r="C51" s="335">
        <f>'[3]Maintainability Score Summary'!$L$12</f>
        <v>2</v>
      </c>
      <c r="D51" s="335"/>
      <c r="E51" s="335">
        <f t="shared" si="2"/>
        <v>0</v>
      </c>
      <c r="F51" s="335"/>
      <c r="G51" s="283"/>
      <c r="H51" s="255"/>
      <c r="I51" s="7"/>
      <c r="K51" s="473">
        <f>'[3]Maintainability Score Summary'!$M$12</f>
        <v>0</v>
      </c>
      <c r="L51" s="335"/>
      <c r="M51" s="473">
        <f>'[4]Maintainability Score Summary'!$M$12</f>
        <v>0</v>
      </c>
      <c r="N51" s="335"/>
    </row>
    <row r="52" spans="1:14" x14ac:dyDescent="0.35">
      <c r="A52" s="496" t="str">
        <f>'[3]Maintainability Score Summary'!$H$13</f>
        <v xml:space="preserve">SECTION 6 - SMART FM </v>
      </c>
      <c r="B52" s="496"/>
      <c r="C52" s="472">
        <f>'[3]Maintainability Score Summary'!$L$13</f>
        <v>13</v>
      </c>
      <c r="D52" s="472"/>
      <c r="E52" s="472">
        <f t="shared" si="2"/>
        <v>0</v>
      </c>
      <c r="F52" s="472"/>
      <c r="G52" s="272" t="str">
        <f>IF(OR(G53="",G54="",G55="",G56="",G57=""),"",SUM(G53:G57))</f>
        <v/>
      </c>
      <c r="H52" s="255"/>
      <c r="I52" s="7"/>
      <c r="K52" s="471">
        <f>'[3]Maintainability Score Summary'!$M$13</f>
        <v>0</v>
      </c>
      <c r="L52" s="472"/>
      <c r="M52" s="471">
        <f>'[4]Maintainability Score Summary'!$M$13</f>
        <v>0</v>
      </c>
      <c r="N52" s="472"/>
    </row>
    <row r="53" spans="1:14" x14ac:dyDescent="0.35">
      <c r="A53" s="239">
        <v>6.1</v>
      </c>
      <c r="B53" s="47" t="str">
        <f>'[3]Maintainability Score Summary'!$I$14</f>
        <v>Good Practices</v>
      </c>
      <c r="C53" s="335">
        <f>'[3]Maintainability Score Summary'!$L$14</f>
        <v>2</v>
      </c>
      <c r="D53" s="335"/>
      <c r="E53" s="335">
        <f t="shared" si="2"/>
        <v>0</v>
      </c>
      <c r="F53" s="335"/>
      <c r="G53" s="283"/>
      <c r="H53" s="255"/>
      <c r="I53" s="7"/>
      <c r="K53" s="473">
        <f>'[3]Maintainability Score Summary'!$M$14</f>
        <v>0</v>
      </c>
      <c r="L53" s="335"/>
      <c r="M53" s="473">
        <f>'[4]Maintainability Score Summary'!$M$14</f>
        <v>0</v>
      </c>
      <c r="N53" s="335"/>
    </row>
    <row r="54" spans="1:14" x14ac:dyDescent="0.35">
      <c r="A54" s="239">
        <v>6.2</v>
      </c>
      <c r="B54" s="47" t="str">
        <f>'[3]Maintainability Score Summary'!$I$15</f>
        <v>Cybersecurity</v>
      </c>
      <c r="C54" s="335">
        <f>'[3]Maintainability Score Summary'!$L$15</f>
        <v>1</v>
      </c>
      <c r="D54" s="335"/>
      <c r="E54" s="335">
        <f t="shared" si="2"/>
        <v>0</v>
      </c>
      <c r="F54" s="335"/>
      <c r="G54" s="283"/>
      <c r="H54" s="255"/>
      <c r="I54" s="7"/>
      <c r="K54" s="473">
        <f>'[3]Maintainability Score Summary'!$M$15</f>
        <v>0</v>
      </c>
      <c r="L54" s="335"/>
      <c r="M54" s="473">
        <f>'[4]Maintainability Score Summary'!$M$15</f>
        <v>0</v>
      </c>
      <c r="N54" s="335"/>
    </row>
    <row r="55" spans="1:14" x14ac:dyDescent="0.35">
      <c r="A55" s="239">
        <v>6.3</v>
      </c>
      <c r="B55" s="47" t="str">
        <f>'[3]Maintainability Score Summary'!$I$16</f>
        <v>Innovation</v>
      </c>
      <c r="C55" s="335">
        <f>'[3]Maintainability Score Summary'!$L$16</f>
        <v>3</v>
      </c>
      <c r="D55" s="335"/>
      <c r="E55" s="335">
        <f t="shared" si="2"/>
        <v>0</v>
      </c>
      <c r="F55" s="335"/>
      <c r="G55" s="283"/>
      <c r="H55" s="255"/>
      <c r="I55" s="7"/>
      <c r="K55" s="473">
        <f>'[3]Maintainability Score Summary'!$M$16</f>
        <v>0</v>
      </c>
      <c r="L55" s="335"/>
      <c r="M55" s="473">
        <f>'[4]Maintainability Score Summary'!$M$16</f>
        <v>0</v>
      </c>
      <c r="N55" s="335"/>
    </row>
    <row r="56" spans="1:14" x14ac:dyDescent="0.35">
      <c r="A56" s="239">
        <v>6.4</v>
      </c>
      <c r="B56" s="47" t="str">
        <f>'[3]Maintainability Score Summary'!$I$17</f>
        <v>Advanced Smart FM</v>
      </c>
      <c r="C56" s="335">
        <f>'[3]Maintainability Score Summary'!$L$17</f>
        <v>4</v>
      </c>
      <c r="D56" s="335"/>
      <c r="E56" s="335">
        <f t="shared" si="2"/>
        <v>0</v>
      </c>
      <c r="F56" s="335"/>
      <c r="G56" s="283"/>
      <c r="H56" s="255"/>
      <c r="I56" s="7"/>
      <c r="K56" s="473">
        <f>'[3]Maintainability Score Summary'!$M$17</f>
        <v>0</v>
      </c>
      <c r="L56" s="335"/>
      <c r="M56" s="473">
        <f>'[4]Maintainability Score Summary'!$M$17</f>
        <v>0</v>
      </c>
      <c r="N56" s="335"/>
    </row>
    <row r="57" spans="1:14" x14ac:dyDescent="0.35">
      <c r="A57" s="239">
        <v>6.5</v>
      </c>
      <c r="B57" s="47" t="str">
        <f>'[3]Maintainability Score Summary'!$I$18</f>
        <v>Robotics &amp; Automation</v>
      </c>
      <c r="C57" s="335">
        <f>'[3]Maintainability Score Summary'!$L$18</f>
        <v>3</v>
      </c>
      <c r="D57" s="335"/>
      <c r="E57" s="335">
        <f t="shared" si="2"/>
        <v>0</v>
      </c>
      <c r="F57" s="335"/>
      <c r="G57" s="283"/>
      <c r="H57" s="255"/>
      <c r="I57" s="7"/>
      <c r="K57" s="473">
        <f>'[3]Maintainability Score Summary'!$M$18</f>
        <v>0</v>
      </c>
      <c r="L57" s="335"/>
      <c r="M57" s="473">
        <f>'[4]Maintainability Score Summary'!$M$18</f>
        <v>0</v>
      </c>
      <c r="N57" s="335"/>
    </row>
    <row r="58" spans="1:14" x14ac:dyDescent="0.35">
      <c r="A58" s="496" t="s">
        <v>500</v>
      </c>
      <c r="B58" s="496"/>
      <c r="C58" s="472">
        <v>4.5</v>
      </c>
      <c r="D58" s="472"/>
      <c r="E58" s="472">
        <f t="shared" si="2"/>
        <v>0</v>
      </c>
      <c r="F58" s="472"/>
      <c r="G58" s="272" t="str">
        <f>IF(OR(G59="",G60=""),"",SUM(G59:G60))</f>
        <v/>
      </c>
      <c r="H58" s="255"/>
      <c r="I58" s="7"/>
      <c r="K58" s="471">
        <f>'[3]Maintainability Score Summary'!$N$24</f>
        <v>0</v>
      </c>
      <c r="L58" s="472"/>
      <c r="M58" s="471">
        <f>'[4]Maintainability Score Summary'!$N$24</f>
        <v>0</v>
      </c>
      <c r="N58" s="472"/>
    </row>
    <row r="59" spans="1:14" x14ac:dyDescent="0.35">
      <c r="A59" s="45"/>
      <c r="B59" s="47" t="str">
        <f>'[3]Maintainability Score Summary'!$H$20</f>
        <v>Section 1 BONUS POINTS</v>
      </c>
      <c r="C59" s="335">
        <f>'[3]Maintainability Score Summary'!$L$20</f>
        <v>2</v>
      </c>
      <c r="D59" s="335"/>
      <c r="E59" s="335">
        <f t="shared" si="2"/>
        <v>0</v>
      </c>
      <c r="F59" s="335"/>
      <c r="G59" s="283"/>
      <c r="H59" s="255"/>
      <c r="I59" s="7"/>
      <c r="K59" s="473">
        <f>'[3]Maintainability Score Summary'!$M$20</f>
        <v>0</v>
      </c>
      <c r="L59" s="335"/>
      <c r="M59" s="473">
        <f>'[4]Maintainability Score Summary'!$M$20</f>
        <v>0</v>
      </c>
      <c r="N59" s="335"/>
    </row>
    <row r="60" spans="1:14" x14ac:dyDescent="0.35">
      <c r="A60" s="45"/>
      <c r="B60" s="47" t="str">
        <f>'[3]Maintainability Score Summary'!$H$21</f>
        <v>Section 5 BONUS POINTS</v>
      </c>
      <c r="C60" s="386">
        <f>'[3]Maintainability Score Summary'!$L$21</f>
        <v>2.5</v>
      </c>
      <c r="D60" s="386"/>
      <c r="E60" s="386">
        <f t="shared" si="2"/>
        <v>0</v>
      </c>
      <c r="F60" s="386"/>
      <c r="G60" s="283"/>
      <c r="H60" s="255"/>
      <c r="I60" s="7"/>
      <c r="K60" s="474">
        <f>'[3]Maintainability Score Summary'!$M$21</f>
        <v>0</v>
      </c>
      <c r="L60" s="386"/>
      <c r="M60" s="474">
        <f>'[4]Maintainability Score Summary'!$M$21</f>
        <v>0</v>
      </c>
      <c r="N60" s="386"/>
    </row>
    <row r="61" spans="1:14" s="5" customFormat="1" x14ac:dyDescent="0.35">
      <c r="A61" s="277"/>
      <c r="B61" s="278" t="s">
        <v>501</v>
      </c>
      <c r="C61" s="465" t="str">
        <f>IF(J61=0,IF(OR(G52="",G45="",G38="",G28="",G21="",G10="",G8=""),"",G52+G45+G38+G28+G21+G10+G8),J61)</f>
        <v/>
      </c>
      <c r="D61" s="465"/>
      <c r="E61" s="465"/>
      <c r="F61" s="465"/>
      <c r="G61" s="465"/>
      <c r="H61" s="255"/>
      <c r="I61" s="262"/>
      <c r="J61" s="279">
        <f>MAX(K61:N61)</f>
        <v>0</v>
      </c>
      <c r="K61" s="483">
        <f>'[3]Maintainability Score Summary'!$K$24</f>
        <v>0</v>
      </c>
      <c r="L61" s="483"/>
      <c r="M61" s="483">
        <f>'[4]Maintainability Score Summary'!$K$24</f>
        <v>0</v>
      </c>
      <c r="N61" s="483"/>
    </row>
    <row r="62" spans="1:14" s="5" customFormat="1" x14ac:dyDescent="0.35">
      <c r="A62" s="277"/>
      <c r="B62" s="278" t="s">
        <v>502</v>
      </c>
      <c r="C62" s="479">
        <f>MAX(K62:N62)</f>
        <v>0</v>
      </c>
      <c r="D62" s="480"/>
      <c r="E62" s="480"/>
      <c r="F62" s="486"/>
      <c r="G62" s="283"/>
      <c r="H62" s="255"/>
      <c r="I62" s="282"/>
      <c r="J62" s="285"/>
      <c r="K62" s="479">
        <f>'[3]Maintainability Score Summary'!$K$26</f>
        <v>0</v>
      </c>
      <c r="L62" s="480"/>
      <c r="M62" s="465">
        <f>'[4]Maintainability Score Summary'!$K$26</f>
        <v>0</v>
      </c>
      <c r="N62" s="465"/>
    </row>
    <row r="63" spans="1:14" s="5" customFormat="1" x14ac:dyDescent="0.35">
      <c r="A63" s="277"/>
      <c r="B63" s="280" t="s">
        <v>503</v>
      </c>
      <c r="C63" s="479">
        <f>MAX(K63:N63)</f>
        <v>0</v>
      </c>
      <c r="D63" s="480"/>
      <c r="E63" s="480"/>
      <c r="F63" s="486"/>
      <c r="G63" s="284" t="str">
        <f>IF(OR(G59="",G60="",C61=""),"",IF(C61=J64,G59+G60,""))</f>
        <v/>
      </c>
      <c r="H63" s="255"/>
      <c r="I63" s="282"/>
      <c r="J63" s="285"/>
      <c r="K63" s="479">
        <f>'[3]Maintainability Score Summary'!$N$24</f>
        <v>0</v>
      </c>
      <c r="L63" s="480"/>
      <c r="M63" s="465">
        <f>'[4]Maintainability Score Summary'!$N$24</f>
        <v>0</v>
      </c>
      <c r="N63" s="465"/>
    </row>
    <row r="64" spans="1:14" s="5" customFormat="1" x14ac:dyDescent="0.35">
      <c r="A64" s="277"/>
      <c r="B64" s="484" t="s">
        <v>504</v>
      </c>
      <c r="C64" s="465" t="s">
        <v>505</v>
      </c>
      <c r="D64" s="465"/>
      <c r="E64" s="467">
        <f>MAX(K64:N64)</f>
        <v>0</v>
      </c>
      <c r="F64" s="468"/>
      <c r="G64" s="284">
        <f>IF(OR(C61="",G58=""),0,IF(C61=J64,(C61/(91-G62))*91,0))</f>
        <v>0</v>
      </c>
      <c r="H64" s="262"/>
      <c r="I64" s="282"/>
      <c r="J64" s="286" t="str">
        <f>IF(OR(G52="",G45="",G38="",G28="",G21="",G10="",G8=""),"",G52+G45+G38+G28+G21+G10+G8)</f>
        <v/>
      </c>
      <c r="K64" s="467">
        <f>'[3]Maintainability Score Summary'!$K$27</f>
        <v>0</v>
      </c>
      <c r="L64" s="468"/>
      <c r="M64" s="466">
        <f>'[4]Maintainability Score Summary'!$K$27</f>
        <v>0</v>
      </c>
      <c r="N64" s="466"/>
    </row>
    <row r="65" spans="1:14" s="5" customFormat="1" x14ac:dyDescent="0.35">
      <c r="A65" s="277"/>
      <c r="B65" s="485"/>
      <c r="C65" s="465" t="s">
        <v>506</v>
      </c>
      <c r="D65" s="465"/>
      <c r="E65" s="467">
        <f>MAX(K65:N65)</f>
        <v>0</v>
      </c>
      <c r="F65" s="468"/>
      <c r="G65" s="284">
        <f>IF(OR(G64="",G63=""),0,G64+G63)</f>
        <v>0</v>
      </c>
      <c r="H65" s="262"/>
      <c r="I65" s="282"/>
      <c r="J65" s="285"/>
      <c r="K65" s="467">
        <f>'[3]Maintainability Score Summary'!$M$27</f>
        <v>0</v>
      </c>
      <c r="L65" s="468"/>
      <c r="M65" s="467">
        <f>'[4]Maintainability Score Summary'!$M$27</f>
        <v>0</v>
      </c>
      <c r="N65" s="468"/>
    </row>
    <row r="66" spans="1:14" x14ac:dyDescent="0.35">
      <c r="A66" s="277"/>
      <c r="B66" s="278" t="s">
        <v>507</v>
      </c>
      <c r="C66" s="509">
        <f>MAX(K66:N66)</f>
        <v>0</v>
      </c>
      <c r="D66" s="509"/>
      <c r="E66" s="509"/>
      <c r="F66" s="509"/>
      <c r="G66" s="283"/>
      <c r="H66" s="255"/>
      <c r="I66" s="269"/>
      <c r="J66" s="6">
        <f>IF(AND(C66="",G66=""),"",IF(C66="",G66,C66))</f>
        <v>0</v>
      </c>
      <c r="K66" s="469" t="str">
        <f>'[3]Maintainability Score Summary'!$M$32</f>
        <v/>
      </c>
      <c r="L66" s="470"/>
      <c r="M66" s="469" t="str">
        <f>'[4]Maintainability Score Summary'!$M$32</f>
        <v/>
      </c>
      <c r="N66" s="470"/>
    </row>
    <row r="67" spans="1:14" x14ac:dyDescent="0.35">
      <c r="A67" s="277"/>
      <c r="B67" s="281" t="s">
        <v>508</v>
      </c>
      <c r="C67" s="479">
        <f>IF(J67=0,IF(G65=0,0,IF(G65/5&gt;15,15,G65/5)),J67)</f>
        <v>0</v>
      </c>
      <c r="D67" s="480"/>
      <c r="E67" s="480"/>
      <c r="F67" s="480"/>
      <c r="G67" s="486"/>
      <c r="H67" s="255"/>
      <c r="I67" s="269"/>
      <c r="J67" s="279">
        <f>MAX(K67:N67)</f>
        <v>0</v>
      </c>
      <c r="K67" s="503">
        <f>'[3]Maintainability Score Summary'!$M$33</f>
        <v>0</v>
      </c>
      <c r="L67" s="503"/>
      <c r="M67" s="503">
        <f>'[4]Maintainability Score Summary'!$M$33</f>
        <v>0</v>
      </c>
      <c r="N67" s="503"/>
    </row>
    <row r="68" spans="1:14" x14ac:dyDescent="0.35">
      <c r="A68" s="277"/>
      <c r="B68" s="281" t="s">
        <v>509</v>
      </c>
      <c r="C68" s="493" t="str">
        <f>IF(AND(G65="",C67=""),"",IF(AND(C67&gt;=10,J66=0),"Yes","No"))</f>
        <v>No</v>
      </c>
      <c r="D68" s="493"/>
      <c r="E68" s="493"/>
      <c r="F68" s="493"/>
      <c r="G68" s="493"/>
      <c r="H68" s="255"/>
      <c r="I68" s="7"/>
      <c r="J68" s="6"/>
    </row>
  </sheetData>
  <sheetProtection algorithmName="SHA-512" hashValue="1xh91ylSXl/4jVRznwXBCbmQvBKcq9MSDMwsMIHAXVABaboCeRYbhZSRTVxnx54Zk3d/CN+x8Ehxq3bXBvuCYQ==" saltValue="9AmgJFb0LIAPt25mTkCfHA==" spinCount="100000" sheet="1" formatCells="0" selectLockedCells="1"/>
  <mergeCells count="255">
    <mergeCell ref="K67:L67"/>
    <mergeCell ref="M67:N67"/>
    <mergeCell ref="C67:G67"/>
    <mergeCell ref="A11:B11"/>
    <mergeCell ref="A13:B13"/>
    <mergeCell ref="A17:B17"/>
    <mergeCell ref="A29:B29"/>
    <mergeCell ref="A32:B32"/>
    <mergeCell ref="A2:G2"/>
    <mergeCell ref="C60:D60"/>
    <mergeCell ref="E60:F60"/>
    <mergeCell ref="C62:F62"/>
    <mergeCell ref="C66:F66"/>
    <mergeCell ref="C56:D56"/>
    <mergeCell ref="E56:F56"/>
    <mergeCell ref="C57:D57"/>
    <mergeCell ref="E57:F57"/>
    <mergeCell ref="C59:D59"/>
    <mergeCell ref="E59:F59"/>
    <mergeCell ref="C58:D58"/>
    <mergeCell ref="E58:F58"/>
    <mergeCell ref="C53:D53"/>
    <mergeCell ref="E53:F53"/>
    <mergeCell ref="C54:D54"/>
    <mergeCell ref="G14:G16"/>
    <mergeCell ref="E54:F54"/>
    <mergeCell ref="C55:D55"/>
    <mergeCell ref="E55:F55"/>
    <mergeCell ref="C49:D49"/>
    <mergeCell ref="E49:F49"/>
    <mergeCell ref="C50:D50"/>
    <mergeCell ref="E50:F50"/>
    <mergeCell ref="C51:D51"/>
    <mergeCell ref="E51:F51"/>
    <mergeCell ref="C52:D52"/>
    <mergeCell ref="E52:F52"/>
    <mergeCell ref="C46:D46"/>
    <mergeCell ref="E46:F46"/>
    <mergeCell ref="C47:D47"/>
    <mergeCell ref="E47:F47"/>
    <mergeCell ref="C48:D48"/>
    <mergeCell ref="E48:F48"/>
    <mergeCell ref="E41:F41"/>
    <mergeCell ref="C42:D42"/>
    <mergeCell ref="E42:F42"/>
    <mergeCell ref="C43:D43"/>
    <mergeCell ref="E43:F43"/>
    <mergeCell ref="C44:D44"/>
    <mergeCell ref="E45:F45"/>
    <mergeCell ref="E6:F6"/>
    <mergeCell ref="E7:F7"/>
    <mergeCell ref="E8:F8"/>
    <mergeCell ref="E10:F10"/>
    <mergeCell ref="E21:F21"/>
    <mergeCell ref="E28:F28"/>
    <mergeCell ref="E11:F11"/>
    <mergeCell ref="E13:F13"/>
    <mergeCell ref="E17:F17"/>
    <mergeCell ref="E14:F16"/>
    <mergeCell ref="E26:F26"/>
    <mergeCell ref="E27:F27"/>
    <mergeCell ref="E9:F9"/>
    <mergeCell ref="E22:F22"/>
    <mergeCell ref="E23:F23"/>
    <mergeCell ref="E24:F24"/>
    <mergeCell ref="E20:F20"/>
    <mergeCell ref="E12:F12"/>
    <mergeCell ref="E18:F18"/>
    <mergeCell ref="E19:F19"/>
    <mergeCell ref="E25:F25"/>
    <mergeCell ref="C6:D6"/>
    <mergeCell ref="C7:D7"/>
    <mergeCell ref="C8:D8"/>
    <mergeCell ref="C9:D9"/>
    <mergeCell ref="C10:D10"/>
    <mergeCell ref="C11:D11"/>
    <mergeCell ref="C13:D13"/>
    <mergeCell ref="C17:D17"/>
    <mergeCell ref="C29:D29"/>
    <mergeCell ref="C26:D26"/>
    <mergeCell ref="C27:D27"/>
    <mergeCell ref="C22:D22"/>
    <mergeCell ref="C23:D23"/>
    <mergeCell ref="C24:D24"/>
    <mergeCell ref="C18:D18"/>
    <mergeCell ref="C19:D19"/>
    <mergeCell ref="C14:D16"/>
    <mergeCell ref="C21:D21"/>
    <mergeCell ref="C25:D25"/>
    <mergeCell ref="A38:B38"/>
    <mergeCell ref="C45:D45"/>
    <mergeCell ref="C31:D31"/>
    <mergeCell ref="C36:D36"/>
    <mergeCell ref="C41:D41"/>
    <mergeCell ref="C30:D30"/>
    <mergeCell ref="E30:F30"/>
    <mergeCell ref="E29:F29"/>
    <mergeCell ref="E36:F36"/>
    <mergeCell ref="E37:F37"/>
    <mergeCell ref="C39:D39"/>
    <mergeCell ref="E39:F39"/>
    <mergeCell ref="C40:D40"/>
    <mergeCell ref="E40:F40"/>
    <mergeCell ref="E31:F31"/>
    <mergeCell ref="C33:D33"/>
    <mergeCell ref="E33:F33"/>
    <mergeCell ref="C34:D34"/>
    <mergeCell ref="E34:F34"/>
    <mergeCell ref="C35:D35"/>
    <mergeCell ref="E35:F35"/>
    <mergeCell ref="E32:F32"/>
    <mergeCell ref="C37:D37"/>
    <mergeCell ref="E44:F44"/>
    <mergeCell ref="B64:B65"/>
    <mergeCell ref="C65:D65"/>
    <mergeCell ref="C64:D64"/>
    <mergeCell ref="C63:F63"/>
    <mergeCell ref="A4:G4"/>
    <mergeCell ref="A3:G3"/>
    <mergeCell ref="C61:G61"/>
    <mergeCell ref="C68:G68"/>
    <mergeCell ref="E64:F64"/>
    <mergeCell ref="E65:F65"/>
    <mergeCell ref="A7:B7"/>
    <mergeCell ref="C12:D12"/>
    <mergeCell ref="C20:D20"/>
    <mergeCell ref="A45:B45"/>
    <mergeCell ref="A52:B52"/>
    <mergeCell ref="A58:B58"/>
    <mergeCell ref="C32:D32"/>
    <mergeCell ref="E38:F38"/>
    <mergeCell ref="C38:D38"/>
    <mergeCell ref="C28:D28"/>
    <mergeCell ref="A8:B8"/>
    <mergeCell ref="A10:B10"/>
    <mergeCell ref="A21:B21"/>
    <mergeCell ref="A28:B28"/>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55:L55"/>
    <mergeCell ref="K56:L56"/>
    <mergeCell ref="K57:L57"/>
    <mergeCell ref="K58:L58"/>
    <mergeCell ref="K59:L59"/>
    <mergeCell ref="K60:L60"/>
    <mergeCell ref="M62:N62"/>
    <mergeCell ref="K44:L44"/>
    <mergeCell ref="K45:L45"/>
    <mergeCell ref="K46:L46"/>
    <mergeCell ref="K47:L47"/>
    <mergeCell ref="K48:L48"/>
    <mergeCell ref="K49:L49"/>
    <mergeCell ref="K50:L50"/>
    <mergeCell ref="K51:L51"/>
    <mergeCell ref="K52:L52"/>
    <mergeCell ref="K61:L61"/>
    <mergeCell ref="M61:N61"/>
    <mergeCell ref="K64:L64"/>
    <mergeCell ref="K65:L65"/>
    <mergeCell ref="K62:L62"/>
    <mergeCell ref="K63:L63"/>
    <mergeCell ref="K66:L66"/>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K53:L53"/>
    <mergeCell ref="K54:L5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63:N63"/>
    <mergeCell ref="M64:N64"/>
    <mergeCell ref="M65:N65"/>
    <mergeCell ref="M66:N66"/>
    <mergeCell ref="M52:N52"/>
    <mergeCell ref="M53:N53"/>
    <mergeCell ref="M54:N54"/>
    <mergeCell ref="M55:N55"/>
    <mergeCell ref="M56:N56"/>
    <mergeCell ref="M57:N57"/>
    <mergeCell ref="M58:N58"/>
    <mergeCell ref="M59:N59"/>
    <mergeCell ref="M60:N60"/>
  </mergeCells>
  <dataValidations count="16">
    <dataValidation type="decimal" allowBlank="1" showErrorMessage="1" error="Please enter 0.5 or 1 or 1.5 or 2." prompt="Please Enter 0 or 1 or 1.5 or 2." sqref="K53:N53 K50:N51 K59:N59" xr:uid="{00000000-0002-0000-0700-000000000000}">
      <formula1>0</formula1>
      <formula2>2</formula2>
    </dataValidation>
    <dataValidation type="list" allowBlank="1" showInputMessage="1" showErrorMessage="1" sqref="K34:N34 K20 M20 K48:N48" xr:uid="{00000000-0002-0000-0700-000001000000}">
      <formula1>"Y,N"</formula1>
    </dataValidation>
    <dataValidation type="decimal" allowBlank="1" showInputMessage="1" showErrorMessage="1" sqref="K9:N9" xr:uid="{00000000-0002-0000-0700-000002000000}">
      <formula1>0</formula1>
      <formula2>7</formula2>
    </dataValidation>
    <dataValidation type="decimal" allowBlank="1" showInputMessage="1" showErrorMessage="1" sqref="K46:N46 K12:N12 K27:N27 K49:N49" xr:uid="{00000000-0002-0000-0700-000003000000}">
      <formula1>0</formula1>
      <formula2>1.5</formula2>
    </dataValidation>
    <dataValidation type="decimal" allowBlank="1" showInputMessage="1" showErrorMessage="1" sqref="K26:N26 K33:N33 K14 M14 E14 K56:N56 K24:N24" xr:uid="{00000000-0002-0000-0700-000004000000}">
      <formula1>0</formula1>
      <formula2>4</formula2>
    </dataValidation>
    <dataValidation type="decimal" allowBlank="1" showInputMessage="1" showErrorMessage="1" sqref="K18:N19 K41:N41 K55:N55 K57:N57" xr:uid="{00000000-0002-0000-0700-000005000000}">
      <formula1>0</formula1>
      <formula2>3</formula2>
    </dataValidation>
    <dataValidation type="decimal" allowBlank="1" showInputMessage="1" showErrorMessage="1" sqref="K22:N22" xr:uid="{00000000-0002-0000-0700-000006000000}">
      <formula1>0</formula1>
      <formula2>2.5</formula2>
    </dataValidation>
    <dataValidation type="decimal" allowBlank="1" showInputMessage="1" showErrorMessage="1" sqref="K23:N23 K31:N31 K37:N37 K42:N42 K54:N54" xr:uid="{00000000-0002-0000-0700-000007000000}">
      <formula1>0</formula1>
      <formula2>1</formula2>
    </dataValidation>
    <dataValidation type="decimal" allowBlank="1" showInputMessage="1" showErrorMessage="1" sqref="K25:N25" xr:uid="{00000000-0002-0000-0700-000008000000}">
      <formula1>0</formula1>
      <formula2>8</formula2>
    </dataValidation>
    <dataValidation type="decimal" allowBlank="1" showInputMessage="1" showErrorMessage="1" sqref="K29:N30" xr:uid="{00000000-0002-0000-0700-000009000000}">
      <formula1>0</formula1>
      <formula2>9.5</formula2>
    </dataValidation>
    <dataValidation type="decimal" allowBlank="1" showInputMessage="1" showErrorMessage="1" sqref="K35:N36 K39:N40 K43:N43" xr:uid="{00000000-0002-0000-0700-00000A000000}">
      <formula1>0</formula1>
      <formula2>2</formula2>
    </dataValidation>
    <dataValidation type="decimal" allowBlank="1" showInputMessage="1" showErrorMessage="1" sqref="K44:N44" xr:uid="{00000000-0002-0000-0700-00000B000000}">
      <formula1>0</formula1>
      <formula2>0.5</formula2>
    </dataValidation>
    <dataValidation type="decimal" allowBlank="1" showInputMessage="1" showErrorMessage="1" sqref="K47:N47" xr:uid="{00000000-0002-0000-0700-00000C000000}">
      <formula1>0</formula1>
      <formula2>3.5</formula2>
    </dataValidation>
    <dataValidation type="decimal" allowBlank="1" showErrorMessage="1" error="Please enter 0.5 or 1 or 1.5 or 2." prompt="Please Enter 0 or 1 or 1.5 or 2." sqref="K60:N60" xr:uid="{00000000-0002-0000-0700-00000D000000}">
      <formula1>0</formula1>
      <formula2>2.5</formula2>
    </dataValidation>
    <dataValidation type="decimal" allowBlank="1" showInputMessage="1" showErrorMessage="1" sqref="G9 G14:G16 G12 G53:G57 G18:G19 G22:G27 G30:G31 G33 G35:G37 G39:G44 G46:G47 G49:G51 G59:G60" xr:uid="{00000000-0002-0000-0700-00000E000000}">
      <formula1>0</formula1>
      <formula2>C9</formula2>
    </dataValidation>
    <dataValidation type="whole" allowBlank="1" showInputMessage="1" showErrorMessage="1" sqref="G66" xr:uid="{00000000-0002-0000-0700-00000F000000}">
      <formula1>0</formula1>
      <formula2>52</formula2>
    </dataValidation>
  </dataValidations>
  <pageMargins left="0.7" right="0.7" top="0.75" bottom="0.75" header="0.3" footer="0.3"/>
  <pageSetup paperSize="9" scale="51" orientation="portrait" r:id="rId1"/>
  <ignoredErrors>
    <ignoredError sqref="G11 G8" unlockedFormula="1"/>
  </ignoredError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152400</xdr:rowOff>
              </from>
              <to>
                <xdr:col>1</xdr:col>
                <xdr:colOff>336550</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3ED71-65C3-4326-91DD-867839785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3967C-E27A-4AFC-9A93-255253FA2C58}">
  <ds:schemaRefs>
    <ds:schemaRef ds:uri="http://purl.org/dc/elements/1.1/"/>
    <ds:schemaRef ds:uri="http://www.w3.org/XML/1998/namespace"/>
    <ds:schemaRef ds:uri="http://purl.org/dc/dcmitype/"/>
    <ds:schemaRef ds:uri="http://schemas.microsoft.com/office/2006/metadata/properties"/>
    <ds:schemaRef ds:uri="0b3cb28a-1a54-47b8-ac26-0dd7a10a3d05"/>
    <ds:schemaRef ds:uri="http://schemas.openxmlformats.org/package/2006/metadata/core-properties"/>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6F039AFC-2474-445D-82FD-F98A51AD9A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Yu Xuan TAN (BCA)</cp:lastModifiedBy>
  <cp:revision/>
  <dcterms:created xsi:type="dcterms:W3CDTF">2021-09-01T03:12:41Z</dcterms:created>
  <dcterms:modified xsi:type="dcterms:W3CDTF">2023-03-09T10:23:29Z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2021-11-10T10:19:29Z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