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HCP_BACKUP\MIDAS\MiDAS Badge\0. 27 Aug Submission for GM2021\20211026 submission\RB\"/>
    </mc:Choice>
  </mc:AlternateContent>
  <xr:revisionPtr revIDLastSave="0" documentId="13_ncr:1_{89F03301-8EDD-4EBC-AFC4-72311E427AF9}" xr6:coauthVersionLast="45" xr6:coauthVersionMax="45" xr10:uidLastSave="{00000000-0000-0000-0000-000000000000}"/>
  <bookViews>
    <workbookView xWindow="-120" yWindow="-120" windowWidth="29040" windowHeight="15840" tabRatio="713" xr2:uid="{B61F0B1C-5D58-441B-9497-6A249D5DD688}"/>
  </bookViews>
  <sheets>
    <sheet name="Maintainability Score Summary" sheetId="6" r:id="rId1"/>
    <sheet name="Pre-Reqs" sheetId="14" r:id="rId2"/>
    <sheet name="0. General" sheetId="9" r:id="rId3"/>
    <sheet name="1. Arch Ext" sheetId="8" r:id="rId4"/>
    <sheet name="2. Arch Int" sheetId="7" r:id="rId5"/>
    <sheet name="3. Mech" sheetId="1" r:id="rId6"/>
    <sheet name="4. Elect" sheetId="3" r:id="rId7"/>
    <sheet name="5. Landscape" sheetId="10" r:id="rId8"/>
    <sheet name="6. Facilities" sheetId="13" r:id="rId9"/>
    <sheet name="7. Smart FM" sheetId="11" r:id="rId10"/>
  </sheets>
  <externalReferences>
    <externalReference r:id="rId11"/>
    <externalReference r:id="rId12"/>
  </externalReferences>
  <definedNames>
    <definedName name="_Hlk46226743" localSheetId="8">'6. Facilities'!$B$12</definedName>
    <definedName name="_Hlk46226849" localSheetId="8">'6. Facilities'!$B$13</definedName>
    <definedName name="_Hlk46226920" localSheetId="8">'6. Facilities'!$B$14</definedName>
    <definedName name="Aircon_Ticks">'[1]Raw Data'!$D$7:$D$9</definedName>
    <definedName name="CoolingLoad">'[2]Building Data schedule'!$G$36:$H$46</definedName>
    <definedName name="_xlnm.Print_Area" localSheetId="2">'0. General'!$A$1:$K$17</definedName>
    <definedName name="_xlnm.Print_Area" localSheetId="0">'Maintainability Score Summary'!$A$1:$N$43</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6" l="1"/>
  <c r="I52" i="6"/>
  <c r="I51" i="6"/>
  <c r="I50" i="6"/>
  <c r="I49" i="6"/>
  <c r="I48" i="6"/>
  <c r="I47" i="6"/>
  <c r="I46" i="6"/>
  <c r="M16" i="6"/>
  <c r="M14" i="6"/>
  <c r="M12" i="6"/>
  <c r="M11" i="6"/>
  <c r="M10" i="6"/>
  <c r="M8" i="6"/>
  <c r="M7" i="6"/>
  <c r="F40" i="6"/>
  <c r="F39" i="6"/>
  <c r="F38" i="6"/>
  <c r="F37" i="6"/>
  <c r="F36" i="6"/>
  <c r="F33" i="6"/>
  <c r="F32" i="6"/>
  <c r="F31" i="6"/>
  <c r="F29" i="6"/>
  <c r="F27" i="6"/>
  <c r="F25" i="6"/>
  <c r="F24" i="6"/>
  <c r="F23" i="6"/>
  <c r="F22" i="6"/>
  <c r="F21" i="6"/>
  <c r="F18" i="6"/>
  <c r="F17" i="6"/>
  <c r="F16" i="6"/>
  <c r="F12" i="6"/>
  <c r="F10" i="6"/>
  <c r="F7" i="6"/>
  <c r="L16" i="6" l="1"/>
  <c r="L14" i="6"/>
  <c r="L12" i="6"/>
  <c r="L11" i="6"/>
  <c r="L10" i="6"/>
  <c r="L8" i="6"/>
  <c r="L7" i="6"/>
  <c r="E40" i="6"/>
  <c r="E39" i="6"/>
  <c r="E38" i="6"/>
  <c r="E37" i="6"/>
  <c r="E36" i="6"/>
  <c r="E33" i="6"/>
  <c r="E32" i="6"/>
  <c r="E31" i="6"/>
  <c r="E29" i="6"/>
  <c r="E27" i="6"/>
  <c r="E25" i="6"/>
  <c r="E24" i="6"/>
  <c r="E23" i="6"/>
  <c r="E22" i="6"/>
  <c r="E21" i="6"/>
  <c r="E18" i="6"/>
  <c r="E17" i="6"/>
  <c r="E16" i="6"/>
  <c r="E12" i="6"/>
  <c r="E11" i="6"/>
  <c r="E10" i="6"/>
  <c r="E9" i="6"/>
  <c r="E7" i="6"/>
  <c r="E15" i="6" l="1"/>
  <c r="E43" i="7"/>
  <c r="E75" i="8"/>
  <c r="E62" i="8"/>
  <c r="E36" i="7" l="1"/>
  <c r="E35" i="10" l="1"/>
  <c r="E27" i="3"/>
  <c r="E20" i="3"/>
  <c r="E16" i="3"/>
  <c r="E51" i="8"/>
  <c r="E7" i="10"/>
  <c r="E21" i="10"/>
  <c r="E61" i="10" l="1"/>
  <c r="F63" i="8" l="1"/>
  <c r="H64" i="10" l="1"/>
  <c r="H63" i="10"/>
  <c r="H62" i="10"/>
  <c r="F39" i="10"/>
  <c r="H23" i="10"/>
  <c r="H22" i="10"/>
  <c r="H10" i="10"/>
  <c r="H9" i="10"/>
  <c r="F28" i="3"/>
  <c r="F22" i="3"/>
  <c r="F17" i="3"/>
  <c r="H67" i="7"/>
  <c r="H66" i="7"/>
  <c r="H46" i="7"/>
  <c r="H45" i="7"/>
  <c r="H39" i="7"/>
  <c r="H38" i="7"/>
  <c r="H37" i="7"/>
  <c r="H29" i="7"/>
  <c r="H28" i="7"/>
  <c r="H24" i="7"/>
  <c r="H18" i="7"/>
  <c r="H17" i="7"/>
  <c r="F12" i="7"/>
  <c r="F8" i="7"/>
  <c r="H77" i="8"/>
  <c r="H63" i="8"/>
  <c r="H53" i="8"/>
  <c r="H52" i="8"/>
  <c r="F52" i="1" l="1"/>
  <c r="F51" i="1"/>
  <c r="F50" i="1"/>
  <c r="G56" i="10"/>
  <c r="F58" i="10"/>
  <c r="F57" i="10"/>
  <c r="F84" i="8" l="1"/>
  <c r="F90" i="8"/>
  <c r="E36" i="14" l="1"/>
  <c r="D36" i="14"/>
  <c r="C36" i="14"/>
  <c r="E21" i="14"/>
  <c r="D21" i="14"/>
  <c r="C21" i="14"/>
  <c r="E20" i="14"/>
  <c r="D20" i="14"/>
  <c r="C20" i="14"/>
  <c r="E19" i="14"/>
  <c r="D19" i="14"/>
  <c r="C19" i="14"/>
  <c r="E18" i="14"/>
  <c r="E17" i="14"/>
  <c r="D18" i="14"/>
  <c r="D17" i="14"/>
  <c r="C18" i="14"/>
  <c r="C17" i="14"/>
  <c r="E16" i="14"/>
  <c r="E15" i="14"/>
  <c r="D16" i="14"/>
  <c r="D15" i="14"/>
  <c r="C16" i="14"/>
  <c r="C15" i="14"/>
  <c r="E14" i="14"/>
  <c r="D14" i="14"/>
  <c r="C14" i="14"/>
  <c r="E13" i="14"/>
  <c r="D13" i="14"/>
  <c r="C13" i="14"/>
  <c r="D12" i="14"/>
  <c r="E12" i="14"/>
  <c r="E11" i="14"/>
  <c r="D11" i="14"/>
  <c r="C12" i="14"/>
  <c r="C11" i="14"/>
  <c r="E47" i="14"/>
  <c r="D47" i="14"/>
  <c r="C47" i="14"/>
  <c r="D46" i="14"/>
  <c r="C46" i="14"/>
  <c r="D45" i="14"/>
  <c r="D44" i="14"/>
  <c r="C44" i="14"/>
  <c r="D43" i="14"/>
  <c r="C43" i="14"/>
  <c r="D42" i="14"/>
  <c r="C42" i="14"/>
  <c r="E41" i="14"/>
  <c r="D41" i="14"/>
  <c r="C41" i="14"/>
  <c r="E40" i="14"/>
  <c r="D40" i="14"/>
  <c r="C40" i="14"/>
  <c r="E39" i="14"/>
  <c r="D39" i="14"/>
  <c r="C39" i="14"/>
  <c r="E38" i="14"/>
  <c r="D38" i="14"/>
  <c r="C38" i="14"/>
  <c r="E37" i="14"/>
  <c r="D37" i="14"/>
  <c r="C37" i="14"/>
  <c r="E35" i="14"/>
  <c r="D35" i="14"/>
  <c r="C35" i="14"/>
  <c r="E34" i="14"/>
  <c r="D34" i="14"/>
  <c r="C34" i="14"/>
  <c r="E33" i="14"/>
  <c r="D33" i="14"/>
  <c r="C33" i="14"/>
  <c r="E32" i="14"/>
  <c r="D32" i="14"/>
  <c r="E31" i="14"/>
  <c r="D31" i="14"/>
  <c r="E30" i="14"/>
  <c r="D30" i="14"/>
  <c r="C30" i="14"/>
  <c r="C31" i="14" s="1"/>
  <c r="C32" i="14" s="1"/>
  <c r="E29" i="14"/>
  <c r="D29" i="14"/>
  <c r="C29" i="14"/>
  <c r="E28" i="14"/>
  <c r="D28" i="14"/>
  <c r="C28" i="14"/>
  <c r="E27" i="14"/>
  <c r="D27" i="14"/>
  <c r="C27" i="14"/>
  <c r="E26" i="14"/>
  <c r="D26" i="14"/>
  <c r="C26" i="14"/>
  <c r="E25" i="14"/>
  <c r="D25" i="14"/>
  <c r="C25" i="14"/>
  <c r="E24" i="14"/>
  <c r="D24" i="14"/>
  <c r="C24" i="14"/>
  <c r="E23" i="14"/>
  <c r="D23" i="14"/>
  <c r="E22" i="14"/>
  <c r="D22" i="14"/>
  <c r="C22" i="14"/>
  <c r="C23" i="14" s="1"/>
  <c r="E10" i="14"/>
  <c r="D10" i="14"/>
  <c r="C10" i="14"/>
  <c r="E9" i="14"/>
  <c r="D9" i="14"/>
  <c r="C9" i="14"/>
  <c r="E8" i="14"/>
  <c r="D8" i="14"/>
  <c r="C8" i="14"/>
  <c r="E7" i="14"/>
  <c r="D7" i="14"/>
  <c r="C7" i="14"/>
  <c r="E6" i="14"/>
  <c r="D6" i="14"/>
  <c r="C6" i="14"/>
  <c r="E5" i="14"/>
  <c r="D5" i="14"/>
  <c r="C5" i="14"/>
  <c r="E4" i="14"/>
  <c r="D4" i="14"/>
  <c r="C4" i="14"/>
  <c r="C3" i="14"/>
  <c r="D3" i="14"/>
  <c r="C45" i="14"/>
  <c r="H18" i="10" l="1"/>
  <c r="H25" i="8" l="1"/>
  <c r="I9" i="10" l="1"/>
  <c r="G65" i="1"/>
  <c r="I24" i="7"/>
  <c r="I45" i="7"/>
  <c r="I55" i="7" l="1"/>
  <c r="F16" i="1" l="1"/>
  <c r="F17" i="1" s="1"/>
  <c r="J13" i="1"/>
  <c r="I50" i="10" l="1"/>
  <c r="I57" i="3" l="1"/>
  <c r="I52" i="3"/>
  <c r="I35" i="1" l="1"/>
  <c r="I62" i="7" l="1"/>
  <c r="I58" i="7"/>
  <c r="I57" i="7"/>
  <c r="I56" i="7"/>
  <c r="I51" i="7"/>
  <c r="I50" i="7"/>
  <c r="I66" i="7"/>
  <c r="I14" i="13" l="1"/>
  <c r="I13" i="13"/>
  <c r="I12" i="13"/>
  <c r="I69" i="1" l="1"/>
  <c r="F80" i="3" l="1"/>
  <c r="F62" i="10" l="1"/>
  <c r="I62" i="10"/>
  <c r="H58" i="10"/>
  <c r="H57" i="10"/>
  <c r="H27" i="10"/>
  <c r="H16" i="10"/>
  <c r="F16" i="10" s="1"/>
  <c r="I47" i="3" l="1"/>
  <c r="I76" i="1"/>
  <c r="I75" i="1"/>
  <c r="G43" i="1" l="1"/>
  <c r="F35" i="1"/>
  <c r="J105" i="8" l="1"/>
  <c r="J15" i="11" l="1"/>
  <c r="H9" i="11"/>
  <c r="H10" i="11"/>
  <c r="H8" i="11"/>
  <c r="F8" i="11" s="1"/>
  <c r="J19" i="13"/>
  <c r="J6" i="13"/>
  <c r="G19" i="13"/>
  <c r="F6" i="13"/>
  <c r="F18" i="13" s="1"/>
  <c r="J11" i="13"/>
  <c r="F14" i="13"/>
  <c r="F13" i="13"/>
  <c r="F12" i="13"/>
  <c r="F15" i="13" s="1"/>
  <c r="G8" i="13"/>
  <c r="J7" i="13"/>
  <c r="J66" i="10"/>
  <c r="F50" i="10"/>
  <c r="F51" i="10" s="1"/>
  <c r="F43" i="3"/>
  <c r="F39" i="3"/>
  <c r="J49" i="10"/>
  <c r="H17" i="10"/>
  <c r="I18" i="10"/>
  <c r="G82" i="3"/>
  <c r="F77" i="3"/>
  <c r="J70" i="3"/>
  <c r="F52" i="3"/>
  <c r="F47" i="3"/>
  <c r="F48" i="3" s="1"/>
  <c r="J46" i="3"/>
  <c r="F18" i="3"/>
  <c r="F9" i="13" l="1"/>
  <c r="F57" i="1"/>
  <c r="G81" i="1"/>
  <c r="J48" i="1"/>
  <c r="J33" i="1"/>
  <c r="F36" i="1"/>
  <c r="F33" i="1" s="1"/>
  <c r="F75" i="1"/>
  <c r="F76" i="1"/>
  <c r="G74" i="1"/>
  <c r="G56" i="1"/>
  <c r="G55" i="1"/>
  <c r="F25" i="1"/>
  <c r="F21" i="1"/>
  <c r="F22" i="1" s="1"/>
  <c r="F6" i="1" s="1"/>
  <c r="J6" i="1"/>
  <c r="J81" i="1" s="1"/>
  <c r="G20" i="1"/>
  <c r="G29" i="1"/>
  <c r="G28" i="1"/>
  <c r="G27" i="1"/>
  <c r="G15" i="1"/>
  <c r="G14" i="1"/>
  <c r="G10" i="1"/>
  <c r="G9" i="1"/>
  <c r="F77" i="1" l="1"/>
  <c r="F72" i="1" s="1"/>
  <c r="J49" i="7"/>
  <c r="F51" i="7"/>
  <c r="F50" i="7"/>
  <c r="F45" i="7" l="1"/>
  <c r="F52" i="7"/>
  <c r="F89" i="8"/>
  <c r="J82" i="8"/>
  <c r="J75" i="8"/>
  <c r="G83" i="8"/>
  <c r="F85" i="8"/>
  <c r="F77" i="8"/>
  <c r="F14" i="8"/>
  <c r="J6" i="9"/>
  <c r="M13" i="6"/>
  <c r="L13" i="6"/>
  <c r="E26" i="6"/>
  <c r="F81" i="8" l="1"/>
  <c r="F52" i="8"/>
  <c r="F28" i="7"/>
  <c r="F30" i="7" s="1"/>
  <c r="F24" i="7"/>
  <c r="F27" i="10"/>
  <c r="F9" i="10"/>
  <c r="F17" i="10"/>
  <c r="F29" i="3"/>
  <c r="F24" i="3"/>
  <c r="F23" i="3"/>
  <c r="F11" i="10"/>
  <c r="F68" i="10" s="1"/>
  <c r="M19" i="6" s="1"/>
  <c r="E43" i="8"/>
  <c r="E33" i="8"/>
  <c r="E21" i="8"/>
  <c r="F22" i="10" l="1"/>
  <c r="F17" i="7"/>
  <c r="I73" i="7"/>
  <c r="I71" i="8"/>
  <c r="I67" i="8"/>
  <c r="I63" i="8"/>
  <c r="I45" i="10"/>
  <c r="I39" i="10"/>
  <c r="I27" i="10"/>
  <c r="I22" i="10"/>
  <c r="I16" i="10"/>
  <c r="I61" i="3"/>
  <c r="H48" i="8"/>
  <c r="F48" i="8" s="1"/>
  <c r="H47" i="8"/>
  <c r="F47" i="8" s="1"/>
  <c r="H40" i="8"/>
  <c r="H39" i="8"/>
  <c r="H38" i="8"/>
  <c r="H37" i="8"/>
  <c r="H36" i="8"/>
  <c r="H43" i="8"/>
  <c r="H33" i="8"/>
  <c r="H21" i="8"/>
  <c r="H44" i="8" l="1"/>
  <c r="H22" i="8"/>
  <c r="H34" i="8"/>
  <c r="F36" i="8" s="1"/>
  <c r="G68" i="10"/>
  <c r="F49" i="8"/>
  <c r="H73" i="7"/>
  <c r="H74" i="7"/>
  <c r="H75" i="7"/>
  <c r="H76" i="7"/>
  <c r="F25" i="7"/>
  <c r="F37" i="7"/>
  <c r="E22" i="7"/>
  <c r="E65" i="7"/>
  <c r="E27" i="7"/>
  <c r="E16" i="7"/>
  <c r="E7" i="7"/>
  <c r="E11" i="7"/>
  <c r="G8" i="10"/>
  <c r="E42" i="14" s="1"/>
  <c r="G33" i="3"/>
  <c r="H10" i="3"/>
  <c r="G76" i="8"/>
  <c r="F66" i="7" l="1"/>
  <c r="H28" i="8"/>
  <c r="H26" i="8"/>
  <c r="H27" i="8"/>
  <c r="H29" i="8"/>
  <c r="F25" i="8" l="1"/>
  <c r="F31" i="8" s="1"/>
  <c r="F21" i="8" s="1"/>
  <c r="G15" i="11" l="1"/>
  <c r="J7" i="11"/>
  <c r="J6" i="11" s="1"/>
  <c r="J44" i="10"/>
  <c r="J43" i="10" s="1"/>
  <c r="L19" i="6"/>
  <c r="F65" i="10"/>
  <c r="J55" i="10"/>
  <c r="E46" i="14"/>
  <c r="H46" i="10"/>
  <c r="H45" i="10"/>
  <c r="F40" i="10"/>
  <c r="F35" i="10" s="1"/>
  <c r="J36" i="10"/>
  <c r="J35" i="10" s="1"/>
  <c r="G38" i="10"/>
  <c r="E45" i="14" s="1"/>
  <c r="G37" i="10"/>
  <c r="E44" i="14" s="1"/>
  <c r="G32" i="10"/>
  <c r="E43" i="14" s="1"/>
  <c r="F28" i="10"/>
  <c r="J15" i="10"/>
  <c r="J7" i="10"/>
  <c r="J6" i="10" s="1"/>
  <c r="J61" i="10"/>
  <c r="F33" i="10"/>
  <c r="F30" i="10" s="1"/>
  <c r="J31" i="10"/>
  <c r="J30" i="10" s="1"/>
  <c r="J26" i="10"/>
  <c r="J21" i="10"/>
  <c r="E50" i="14" l="1"/>
  <c r="F11" i="11"/>
  <c r="J54" i="10"/>
  <c r="J14" i="10"/>
  <c r="J68" i="10" s="1"/>
  <c r="F45" i="10"/>
  <c r="F12" i="10"/>
  <c r="F6" i="10" s="1"/>
  <c r="F59" i="10"/>
  <c r="F54" i="10" s="1"/>
  <c r="F47" i="10"/>
  <c r="F43" i="10" s="1"/>
  <c r="F19" i="10"/>
  <c r="F24" i="10"/>
  <c r="G16" i="9"/>
  <c r="F12" i="9"/>
  <c r="F13" i="9" s="1"/>
  <c r="F10" i="9"/>
  <c r="J16" i="9"/>
  <c r="G9" i="9"/>
  <c r="E3" i="14" s="1"/>
  <c r="J7" i="9"/>
  <c r="F92" i="8"/>
  <c r="L18" i="6"/>
  <c r="D20" i="8"/>
  <c r="F20" i="8" s="1"/>
  <c r="J92" i="8"/>
  <c r="G95" i="8"/>
  <c r="J74" i="8"/>
  <c r="F78" i="8"/>
  <c r="J22" i="8"/>
  <c r="J21" i="8" s="1"/>
  <c r="F71" i="8"/>
  <c r="F72" i="8" s="1"/>
  <c r="F67" i="8"/>
  <c r="F68" i="8" s="1"/>
  <c r="F64" i="8"/>
  <c r="G59" i="8"/>
  <c r="J44" i="8"/>
  <c r="G46" i="8"/>
  <c r="G45" i="8"/>
  <c r="J34" i="8"/>
  <c r="J33" i="8" s="1"/>
  <c r="K33" i="8" s="1"/>
  <c r="F30" i="8"/>
  <c r="G23" i="8"/>
  <c r="G17" i="8"/>
  <c r="J12" i="8"/>
  <c r="J6" i="8" s="1"/>
  <c r="G8" i="8"/>
  <c r="G13" i="8"/>
  <c r="J7" i="8"/>
  <c r="F9" i="8"/>
  <c r="F10" i="8" s="1"/>
  <c r="G103" i="8"/>
  <c r="G99" i="8"/>
  <c r="G94" i="8"/>
  <c r="J70" i="8"/>
  <c r="J66" i="8"/>
  <c r="J62" i="8"/>
  <c r="G107" i="8"/>
  <c r="G58" i="8"/>
  <c r="J51" i="8"/>
  <c r="G35" i="8"/>
  <c r="F6" i="11" l="1"/>
  <c r="F107" i="8"/>
  <c r="M18" i="6" s="1"/>
  <c r="J56" i="8"/>
  <c r="J107" i="8" s="1"/>
  <c r="J43" i="8"/>
  <c r="N22" i="6"/>
  <c r="F56" i="8"/>
  <c r="F14" i="10"/>
  <c r="F41" i="8"/>
  <c r="F33" i="8" s="1"/>
  <c r="F6" i="9"/>
  <c r="F15" i="9" s="1"/>
  <c r="F6" i="6" s="1"/>
  <c r="F79" i="8"/>
  <c r="F74" i="8" s="1"/>
  <c r="F6" i="8"/>
  <c r="F54" i="8"/>
  <c r="G81" i="7"/>
  <c r="F73" i="7"/>
  <c r="G72" i="7"/>
  <c r="J43" i="7"/>
  <c r="J65" i="7"/>
  <c r="J61" i="7"/>
  <c r="F62" i="7"/>
  <c r="F63" i="7" s="1"/>
  <c r="J54" i="7"/>
  <c r="F58" i="7"/>
  <c r="F57" i="7"/>
  <c r="F56" i="7"/>
  <c r="F55" i="7"/>
  <c r="J42" i="7"/>
  <c r="F40" i="7"/>
  <c r="F21" i="7" s="1"/>
  <c r="J36" i="7"/>
  <c r="G33" i="7"/>
  <c r="J22" i="7"/>
  <c r="J27" i="7"/>
  <c r="G23" i="7"/>
  <c r="J16" i="7"/>
  <c r="J15" i="7" s="1"/>
  <c r="F13" i="7"/>
  <c r="F9" i="7"/>
  <c r="J7" i="7"/>
  <c r="J11" i="7"/>
  <c r="J6" i="7" s="1"/>
  <c r="J76" i="3"/>
  <c r="J66" i="3"/>
  <c r="J65" i="3" s="1"/>
  <c r="J60" i="3"/>
  <c r="J55" i="3"/>
  <c r="J51" i="3"/>
  <c r="J42" i="3"/>
  <c r="J38" i="3"/>
  <c r="J31" i="3" s="1"/>
  <c r="J27" i="3"/>
  <c r="J20" i="3"/>
  <c r="F25" i="3"/>
  <c r="J7" i="3"/>
  <c r="M15" i="6" l="1"/>
  <c r="F14" i="11"/>
  <c r="J81" i="7"/>
  <c r="F6" i="7"/>
  <c r="F15" i="6"/>
  <c r="F9" i="6"/>
  <c r="J50" i="3"/>
  <c r="J6" i="3"/>
  <c r="J86" i="3" s="1"/>
  <c r="F43" i="8"/>
  <c r="H20" i="8" s="1"/>
  <c r="F106" i="8" s="1"/>
  <c r="F67" i="10"/>
  <c r="G86" i="3"/>
  <c r="K24" i="6" s="1"/>
  <c r="F77" i="7"/>
  <c r="F70" i="7" s="1"/>
  <c r="F59" i="7"/>
  <c r="F68" i="7"/>
  <c r="F47" i="7"/>
  <c r="J21" i="7"/>
  <c r="F19" i="7"/>
  <c r="F15" i="7" s="1"/>
  <c r="F11" i="6" l="1"/>
  <c r="F8" i="6" s="1"/>
  <c r="F42" i="7"/>
  <c r="F20" i="6" l="1"/>
  <c r="F80" i="7"/>
  <c r="M6" i="6"/>
  <c r="L15" i="6"/>
  <c r="L6" i="6"/>
  <c r="E35" i="6"/>
  <c r="E20" i="6"/>
  <c r="E6" i="6"/>
  <c r="E8" i="6"/>
  <c r="K23" i="6" l="1"/>
  <c r="H4" i="6"/>
  <c r="F53" i="3" l="1"/>
  <c r="F83" i="3"/>
  <c r="F78" i="3"/>
  <c r="F70" i="3" s="1"/>
  <c r="G72" i="3"/>
  <c r="F67" i="3"/>
  <c r="F68" i="3" s="1"/>
  <c r="F65" i="3" s="1"/>
  <c r="F57" i="3"/>
  <c r="F58" i="3" s="1"/>
  <c r="F61" i="3"/>
  <c r="G56" i="3"/>
  <c r="F6" i="3"/>
  <c r="H9" i="3"/>
  <c r="G9" i="3" s="1"/>
  <c r="F40" i="3" l="1"/>
  <c r="F62" i="3"/>
  <c r="F50" i="3" s="1"/>
  <c r="F44" i="3"/>
  <c r="F73" i="3"/>
  <c r="F69" i="1"/>
  <c r="F70" i="1" s="1"/>
  <c r="F63" i="1" s="1"/>
  <c r="F60" i="1"/>
  <c r="F61" i="1" s="1"/>
  <c r="F31" i="3" l="1"/>
  <c r="G45" i="1"/>
  <c r="G41" i="1"/>
  <c r="F35" i="6" l="1"/>
  <c r="F85" i="3"/>
  <c r="F48" i="1"/>
  <c r="F80" i="1" l="1"/>
  <c r="F26" i="6"/>
  <c r="K22" i="6" s="1"/>
  <c r="K25" i="6" s="1"/>
  <c r="M25" i="6" s="1"/>
  <c r="M31" i="6" l="1"/>
  <c r="M30" i="6"/>
  <c r="M32" i="6" l="1"/>
</calcChain>
</file>

<file path=xl/sharedStrings.xml><?xml version="1.0" encoding="utf-8"?>
<sst xmlns="http://schemas.openxmlformats.org/spreadsheetml/2006/main" count="1016" uniqueCount="504">
  <si>
    <t>3.1.1</t>
  </si>
  <si>
    <t>Points Scored</t>
  </si>
  <si>
    <t>Max Points</t>
  </si>
  <si>
    <t>a.</t>
  </si>
  <si>
    <t>OR</t>
  </si>
  <si>
    <t>Pre-req</t>
  </si>
  <si>
    <t>b.</t>
  </si>
  <si>
    <t>c.</t>
  </si>
  <si>
    <t>3.1.2</t>
  </si>
  <si>
    <t>Sub-total (3.1.1)</t>
  </si>
  <si>
    <t>d.</t>
  </si>
  <si>
    <t>e.</t>
  </si>
  <si>
    <t>Sub-total (3.1.2)</t>
  </si>
  <si>
    <t>3.1.3</t>
  </si>
  <si>
    <t xml:space="preserve">b. </t>
  </si>
  <si>
    <t>Y/N</t>
  </si>
  <si>
    <t>Sub-total (3.1.3)</t>
  </si>
  <si>
    <t>Working column</t>
  </si>
  <si>
    <t>3.2.1</t>
  </si>
  <si>
    <t xml:space="preserve">Access to VRF outdoor units </t>
  </si>
  <si>
    <t xml:space="preserve">For single VRF outdoor unit installation:
Note: Provide access space as specified in the Technical Reference. </t>
  </si>
  <si>
    <t xml:space="preserve">For collective VRF outdoor unit installation:
Note: Provide access space as specified in the Technical Reference. </t>
  </si>
  <si>
    <t xml:space="preserve">For floor-by-floor VRF outdoor unit installation:
Note: Provide access space as specified in the Technical Reference. </t>
  </si>
  <si>
    <t>Sub-total (3.2.1)</t>
  </si>
  <si>
    <t>Sub-total</t>
  </si>
  <si>
    <t>3.3.1</t>
  </si>
  <si>
    <t>Sub-total (3.3.1)</t>
  </si>
  <si>
    <t>Domestic Water Supply</t>
  </si>
  <si>
    <t>3.4.1</t>
  </si>
  <si>
    <t xml:space="preserve">Access space for maintenance of water tank </t>
  </si>
  <si>
    <t>Provide minimum clear width of 1.2 m access walkway to water tank from the nearest entrance.</t>
  </si>
  <si>
    <t xml:space="preserve">Provide minimum access space to the water tank for regular maintenance. </t>
  </si>
  <si>
    <t>i.For panel tank (FRP/Stainless steel), provide minimum600 mm clear space around the tank.</t>
  </si>
  <si>
    <t>ii. For RC tank, provide minimum 600 mm clear access to the front for direct access.</t>
  </si>
  <si>
    <t>Provide minimum 1m clear headroom above the water tank (applicable to water tank with top access)</t>
  </si>
  <si>
    <t>Sub-total (3.4.1)</t>
  </si>
  <si>
    <t>Sanitary Systems</t>
  </si>
  <si>
    <t>3.5.1</t>
  </si>
  <si>
    <t xml:space="preserve">Access provision and design detailing for sanitary pipes for ease of 	maintenance </t>
  </si>
  <si>
    <t xml:space="preserve">Provide cleaning eyes with viewing panel for better maintenance. </t>
  </si>
  <si>
    <t>Sub-total (3.5.1)</t>
  </si>
  <si>
    <t>3.5.2</t>
  </si>
  <si>
    <t xml:space="preserve">Reduce risk of chokes in the sanitary pipe </t>
  </si>
  <si>
    <t xml:space="preserve">Provide at least 75% of the risers with continuous vertical run without any offsets to reduce the additional bends/joints. Note: Above requirement is applicable only to all typical floors in building  </t>
  </si>
  <si>
    <t>Sub-total (3.5.2)</t>
  </si>
  <si>
    <t>Fire Protection Systems</t>
  </si>
  <si>
    <t>3.6.1</t>
  </si>
  <si>
    <t xml:space="preserve">Access to fire detectors at height </t>
  </si>
  <si>
    <t>Sub-total (3.6.1)</t>
  </si>
  <si>
    <t>3.6.2</t>
  </si>
  <si>
    <t>Sub-total (3.6.2)</t>
  </si>
  <si>
    <t xml:space="preserve">Reduce risk of damage and periodic replacement of fire-rated boards due to exposure to high humidity and water </t>
  </si>
  <si>
    <t xml:space="preserve">Specify the use of weatherproof fire-rated materials for services such as kitchen exhaust ducts, wet/dry riser pipes etc. </t>
  </si>
  <si>
    <t>3.7.1</t>
  </si>
  <si>
    <t>Sub-total (3.7.1)</t>
  </si>
  <si>
    <t>Pre-req compliance</t>
  </si>
  <si>
    <t>Y/N/NA</t>
  </si>
  <si>
    <t>Lighting Systems</t>
  </si>
  <si>
    <t>4.1.1</t>
  </si>
  <si>
    <t xml:space="preserve">Provide access to the light fixtures mounted at heights (i.e. atrium, lobby space). </t>
  </si>
  <si>
    <t>i) Provide alternative means of access (e.g. access from mezzanine floor, maintenance platform) without having to access from the atrium floor.</t>
  </si>
  <si>
    <t>AND/ OR</t>
  </si>
  <si>
    <t xml:space="preserve">ii) Provide clear access route for Mobile Elevated Work Platforms (MEWP) to reach the lobby, atrium space from the nearest door entrance. </t>
  </si>
  <si>
    <t>-  Provide clear access with entrance door/ opening of 2 m width x 2.8 m height and working base of 2m width x 2m length if the mounting height is more than 10.5m</t>
  </si>
  <si>
    <t>- Provide clear access with entrance door/ opening of 1.8 m width x 2.4 m height and working base of 1.8 m width x 2 m length if the mounting height is less than or equal to 10.5 m.</t>
  </si>
  <si>
    <t>iii) Provide pulley system or equivalent system for light fixtures installed at high lobby or atrium space to allow lowering for maintenance/ replacement.</t>
  </si>
  <si>
    <t xml:space="preserve">Use reliable light fixtures such as LED light (LM80 B30 L70@ L50,000) which requires less maintenance. </t>
  </si>
  <si>
    <t>Sub-total (4.1.1)</t>
  </si>
  <si>
    <t>4.1.2</t>
  </si>
  <si>
    <t xml:space="preserve">Reduce risk of light flickering </t>
  </si>
  <si>
    <t>Specify constant DC output type LED driver complying with the following IEC standards to minimise flickering:</t>
  </si>
  <si>
    <t>i) IEC 62384.</t>
  </si>
  <si>
    <t>ii) IEC 61347 Part 1 and Part 2-13.</t>
  </si>
  <si>
    <t>For non-LED light fixtures, use electronic ballast to cut off power supply to mitigate flickering due to lamp failure.</t>
  </si>
  <si>
    <t>Sub-total (4.1.2)</t>
  </si>
  <si>
    <t>4.1.3</t>
  </si>
  <si>
    <t xml:space="preserve">Reduce risk of LED light colour shift </t>
  </si>
  <si>
    <t>Sub-total (4.1.3)</t>
  </si>
  <si>
    <t>Power Distribution</t>
  </si>
  <si>
    <t>4.2.1</t>
  </si>
  <si>
    <t xml:space="preserve">Electrical room shall be raised by minimum 100 mm against the outside passageway. </t>
  </si>
  <si>
    <t xml:space="preserve">Provide minimum 100 mm plinth for floor mounted electrical switchboard.  </t>
  </si>
  <si>
    <t>Reduce risk of water Ingress into electrical room</t>
  </si>
  <si>
    <t>Sub-total (4.2.1)</t>
  </si>
  <si>
    <t>4.2.2</t>
  </si>
  <si>
    <t xml:space="preserve">Reduce risk of unnoticed failure of surge arrestor located in the LT main switchboard </t>
  </si>
  <si>
    <t>Sub-total (4.2.2)</t>
  </si>
  <si>
    <t xml:space="preserve">Use of surge arrestor with discharge indicator. </t>
  </si>
  <si>
    <t>4.2.3</t>
  </si>
  <si>
    <t>Sub-total (4.2.3)</t>
  </si>
  <si>
    <t xml:space="preserve">Reduce risk of failure of main LT switchboard due to overheating </t>
  </si>
  <si>
    <t xml:space="preserve">Install heat sensor in the main LT switchboard to alert any abnormal rise in temperature with audible/visual alarm. </t>
  </si>
  <si>
    <t>4.3.1</t>
  </si>
  <si>
    <t xml:space="preserve">Extra Low Voltage System </t>
  </si>
  <si>
    <t>Sub-total (4.3.1)</t>
  </si>
  <si>
    <t>4.3.2</t>
  </si>
  <si>
    <t>Provide flexibility for future expansion for CCTV and access control system</t>
  </si>
  <si>
    <t xml:space="preserve">Provide minimum 20% spare capacity in network switch to cater for future expansion. </t>
  </si>
  <si>
    <t xml:space="preserve">Design that allows for future addition of data storage (either local or cloud base data storage). </t>
  </si>
  <si>
    <t>4.3.3</t>
  </si>
  <si>
    <t xml:space="preserve">Reduce risk of damage to outdoor camera and other equipment due to lightning surge </t>
  </si>
  <si>
    <t>Provide surge arrestor to all outdoor cameras 
Note: The surge protection shall be provided at power source (AND/OR) at network switch.</t>
  </si>
  <si>
    <t>Sub-total (4.3.2)</t>
  </si>
  <si>
    <t>Sub-total (4.3.3)</t>
  </si>
  <si>
    <t xml:space="preserve">Lightning Protection System </t>
  </si>
  <si>
    <t>4.4.1</t>
  </si>
  <si>
    <t xml:space="preserve">Reduce risk of damage of air termination tape at roof parapet wall due to 	operation of façade maintenance systems such as gondola </t>
  </si>
  <si>
    <t>Sub-total (4.4.1)</t>
  </si>
  <si>
    <t xml:space="preserve">Vertical Transportation </t>
  </si>
  <si>
    <t>4.5.1</t>
  </si>
  <si>
    <t xml:space="preserve">Access to lift motor room for maintenance </t>
  </si>
  <si>
    <t>Provide permanent access (staircase with handrail) to the lift motor room.</t>
  </si>
  <si>
    <t>Sub-total (4.5.1)</t>
  </si>
  <si>
    <t>4.5.2</t>
  </si>
  <si>
    <t>Reduce lift downtime and enhance reliability</t>
  </si>
  <si>
    <t>Sub-total (4.5.2)</t>
  </si>
  <si>
    <t>4.6.1</t>
  </si>
  <si>
    <t>Sub-total (4.6.1)</t>
  </si>
  <si>
    <t>4. ELECTRICAL SYSTEMS</t>
  </si>
  <si>
    <t>6.1.1</t>
  </si>
  <si>
    <t>PROJECT SCORE SUMMARY</t>
  </si>
  <si>
    <t>&lt;Enter Project Name&gt;</t>
  </si>
  <si>
    <t>POINTS AVAILABLE</t>
  </si>
  <si>
    <t>POINTS SCORED</t>
  </si>
  <si>
    <t>VERIFICATION</t>
  </si>
  <si>
    <t>SECTION 0 - GENERAL</t>
  </si>
  <si>
    <t>General Project Requirement</t>
  </si>
  <si>
    <t>SECTION 1 - ARCHITECTURAL EXTERIOR</t>
  </si>
  <si>
    <t>General Façade</t>
  </si>
  <si>
    <t>Cladding system: Tile/ Stone/ Metal/ Others</t>
  </si>
  <si>
    <t>Curtain Wall: Glazing/ Others</t>
  </si>
  <si>
    <t>Masonry and Lightweight Concrete Panels</t>
  </si>
  <si>
    <t>Part A - General Façade</t>
  </si>
  <si>
    <t>Part B - Façade System</t>
  </si>
  <si>
    <t>Façade Features/ considerations</t>
  </si>
  <si>
    <t>Roof</t>
  </si>
  <si>
    <t>Part C - Others</t>
  </si>
  <si>
    <t>Floors</t>
  </si>
  <si>
    <t>Walls and Partitions</t>
  </si>
  <si>
    <t>Ceiling</t>
  </si>
  <si>
    <t>Basements</t>
  </si>
  <si>
    <t xml:space="preserve">SECTION 3 - MECHANICAL </t>
  </si>
  <si>
    <t>Air Distribution System</t>
  </si>
  <si>
    <t>Sanitary System</t>
  </si>
  <si>
    <t xml:space="preserve">SECTION 4 - ELECTRICAL </t>
  </si>
  <si>
    <t>Power Distribution System</t>
  </si>
  <si>
    <t>Extra Low Voltage System</t>
  </si>
  <si>
    <t>Lightning Protection System</t>
  </si>
  <si>
    <t>Vertical Transportation System</t>
  </si>
  <si>
    <t xml:space="preserve">SECTION 5 - LANDSCAPE </t>
  </si>
  <si>
    <t>Softscape</t>
  </si>
  <si>
    <t>Hardscape</t>
  </si>
  <si>
    <t>Vertical Greenery</t>
  </si>
  <si>
    <t>Roof and Sky Terraces</t>
  </si>
  <si>
    <t>Water Retaining Structures</t>
  </si>
  <si>
    <t>Standalone Structures</t>
  </si>
  <si>
    <t>-</t>
  </si>
  <si>
    <t xml:space="preserve">Specify hubless elbows for sanitary stacks with horizontal transfers. </t>
  </si>
  <si>
    <t xml:space="preserve">Air Distribution Systems </t>
  </si>
  <si>
    <t>Pro-rate points</t>
  </si>
  <si>
    <t>Pro-rated Points</t>
  </si>
  <si>
    <t>TOTAL</t>
  </si>
  <si>
    <t xml:space="preserve">Floors </t>
  </si>
  <si>
    <t>2.1.1</t>
  </si>
  <si>
    <t xml:space="preserve">Reduce risk of damage to floors in common areas within the building </t>
  </si>
  <si>
    <t>2.1.2</t>
  </si>
  <si>
    <t>Sub-total (2.1.1)</t>
  </si>
  <si>
    <t>Sub-total (2.1.2)</t>
  </si>
  <si>
    <t xml:space="preserve">Walls and Partitions </t>
  </si>
  <si>
    <t>2.2.1</t>
  </si>
  <si>
    <t xml:space="preserve">Reduce risk of stains on wall surfaces in common areas </t>
  </si>
  <si>
    <t>Ceilings</t>
  </si>
  <si>
    <t>2.3.1</t>
  </si>
  <si>
    <t xml:space="preserve">Provide double slabs with minimum clear headroom of 2 m. </t>
  </si>
  <si>
    <t>Sub-total (2.2.1)</t>
  </si>
  <si>
    <t>Sub-total (2.3.1)</t>
  </si>
  <si>
    <t>2.3.2</t>
  </si>
  <si>
    <t>Sub-total (2.3.2)</t>
  </si>
  <si>
    <t>2.3.3</t>
  </si>
  <si>
    <t xml:space="preserve">Access to ceiling for maintenance </t>
  </si>
  <si>
    <t>2.3.4</t>
  </si>
  <si>
    <t>Sub-total (2.3.3)</t>
  </si>
  <si>
    <t>Sub-total (2.3.4)</t>
  </si>
  <si>
    <t>2.4.1</t>
  </si>
  <si>
    <t>Sub-total (2.4.1)</t>
  </si>
  <si>
    <t>2.4.2</t>
  </si>
  <si>
    <t>Sub-total (2.4.2)</t>
  </si>
  <si>
    <t>2.4.3</t>
  </si>
  <si>
    <t xml:space="preserve">Specify water-resistant, partition panels with water absorption rate not exceeding 5 %, e.g. phenolic panels. </t>
  </si>
  <si>
    <t>Sub-total (2.4.3)</t>
  </si>
  <si>
    <t>2.4.4</t>
  </si>
  <si>
    <t xml:space="preserve">Water spill on floor – Design for full vanity washbasin with counter-top to slope away from the user. </t>
  </si>
  <si>
    <t xml:space="preserve">Soap dripping on counter/floor – Design of soap dispenser location to be vertically mounted directly above basin or integrated bin. </t>
  </si>
  <si>
    <t xml:space="preserve">Water splash on counter/floor – Specify depth of basins to be minimally 175 mm to avoid excessive splashing. </t>
  </si>
  <si>
    <t>2.4.5</t>
  </si>
  <si>
    <t>Sub-total (2.4.5)</t>
  </si>
  <si>
    <t xml:space="preserve">Design for individual, modular mirror panes with standard sizes that are easy to replace. </t>
  </si>
  <si>
    <t>2.5.1</t>
  </si>
  <si>
    <t xml:space="preserve">Reduce risk of water ingress/seepage in basement </t>
  </si>
  <si>
    <t>Sub-total (2.5.1)</t>
  </si>
  <si>
    <t xml:space="preserve"> </t>
  </si>
  <si>
    <t>SECTION 1 - ARCHITECTURAL EXTERIORS</t>
  </si>
  <si>
    <t>1.1.1</t>
  </si>
  <si>
    <t xml:space="preserve">Reduce risk of water ingress and streaking on façade </t>
  </si>
  <si>
    <t>Sub-total (1.1.1)</t>
  </si>
  <si>
    <t>1.1.2</t>
  </si>
  <si>
    <t xml:space="preserve">Access for maintenance of façade  </t>
  </si>
  <si>
    <t>Sub-total (1.1.2)</t>
  </si>
  <si>
    <t>1.1.3</t>
  </si>
  <si>
    <t xml:space="preserve">Access for maintenance of  façade and roof of sky bridges </t>
  </si>
  <si>
    <t xml:space="preserve">Ensure the roof and façade of skybridge is accessible for maintenance. </t>
  </si>
  <si>
    <t>1.2.1</t>
  </si>
  <si>
    <t xml:space="preserve">d. </t>
  </si>
  <si>
    <t>f.</t>
  </si>
  <si>
    <t>Sub-total (1.2.1)</t>
  </si>
  <si>
    <t>1.3.1</t>
  </si>
  <si>
    <t>1.4.1</t>
  </si>
  <si>
    <t xml:space="preserve">Reduce risk of water ingress and efflorescence formation </t>
  </si>
  <si>
    <t>1.4.2</t>
  </si>
  <si>
    <t>Sub-total (1.4.2)</t>
  </si>
  <si>
    <t>Sub-total (1.4.1)</t>
  </si>
  <si>
    <t>Sub-total (1.3.1)</t>
  </si>
  <si>
    <t xml:space="preserve">Façade Features / other façade considerations </t>
  </si>
  <si>
    <t>1.5.1</t>
  </si>
  <si>
    <t xml:space="preserve">Ensure every part of all façade features is accessible for maintenance. </t>
  </si>
  <si>
    <t>Sub-total (1.5.1)</t>
  </si>
  <si>
    <t>1.5.2</t>
  </si>
  <si>
    <t>1.5.3</t>
  </si>
  <si>
    <t>1.5.4</t>
  </si>
  <si>
    <t>Design for mechanically-fixed individual tile/stone panels with stainless steel fixings.</t>
  </si>
  <si>
    <t>Sub-total (1.5.2)</t>
  </si>
  <si>
    <t>Sub-total (1.5.3)</t>
  </si>
  <si>
    <t>Sub-total (1.5.4)</t>
  </si>
  <si>
    <t>1.6.1</t>
  </si>
  <si>
    <t xml:space="preserve">Reduce risk of water ingress at entrances </t>
  </si>
  <si>
    <t>1.7.1</t>
  </si>
  <si>
    <t xml:space="preserve">Reduce risk of water ponding on roofs </t>
  </si>
  <si>
    <t>Sub-total (1.6.1)</t>
  </si>
  <si>
    <t>1.7.2</t>
  </si>
  <si>
    <t xml:space="preserve">Reduce risk of corrosion on metal roofs </t>
  </si>
  <si>
    <t xml:space="preserve">Specify metal of similar properties or separators between different materials to mitigate risk of bi-metallic corrosion between roof and other metal components or accessories. </t>
  </si>
  <si>
    <t>(without bonus)</t>
  </si>
  <si>
    <t>without bonus</t>
  </si>
  <si>
    <t>TOTAL %</t>
  </si>
  <si>
    <t>FAÇADE SYSTEM (1.2 to 1.4)</t>
  </si>
  <si>
    <t>Bonus Points</t>
  </si>
  <si>
    <t>General Requirements</t>
  </si>
  <si>
    <t xml:space="preserve">Promote integrated design approach and stakeholder engagement at planning and key design stages. </t>
  </si>
  <si>
    <t>i)</t>
  </si>
  <si>
    <t>ii)</t>
  </si>
  <si>
    <t xml:space="preserve">Design for maintainability report, as part of the O&amp;M manual, outlining the key maintainability considerations and provisions. </t>
  </si>
  <si>
    <t>Use of life cycle cost (LCC) approach to identify solutions with better economic and maintainability benefit throughout the building life span.</t>
  </si>
  <si>
    <t># of solutions</t>
  </si>
  <si>
    <t>5. LANDSCAPE</t>
  </si>
  <si>
    <t>5.1.1</t>
  </si>
  <si>
    <t xml:space="preserve">Reduce labour-intensive irrigation for landscape </t>
  </si>
  <si>
    <t xml:space="preserve">Design for water points with maximum 15 m radius from each point. </t>
  </si>
  <si>
    <r>
      <rPr>
        <b/>
        <sz val="10"/>
        <color theme="1"/>
        <rFont val="Calibri"/>
        <family val="2"/>
        <scheme val="minor"/>
      </rPr>
      <t>Advanced Efforts</t>
    </r>
    <r>
      <rPr>
        <sz val="10"/>
        <color theme="1"/>
        <rFont val="Calibri"/>
        <family val="2"/>
        <scheme val="minor"/>
      </rPr>
      <t>: Implement remote monitoring system for landscape irrigation along with water metering for irrigation. (+1 bonus point)</t>
    </r>
  </si>
  <si>
    <t>Sub-total (5.1.1)</t>
  </si>
  <si>
    <t>5.2.1</t>
  </si>
  <si>
    <t xml:space="preserve">Access for maintenance of underwater lighting systems </t>
  </si>
  <si>
    <t>Sub-total (5.2.1)</t>
  </si>
  <si>
    <t>5.2.2</t>
  </si>
  <si>
    <t>Reduce risk of damage/degradation to outdoor landscape furniture</t>
  </si>
  <si>
    <t>Specify for engineered wood with water absorption rate not exceeding 0.5%.</t>
  </si>
  <si>
    <t>5.2.3</t>
  </si>
  <si>
    <t>Sub-total (5.2.2)</t>
  </si>
  <si>
    <t>Sub-total (5.2.3)</t>
  </si>
  <si>
    <t xml:space="preserve">Vertical Greenery </t>
  </si>
  <si>
    <t>5.3.1</t>
  </si>
  <si>
    <t>5.4.1</t>
  </si>
  <si>
    <t xml:space="preserve">Provide direct maintenance access to landscape on all roof and sky terraces. </t>
  </si>
  <si>
    <t xml:space="preserve">For trees: Provide 5 m clear pathway from building edge to tree trunk. </t>
  </si>
  <si>
    <t xml:space="preserve">Water retaining structure </t>
  </si>
  <si>
    <t>5.5.1</t>
  </si>
  <si>
    <t xml:space="preserve">Reduce risk of water leakage from swimming pools/water 	bodies </t>
  </si>
  <si>
    <t xml:space="preserve">Standalone structures </t>
  </si>
  <si>
    <t>5.6.1</t>
  </si>
  <si>
    <t>5.6.2</t>
  </si>
  <si>
    <t>Sub-total (5.3.1)</t>
  </si>
  <si>
    <t>Sub-total (5.4.1)</t>
  </si>
  <si>
    <t>Sub-total (5.5.1)</t>
  </si>
  <si>
    <t>Sub-total (5.6.1)</t>
  </si>
  <si>
    <t>Sub-total (5.6.2)</t>
  </si>
  <si>
    <t>Specify suspended modular metal panel, e.g. baffle metal panels and metal mesh panels</t>
  </si>
  <si>
    <t>Specify open ceiling design</t>
  </si>
  <si>
    <t>Sub-total (6.1.1)</t>
  </si>
  <si>
    <t>Type</t>
  </si>
  <si>
    <t xml:space="preserve">Bonus Points </t>
  </si>
  <si>
    <t>Section 1 BONUS POINTS</t>
  </si>
  <si>
    <t>Section 5 BONUS POINTS</t>
  </si>
  <si>
    <t>Pro-rating points</t>
  </si>
  <si>
    <t>w/o Bonus</t>
  </si>
  <si>
    <t>with bonus</t>
  </si>
  <si>
    <t>Bonus scored</t>
  </si>
  <si>
    <t>% coverage</t>
  </si>
  <si>
    <t>General Section</t>
  </si>
  <si>
    <t>Section</t>
  </si>
  <si>
    <t>KMI</t>
  </si>
  <si>
    <t>Item</t>
  </si>
  <si>
    <t>Compliance?</t>
  </si>
  <si>
    <t>Architectural 
Interior</t>
  </si>
  <si>
    <t>Architectural 
Exterior</t>
  </si>
  <si>
    <t>Mechanical</t>
  </si>
  <si>
    <t>Electrical</t>
  </si>
  <si>
    <t>Landscape</t>
  </si>
  <si>
    <t>Smart FM</t>
  </si>
  <si>
    <t>NUMBER OF PRE-REQUISITES NOT COMPLIED WITH</t>
  </si>
  <si>
    <t>Total Number of Pre-Requisites Not Complied</t>
  </si>
  <si>
    <t>Attained Maintainability Badge</t>
  </si>
  <si>
    <t>Total Number of Green Mark 2021 Points</t>
  </si>
  <si>
    <t>TOTAL Maintainability Section Points scored</t>
  </si>
  <si>
    <t>TOTAL Maintainability Section Points available</t>
  </si>
  <si>
    <t>Maintainability Section  Prorated Points</t>
  </si>
  <si>
    <t>TOTAL Maintainability Section Points 
After Pro-rating</t>
  </si>
  <si>
    <t>Remarks</t>
  </si>
  <si>
    <t>Indicate % area</t>
  </si>
  <si>
    <t>% Coverage</t>
  </si>
  <si>
    <t>%coverage</t>
  </si>
  <si>
    <t>Max Available Points</t>
  </si>
  <si>
    <t>Specify open ceiling design. 
(1 Point)</t>
  </si>
  <si>
    <t>Specify moisture-resistant suspended non-metallic modular ceiling panels with water absorption rate not exceeding 5 %. 
(1 Point)</t>
  </si>
  <si>
    <t>Specify for engineered wood with water absorption rate not exceeding 0.5% for timber selections.
(0.5 Point)</t>
  </si>
  <si>
    <r>
      <t xml:space="preserve">GREEN MARK 2021: MAINTAINABILITY SECTION - </t>
    </r>
    <r>
      <rPr>
        <b/>
        <sz val="12"/>
        <color rgb="FF00B050"/>
        <rFont val="Cambria"/>
        <family val="1"/>
      </rPr>
      <t>NEW RESIDENTIAL BUILDINGS</t>
    </r>
  </si>
  <si>
    <t>Entrance lobby/ Integrated drop-off points at blocks</t>
  </si>
  <si>
    <t>Exposed corridors and link bridges</t>
  </si>
  <si>
    <t xml:space="preserve">Common toilets </t>
  </si>
  <si>
    <t>Air Conditioning System - Variable Refrigerant Flow (VRF) System</t>
  </si>
  <si>
    <t xml:space="preserve">Fire Protection System </t>
  </si>
  <si>
    <t>Swimming Pool System</t>
  </si>
  <si>
    <t>Carpark Entry System</t>
  </si>
  <si>
    <t>Section 6 - FACILITIES</t>
  </si>
  <si>
    <t>Outdoor games court</t>
  </si>
  <si>
    <t>Innovation features in labour-saving/maintenance-free</t>
  </si>
  <si>
    <t xml:space="preserve">Promote inclusion of Design for Maintainability (DfM) provision during design stage </t>
  </si>
  <si>
    <r>
      <rPr>
        <b/>
        <sz val="10"/>
        <color theme="1"/>
        <rFont val="Calibri"/>
        <family val="2"/>
        <scheme val="minor"/>
      </rPr>
      <t xml:space="preserve">Advanced efforts: </t>
    </r>
    <r>
      <rPr>
        <sz val="10"/>
        <color theme="1"/>
        <rFont val="Calibri"/>
        <family val="2"/>
        <scheme val="minor"/>
      </rPr>
      <t>Simulation studies specific to location, context of surroundings for corridors/entrances (+1 bonus point)</t>
    </r>
  </si>
  <si>
    <t>Reduce risk of water ingress into lift shaft</t>
  </si>
  <si>
    <t>Sub-total (1.7.1 and 1.7.2)</t>
  </si>
  <si>
    <t>1.8.1</t>
  </si>
  <si>
    <t>1.8.2</t>
  </si>
  <si>
    <t>1.8.3</t>
  </si>
  <si>
    <t>Sub-total (1.8.1)</t>
  </si>
  <si>
    <t>Sub-total (1.8.2)</t>
  </si>
  <si>
    <t>Sub-total (1.8.3)</t>
  </si>
  <si>
    <t xml:space="preserve">Reduce risk of mould and fungus formation on walls in toilets </t>
  </si>
  <si>
    <t xml:space="preserve">Reduce risk of damage to toilet cubicle partitions and enable ease of cleaning </t>
  </si>
  <si>
    <t xml:space="preserve">Design for raised partition walls with minimum of 150 mm gap from the finished floor level. </t>
  </si>
  <si>
    <t xml:space="preserve">Air-Conditioning System – Direct Expansion System (DX units) </t>
  </si>
  <si>
    <t>Access to AC ledge for Condenser Unit (CU) 	maintenance</t>
  </si>
  <si>
    <t>Provide operable windows/opening with minimum opening size of 900 mm (H) x 600 mm (W).</t>
  </si>
  <si>
    <t xml:space="preserve">The safety barrier (such as railing) must be provided around the service ledge with minimum height of 1 meter. </t>
  </si>
  <si>
    <t xml:space="preserve">Access space around the AC ledge for maintenance of condenser unit </t>
  </si>
  <si>
    <t xml:space="preserve">AC ledge must be in a well-ventilated space for effective flow of air (CFD simulation is required if CU is facing enclosed space such as air well). </t>
  </si>
  <si>
    <t xml:space="preserve">Air Conditioning System – Variable Refrigerant Flow (VRF) </t>
  </si>
  <si>
    <t>a. Locate FCU less than 3m from FFL for easy access and maintenance.
(OR)
b. Provide clear access route for Mobile Elevated Work Platforms (MEWP) to reach the lobby, atrium space from the nearest door entrance. 
o Provide clear access with entrance door/ opening of 1.8 m width x 2.4 m height and working base of 1.8 m width x 2 m length if the mounting height is less than or equal to 10.5 m.
o Provide clear access with entrance door/ opening of 2 m width x 2.8 m height and working base of 2 m width x 2 m length if the mounting height is greater than 10.5 m.
(OR)
Provide alternative access (e.g. maintenance platform, access from top floors etc.) without having to access from the floor.</t>
  </si>
  <si>
    <t>Reduce risk of air short circuit due to the poor location of AC ledge /condenser unit (1 point</t>
  </si>
  <si>
    <t>3.5.3</t>
  </si>
  <si>
    <t>Sub-total (3.5.3)</t>
  </si>
  <si>
    <t xml:space="preserve">Provide adequate access space for maintenance of ejector pump </t>
  </si>
  <si>
    <t xml:space="preserve">Provide minimum 600mm clear space on 1 side of the ejector pump for regular maintenance. </t>
  </si>
  <si>
    <t>b.	Provide minimum 1.5m clear headroom above finished floor level at the top of ejector pit to facilitate overhaul maintenance or replacement.</t>
  </si>
  <si>
    <t xml:space="preserve">Provide adequate access for filtration pump maintenance </t>
  </si>
  <si>
    <t>Provide minimum 600 mm clear working/walking space in the filtration pump room for regular maintenance.   
The access space for replacement of major component must follow manufacture’s recommendation.</t>
  </si>
  <si>
    <t xml:space="preserve">Provide minimum headroom of 2 m for filtration system (Measured from FFL). </t>
  </si>
  <si>
    <t>4.2.4</t>
  </si>
  <si>
    <t xml:space="preserve">Design to facilitate swimming pool cleaning </t>
  </si>
  <si>
    <t xml:space="preserve">Provide at least 1 power point for every 25m length of swimming pool (minimum 1 power point for one swimming pool). </t>
  </si>
  <si>
    <t>Sub-total (4.2.4)</t>
  </si>
  <si>
    <t xml:space="preserve">Car Park Entry System </t>
  </si>
  <si>
    <t xml:space="preserve">Reduce security manpower required to manually open/close carpark gantries </t>
  </si>
  <si>
    <t>The EPS antenna must be properly located at the entrance and exit barriers to accurately read the registered car information to avoid the manual opening of the barrier.</t>
  </si>
  <si>
    <t>5.5.2</t>
  </si>
  <si>
    <t xml:space="preserve">Provide maintenance access of minimally 600mm with safety barrier along the water flow edge. </t>
  </si>
  <si>
    <t>Sub-total (5.5.2)</t>
  </si>
  <si>
    <t xml:space="preserve">Access provision for maintenance of infinity pools </t>
  </si>
  <si>
    <t xml:space="preserve">Reduce risk of water ponding on games court </t>
  </si>
  <si>
    <t xml:space="preserve">Outdoor Games Court </t>
  </si>
  <si>
    <t xml:space="preserve">Ensure slope and gradient as per the court guidelines, e.g. For non-porous tennis courts minimum of 1:120 and maximum of 1:100. </t>
  </si>
  <si>
    <t>6.1.2</t>
  </si>
  <si>
    <t>Reduce development of flooring blisters/bubbles</t>
  </si>
  <si>
    <t>Design to provide perimeter drain channel to prevent moisture accumulation beneath court surface.</t>
  </si>
  <si>
    <t xml:space="preserve">Specify for semi-permeable surface coating to allow for moisture to escape, e.g. acrylic surface coating </t>
  </si>
  <si>
    <t>Sub-total (6.1.2)</t>
  </si>
  <si>
    <t xml:space="preserve">Use of smart solutions that improve operation and maintenance and increase labour efficiency </t>
  </si>
  <si>
    <t xml:space="preserve">Type 2 – Use of data analytics and artificial intelligence for system optimization and predictive maintenance:
i) Diagnostics AI: Able to identify system deviations and diagnose potential causes.  
ii) Predictive AI:  Able to diagnose problems and predict future states of assets and systems. 
Example applications are as follows: 
1. Implement data analytics/artificial intelligence to predict equipment failure i.e. fault detection and diagnostics of water pumps.  </t>
  </si>
  <si>
    <t>Sub-total (2.4.4)</t>
  </si>
  <si>
    <t>6. Facilities</t>
  </si>
  <si>
    <t>Facilities</t>
  </si>
  <si>
    <t xml:space="preserve">SECTION 7 - SMART FM </t>
  </si>
  <si>
    <t>7. SMART FM</t>
  </si>
  <si>
    <t>b. Adequate working space must be provided for service and maintenance 
i) The outdoor units must not be stacked
ii) Minimum clear space in front of the CU: 350 mm
iii) Minimum clear space at the back of CU: 200 mm
iv) Minimum clear space to the side of CU with control panel: 350 mm
v) Minimum clear space to the side of CU without control panel: 100mm</t>
  </si>
  <si>
    <t>Provide minimum 600mm by 600mm clear landing space for maintenance crew</t>
  </si>
  <si>
    <t>7.1.1</t>
  </si>
  <si>
    <t>Design for drip edges/grooves to mitigate streaking on exterior soffits and vertical façade surfaces e.g. leading edge of flashing, sills, overhangs or other horizontal projecting façade elements.</t>
  </si>
  <si>
    <t xml:space="preserve">Ensure entire façade are accessible for maintenance. </t>
  </si>
  <si>
    <t>For streaking – specify sealant type that has non-stain, non-bleed properties. 
(0.5 Point)</t>
  </si>
  <si>
    <t>Masonry, Lightweight Concrete Panels, and precast elements</t>
  </si>
  <si>
    <t>For water ingress in pre-cast component joints: specify silicone or modified silicone sealant on weather-exposed joints, that is compatible and with adequate adhesion properties to the substrate. 
(1 Point)</t>
  </si>
  <si>
    <t>For features such as open-joint cladding: provide flashings at regular intervals (not exceeding 3 floors) to positively drain out the cladding cavities and prevent the accumulation of water.</t>
  </si>
  <si>
    <r>
      <rPr>
        <b/>
        <sz val="10"/>
        <color theme="1"/>
        <rFont val="Calibri"/>
        <family val="2"/>
        <scheme val="minor"/>
      </rPr>
      <t>Advanced efforts</t>
    </r>
    <r>
      <rPr>
        <sz val="10"/>
        <color theme="1"/>
        <rFont val="Calibri"/>
        <family val="2"/>
        <scheme val="minor"/>
      </rPr>
      <t xml:space="preserve">: Numerical simulation (wind-driven rain penetration) studies specific to location and context of surroundings for corridors/entrances. </t>
    </r>
  </si>
  <si>
    <t xml:space="preserve">Specify bitumen/polymer elastomer preformed waterproofing membrane (design for overlap and proper termination of waterproofing membrane). 
(OR) 
Specify water based/solvent based liquid applied waterproofing membrane. </t>
  </si>
  <si>
    <t>SECTION 2 - ARCHITECTURAL INTERIORS &amp; COMMON AREAS</t>
  </si>
  <si>
    <t xml:space="preserve">Specify flooring material – e.g. homogenous tiles – with water absorption rate not exceeding 0.5 % to reduce settling of stains at areas of high pedestrian traffic such as lobbies, corridors, and connecting walkways. </t>
  </si>
  <si>
    <t>water-resistant wall materials, e.g. laminate, vinyl, and tile (1 Point)</t>
  </si>
  <si>
    <t xml:space="preserve">Provide access to all parts of the ceiling (including weather-exposed ceiling) for general maintenance. </t>
  </si>
  <si>
    <t>Specify wall finishes with</t>
  </si>
  <si>
    <t>anti-mould top-coat  
(0.5 point)</t>
  </si>
  <si>
    <t>Specify suspended metal panel modular ceiling system, e.g. baffle metal panels, aluminium trellis, and metal mesh. 
(1 Point)</t>
  </si>
  <si>
    <t xml:space="preserve">Design for cavity wall with raised kerb of minimally 200mm and with water and mould-resistant wall layer on the inside, e.g. moisture-resistant calcium silicate board. </t>
  </si>
  <si>
    <t>The bottom of the windows/opening for CU access should be located no higher than 1.1 meter from the finished floor level within the unit.</t>
  </si>
  <si>
    <t xml:space="preserve">Provide alternative access for the detector maintenance (e.g. maintenance platform) without having to access from the atrium floor. 
	(OR)
Provide clear access route for Mobile Elevated Work Platforms (MEWP) to reach the lobby or atrium space from the nearest door entrance. 
o     Provide clear access with entrance door/ opening of 1.8m width x 2.4m height and working base of 1.8m width x 2m length if the mounting height is less than or equal to 10.5m.
o      Provide clear access with entrance door/ opening of 2m width x 2.8m height and working base of 2m width x 2m length if the mounting height is greater than 10.5m. </t>
  </si>
  <si>
    <t>Provide clear access route with width of minimum 1.2 m from lift lobby or carpark area to the filtration system</t>
  </si>
  <si>
    <t>Specify rain sensor and auto-irrigation with timers.
(1 Point)</t>
  </si>
  <si>
    <t xml:space="preserve">Specify for anti-corrosion coating or stainless steel or aluminium for metal selections. </t>
  </si>
  <si>
    <t xml:space="preserve">For planters more than 1.8 m wide, provide minimally 300mm obstruction free maintenance pathway inside the planter box. </t>
  </si>
  <si>
    <t>Specify installation of vapour barrier below the base structural slab to reduce water ingress from beneath the court.</t>
  </si>
  <si>
    <t>Type 1 – Use of digitised workflow automation optimize the workflow, productivity and service delivery: 
Digitalized Workflow Automation: When triggered by a feedback or incident, automatically initiates a process that tracks, monitors, and closes the feedback or incident.
Example applications are as follows:
1. Use of Property Management Software for workflow automation
2. Smart visitor management system
3. Online facility booking system
4. Smart exit lights
5. Smart monitoring system for fire extinguishers
6. Smart security system such as video analytics for access control
7. Smart lighting
8. Mobile APP for residents (Example, the APP could be used for booking common facilities, receiving notice from MA, payment of maintenance fees, reporting maintenance issues and etc.)</t>
  </si>
  <si>
    <t>* Important Note - Projects must score minimum 10 Green Mark points and comply with all applicable pre-requisites to attain the Maintainability Badge.</t>
  </si>
  <si>
    <t>Lighting System</t>
  </si>
  <si>
    <t>Design for vertical rain protection louvres along the corridor and link bridges (1.5 points)</t>
  </si>
  <si>
    <t>Conduct at least 3 design charrettes during the concept/ detail design stage involving minimally 3 stakeholders from the following group: 
o Building owner/ representative 
o Facilities manager (FM)/operator
o Design consultants (minimally one representative each from the various disciplines – architecture, civil &amp; structural, mechanical and electrical, landscape, quantity surveyor, etc.) 
o Other specialist consultant / supplier (i.e. environmentally sustainable design, lighting specialist, material specialists, façade access consultant, etc.)</t>
  </si>
  <si>
    <t>Undertake project-specific LCC analysis on adopted LCC-related solutions listed in this appraisal system for 
o At least 5 solutions (1 point)
o More than 10 solutions (2 points)</t>
  </si>
  <si>
    <t xml:space="preserve">Design all top surface of walls to slope away from the external face of façade. </t>
  </si>
  <si>
    <t>Cladding – Tile / Stone / Metal / Others 
(up to 4 points)</t>
  </si>
  <si>
    <t>For streaking:
Specify metals of similar properties or separators between different metal components on the exposed face of the façade to mitigate risk of bi-metallic corrosion.</t>
  </si>
  <si>
    <t xml:space="preserve">For water ingress – design for pressure-equalised (rain-screen) system, comprising: 
i) Ventilation openings of adequate dimensions to ensure pressure-equalisation of the cladding cavity
ii) Drainage system to positively drain out water
iii) Air cavity with a fully sealed internal backing wall behind the cladding  </t>
  </si>
  <si>
    <t xml:space="preserve">For water ingress – In face-sealed cladding: specify silicone or modified silicone sealant that is compatible and with adequate adhesion properties to the substrate. 
(1 Point) </t>
  </si>
  <si>
    <t>For water ingress – specify gasket type EPDM or TPE. 
(1 Point)</t>
  </si>
  <si>
    <t>For water ingress - design for double layer protection at 
façade interface, coping etc.
(0.5 Point)</t>
  </si>
  <si>
    <r>
      <rPr>
        <b/>
        <sz val="10"/>
        <color theme="1"/>
        <rFont val="Calibri"/>
        <family val="2"/>
        <scheme val="minor"/>
      </rPr>
      <t>Advanced effort</t>
    </r>
    <r>
      <rPr>
        <sz val="10"/>
        <color theme="1"/>
        <rFont val="Calibri"/>
        <family val="2"/>
        <scheme val="minor"/>
      </rPr>
      <t>: For water ingress – Specify anti-carbonation coating or waterproofing layer onto the backing wall behind the cladding (+1 bonus point)</t>
    </r>
  </si>
  <si>
    <t>Curtain Wall</t>
  </si>
  <si>
    <t>For streaking:
Specify metals of similar properties or separators between different metal components on the external face of facade to mitigate risk of bi-metallic corrosion.</t>
  </si>
  <si>
    <t>For water ingress – design for pressure-equalised system comprising: 
i) Ventilation openings of adequate dimensions to ensure pressure equalisation of the cavities
ii) Drainage system to positively drain out water
iii) Internal air-seal layer to pressurise internal cavities and minimise risk of water penetration
(2 Points)</t>
  </si>
  <si>
    <t>For water ingress - specify silicone sealant that is compatible and with adequate adhesion properties to the substrate 
(1 Point)</t>
  </si>
  <si>
    <t>For water ingress – design for double layer protection at façade interface, coping etc. 
(0.5 Point)</t>
  </si>
  <si>
    <t xml:space="preserve">For efflorescence: specify mortar materials to be salt free. </t>
  </si>
  <si>
    <t xml:space="preserve">For water ingress: design movement joints in large continuous areas, or between different building components, to minimise the risk of damage to façade, weather seal, and waterproofing joints. </t>
  </si>
  <si>
    <t>For efflorescence:
Specify clear coat, with good resistance to water absorption, on façade surface. e.g. fair-faced or pigmented concrete.
(OR) 
Specify paint with good resistance to water absorption, complying with SS500 or equivalent.
(1 Point)</t>
  </si>
  <si>
    <t xml:space="preserve">Reduce risk of façade flaking/ peeling/ cracking/ blistering </t>
  </si>
  <si>
    <t>Specify paint finish:
Top coat:
Paint with good resistance to water absorption complying with SS500 or equivalent. (1 point)
(OR) 
Mineral paint (1 point)</t>
  </si>
  <si>
    <t xml:space="preserve">Ensure all glass features and their structure (e.g. glazed canopies) are able to withstand the maintenance-related loads. </t>
  </si>
  <si>
    <t>Direct access to all protruding façade features, e.g. 	canopies, sunshades, 	niches, fins, ledges, BIPV, 	façade screens etc (prerequisite)</t>
  </si>
  <si>
    <t xml:space="preserve">Reduce risk of corrosion of exposed steel structures </t>
  </si>
  <si>
    <t xml:space="preserve">Design to avoid direct contact of a steel base with the ground (raised by at least 100mm) to mitigate corrosion and entrapment of moisture and dirt. </t>
  </si>
  <si>
    <t>Reduce risk of water ingress in open joint cladding (i.e. cladding serving as a decorative feature and not as a water barrier</t>
  </si>
  <si>
    <t>Reduce risk of tile/stone from detaching off façade</t>
  </si>
  <si>
    <t>Entrance Lift Lobby/integrated drop-off point at blocks  (2 points)</t>
  </si>
  <si>
    <t>Design for raised internal level of at least 100mm from the external datum.</t>
  </si>
  <si>
    <t>Design canopy/overhang (minimally 1:50 slope) to shelter against wind-driven rain with canopy angled at least 45o to the entrance line or with  drop  panel if canopy/overhang does not shelter to entrance line. 
(2 Points)</t>
  </si>
  <si>
    <t>Exposed Corridors, lift lobbies and Link Bridges  (2 points)</t>
  </si>
  <si>
    <t xml:space="preserve">Reduce water ponding in the exposed corridors, lift 	lobbies and link bridges caused by wind driven rain </t>
  </si>
  <si>
    <t>Design for corridor slope to nearest drain outlet to be not gentler than 1:80.</t>
  </si>
  <si>
    <t>Design for floor to slope up at threshold of lift door openings. (0.5 points)</t>
  </si>
  <si>
    <t xml:space="preserve">a.	For concrete flat roofs - Design slope not gentler than 1:150 with scupper drains/gutter. </t>
  </si>
  <si>
    <t>For metal sheet profiles – 
Design slope to manufacturer’s specifications 
(OR)
Design slope for different sheet profiles based on the roof pitch table (refer to table in technical guide).
(OR)
Design slope for different sheet profiles determined by rainwater drainage capacity calculation.</t>
  </si>
  <si>
    <t xml:space="preserve">Reduce risk of waterproofing failure/decay for 	waterproofing of concrete roofs. </t>
  </si>
  <si>
    <t xml:space="preserve">Specify flooring materials with minimum Mohs hardness value of 7 at areas of high pedestrian traffic such as lobbies, corridors, and connecting walkways. </t>
  </si>
  <si>
    <t xml:space="preserve">	Reduce maintenance works in common areas within the 	building </t>
  </si>
  <si>
    <t>Stain-resistant paint or hydrophobic paint 
(0.5 Point)</t>
  </si>
  <si>
    <t xml:space="preserve">Access to services within double slab areas for maintenance purposes </t>
  </si>
  <si>
    <t>Provide double slabs with minimum clear headroom of 1.8m.</t>
  </si>
  <si>
    <t xml:space="preserve">Access to services within the ceiling in common areas 	such as clubhouse, function rooms, common corridors 	and lobbies </t>
  </si>
  <si>
    <t>Specify for suspended modular ceiling system that is easily demountable. 
(0.5 Point)</t>
  </si>
  <si>
    <t xml:space="preserve">Reduce risk of warping /deterioration of ceiling panel 	system that are weather-exposed, at locations such as 	sky terraces, drop-off porches, corridors and lobbies. </t>
  </si>
  <si>
    <t>Specify suspended metal panel modular ceiling system, e.g. baffle metal panels and metal mesh panels. 
(1 Point)</t>
  </si>
  <si>
    <t>tiles e.g. glazed ceramic tiles or homogenous tiles. 
(1 point)</t>
  </si>
  <si>
    <t xml:space="preserve">Reduce risk of water spill on floor, and splashing and 	soap dripping on the counter and floor </t>
  </si>
  <si>
    <t xml:space="preserve">Water spill on floor – Design for soap and tissue dispenser within arm’s reach of each faucet. (Points can be scored only after scoring solution (a)) </t>
  </si>
  <si>
    <t xml:space="preserve">Reduce the need to replace entire mirror glass pane when damaged </t>
  </si>
  <si>
    <t xml:space="preserve">Reduce degradation of false ceiling system in toilets </t>
  </si>
  <si>
    <t>Specify moisture-resistant suspended non-metallic modular ceiling panels with water absorption rate not exceeding 5 %. . 
(1 Point)</t>
  </si>
  <si>
    <t xml:space="preserve">Specify integral liquid water proofing admixture in the concrete. </t>
  </si>
  <si>
    <t>Specify negative side waterproofing for walls</t>
  </si>
  <si>
    <t xml:space="preserve">Specify for positive side waterproofing for the base slab, e.g. sheet-membrane systems, vapour barriers. </t>
  </si>
  <si>
    <t xml:space="preserve">Specify for positive side waterproofing on the retaining wall, e.g. sheet-membrane systems, vapour barriers. </t>
  </si>
  <si>
    <t>The free opening for louver screens or railings must be minimum 70% with louver angle not more than 30 degrees.</t>
  </si>
  <si>
    <t xml:space="preserve">Access to FCU mounted at heights (i.e. lobby space, 	clubhouse) </t>
  </si>
  <si>
    <t xml:space="preserve">Specify LEDs tested to IESNA LM-79-19 and LM-80-15 to ensure the LED performance. </t>
  </si>
  <si>
    <t>Provide access to cameras located at heights (≥ 3m) i.e. foldable poles/arms;
                (OR)
Provide clear access route for mobile elevated work platforms (MEWP) to reach the camera for maintenance.</t>
  </si>
  <si>
    <t xml:space="preserve">Avoid damage to the lightning protection system by proper design and installation of facade maintenance system. </t>
  </si>
  <si>
    <t>Specify for auto-irrigation with timers. (0.5 Points)
(points cannot be scored if already scored in b)</t>
  </si>
  <si>
    <t xml:space="preserve">For shallow water bodies, design for easily replaceable lighting system within the underwater structure but above the water line. </t>
  </si>
  <si>
    <t>For swimming pools/shallow water bodies, design lighting fixture within a depth of 500mm and along the perimeter (calculated from base of light to finished floor level for in-ground pool/ to point of access for above-ground pool)  
(1 point for swimming pool or 0.5 point for shallow water bodies)</t>
  </si>
  <si>
    <t xml:space="preserve">Access for maintenance beneath decking </t>
  </si>
  <si>
    <t xml:space="preserve">Design decks with demountable fixture system for maintenance of services beneath and for general cleaning. </t>
  </si>
  <si>
    <t xml:space="preserve">Access to all parts of green wall installations for 	maintenance and replacement of perished plants </t>
  </si>
  <si>
    <t>Provide direct maintenance access to all vertical greenery, both indoor and outdoor, e.g. catwalk, ladder, access corridor, MEWP, etc.</t>
  </si>
  <si>
    <t xml:space="preserve">Roof, Sky Terraces, and Planter boxes on building edge/façade </t>
  </si>
  <si>
    <t xml:space="preserve">Access for landscape on roof and sky terraces </t>
  </si>
  <si>
    <t>Specify prefabricated water retaining structures, e.g. fiberglass reinforced or stainless-steel pool. 
(2 Points)</t>
  </si>
  <si>
    <t>For concrete pools - specify Integral liquid waterproofing admixture in concrete mixes and additional layer of waterproofing layer on the inside of the pool. 
(2 Points)</t>
  </si>
  <si>
    <t xml:space="preserve">Reduce water ponding and degradation of outdoor 	standalone structures, e.g. pavilions  </t>
  </si>
  <si>
    <t>a.	Design for outdoor standalone structures roof slope to be not gentler than 15 degrees for efficient water run-off.</t>
  </si>
  <si>
    <t>esign to avoid direct contact of steel base with the ground (raised by at least 100 mm ) to prevent corrosion and entrapment of moisture and dirt. 
(Point cannot be scored if already scored in solution 1.5.2)
(0.5 Point)</t>
  </si>
  <si>
    <t xml:space="preserve">Reduce risk of warping/deterioration of ceiling panel 	system on standalone structure </t>
  </si>
  <si>
    <t>Specify moisture-resistant suspended non-metallic modular ceiling panels with water absorption rate not exceeding 5%</t>
  </si>
  <si>
    <t>Specify for integral colours (i.e. directly mixed into the cement) or post-applied stains (impregnator) with inorganic pigments for surfaces which do not require painting. 
(2 points)</t>
  </si>
  <si>
    <t>Access to light fixtures located at heights for maintenance and use of reliable light fixtures</t>
  </si>
  <si>
    <t>Basement</t>
  </si>
  <si>
    <t>Provide access for CCTV camera located at heights</t>
  </si>
  <si>
    <t>Provide lift predictive maintenance. 
Note: Monitor key parameters such as vibration, acceleration, levelling, door jams, gaps, noise, and jerk etc.</t>
  </si>
  <si>
    <t>Building infrastructures should be designed to optimise robot capabilities such as their range of mobility, ease of completing tasks, and ability to navigate its work environment. 
(up to 3 points, 0.5 point for each R&amp;A solution)
Identifying the robots of interest to be deployed and recognising their corresponding level of autonomy is important in planning for suitable infrastructure that would cater to the robots.
Example use of FM robots could include the following:
• Cleaning robot e.g. façade, floor, window
• Concierge robot 
• Facade inspection robot/drone
• Landscape management robot e.g. lawn mowers
• Pest management robot e.g. detection, monitoring, extermination
• Security robot
• Waste management robot</t>
  </si>
  <si>
    <t>AUTOMATED SCORESHEET VERSION 1.1</t>
  </si>
  <si>
    <t xml:space="preserve">Air Conditioning System-Direct Expansion System 
(DX Units)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</si>
</sst>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rgb="FF3F3F76"/>
      <name val="Calibri"/>
      <family val="2"/>
      <scheme val="minor"/>
    </font>
    <font>
      <sz val="10"/>
      <color theme="1"/>
      <name val="Calibri"/>
      <family val="2"/>
      <scheme val="minor"/>
    </font>
    <font>
      <b/>
      <sz val="10"/>
      <color theme="1"/>
      <name val="Calibri"/>
      <family val="2"/>
      <scheme val="minor"/>
    </font>
    <font>
      <sz val="8"/>
      <color theme="1"/>
      <name val="Cambria"/>
      <family val="1"/>
    </font>
    <font>
      <sz val="8"/>
      <color rgb="FF3F3F76"/>
      <name val="Cambria"/>
      <family val="1"/>
    </font>
    <font>
      <b/>
      <sz val="12"/>
      <color theme="1"/>
      <name val="Calibri"/>
      <family val="2"/>
      <scheme val="minor"/>
    </font>
    <font>
      <b/>
      <sz val="8"/>
      <color rgb="FF3F3F76"/>
      <name val="Cambria"/>
      <family val="1"/>
    </font>
    <font>
      <sz val="10"/>
      <name val="Calibri"/>
      <family val="2"/>
      <scheme val="minor"/>
    </font>
    <font>
      <b/>
      <sz val="12"/>
      <name val="Cambria"/>
      <family val="1"/>
    </font>
    <font>
      <sz val="10"/>
      <name val="Arial"/>
      <family val="2"/>
    </font>
    <font>
      <sz val="10"/>
      <name val="Cambria"/>
      <family val="1"/>
    </font>
    <font>
      <b/>
      <sz val="10"/>
      <color rgb="FFFFFFFF"/>
      <name val="Cambria"/>
      <family val="1"/>
    </font>
    <font>
      <sz val="9"/>
      <name val="Cambria"/>
      <family val="1"/>
    </font>
    <font>
      <sz val="9"/>
      <color theme="1"/>
      <name val="Cambria"/>
      <family val="1"/>
    </font>
    <font>
      <b/>
      <sz val="10"/>
      <name val="Cambria"/>
      <family val="1"/>
    </font>
    <font>
      <sz val="11"/>
      <color theme="1"/>
      <name val="Cambria"/>
      <family val="1"/>
    </font>
    <font>
      <sz val="11"/>
      <color theme="0" tint="-0.499984740745262"/>
      <name val="Cambria"/>
      <family val="1"/>
    </font>
    <font>
      <b/>
      <sz val="11"/>
      <color theme="1"/>
      <name val="Cambria"/>
      <family val="1"/>
    </font>
    <font>
      <b/>
      <sz val="11"/>
      <color theme="0"/>
      <name val="Cambria"/>
      <family val="1"/>
    </font>
    <font>
      <b/>
      <sz val="12"/>
      <color rgb="FFFFFFFF"/>
      <name val="Cambria"/>
      <family val="1"/>
    </font>
    <font>
      <sz val="8"/>
      <name val="Cambria"/>
      <family val="1"/>
    </font>
    <font>
      <sz val="10"/>
      <color theme="1"/>
      <name val="Cambria"/>
      <family val="1"/>
    </font>
    <font>
      <sz val="11"/>
      <name val="Cambria"/>
      <family val="1"/>
    </font>
    <font>
      <b/>
      <sz val="12"/>
      <color theme="0"/>
      <name val="Calibri"/>
      <family val="2"/>
      <scheme val="minor"/>
    </font>
    <font>
      <b/>
      <sz val="11"/>
      <color rgb="FFFFFFFF"/>
      <name val="Cambria"/>
      <family val="1"/>
    </font>
    <font>
      <b/>
      <sz val="11"/>
      <name val="Cambria"/>
      <family val="1"/>
    </font>
    <font>
      <sz val="11"/>
      <color theme="0" tint="-0.34998626667073579"/>
      <name val="Cambria"/>
      <family val="1"/>
    </font>
    <font>
      <sz val="9"/>
      <color theme="0" tint="-0.34998626667073579"/>
      <name val="Cambria"/>
      <family val="1"/>
    </font>
    <font>
      <sz val="10"/>
      <color theme="0" tint="-0.34998626667073579"/>
      <name val="Cambria"/>
      <family val="1"/>
    </font>
    <font>
      <sz val="11"/>
      <color theme="1"/>
      <name val="Calibri"/>
      <family val="2"/>
      <scheme val="minor"/>
    </font>
    <font>
      <b/>
      <sz val="14"/>
      <name val="Calibri"/>
      <family val="2"/>
      <scheme val="minor"/>
    </font>
    <font>
      <b/>
      <sz val="12"/>
      <color rgb="FFFFFFFF"/>
      <name val="Calibri"/>
      <family val="2"/>
      <scheme val="minor"/>
    </font>
    <font>
      <b/>
      <sz val="10"/>
      <name val="Calibri"/>
      <family val="2"/>
      <scheme val="minor"/>
    </font>
    <font>
      <b/>
      <sz val="8"/>
      <name val="Cambria"/>
      <family val="1"/>
    </font>
    <font>
      <b/>
      <sz val="12"/>
      <color theme="1"/>
      <name val="Cambria"/>
      <family val="1"/>
    </font>
    <font>
      <b/>
      <sz val="12"/>
      <color rgb="FF00B050"/>
      <name val="Cambria"/>
      <family val="1"/>
    </font>
    <font>
      <b/>
      <sz val="12"/>
      <color rgb="FFFFFFFF"/>
      <name val="Calibri"/>
      <family val="2"/>
    </font>
  </fonts>
  <fills count="25">
    <fill>
      <patternFill patternType="none"/>
    </fill>
    <fill>
      <patternFill patternType="gray125"/>
    </fill>
    <fill>
      <patternFill patternType="solid">
        <fgColor rgb="FFFFCC99"/>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499984740745262"/>
        <bgColor rgb="FF808080"/>
      </patternFill>
    </fill>
    <fill>
      <patternFill patternType="solid">
        <fgColor theme="4" tint="-0.249977111117893"/>
        <bgColor rgb="FF808080"/>
      </patternFill>
    </fill>
    <fill>
      <patternFill patternType="solid">
        <fgColor theme="5" tint="-0.249977111117893"/>
        <bgColor rgb="FF808080"/>
      </patternFill>
    </fill>
    <fill>
      <patternFill patternType="solid">
        <fgColor rgb="FF34B1BE"/>
        <bgColor rgb="FF808080"/>
      </patternFill>
    </fill>
    <fill>
      <patternFill patternType="solid">
        <fgColor rgb="FF0070C0"/>
        <bgColor rgb="FF808080"/>
      </patternFill>
    </fill>
    <fill>
      <patternFill patternType="solid">
        <fgColor theme="9" tint="-0.249977111117893"/>
        <bgColor rgb="FF808080"/>
      </patternFill>
    </fill>
    <fill>
      <patternFill patternType="solid">
        <fgColor rgb="FFB6AF7C"/>
        <bgColor rgb="FF808080"/>
      </patternFill>
    </fill>
    <fill>
      <patternFill patternType="solid">
        <fgColor theme="0" tint="-0.249977111117893"/>
        <bgColor indexed="64"/>
      </patternFill>
    </fill>
    <fill>
      <patternFill patternType="solid">
        <fgColor theme="5" tint="0.59999389629810485"/>
        <bgColor indexed="64"/>
      </patternFill>
    </fill>
    <fill>
      <patternFill patternType="solid">
        <fgColor rgb="FF0070C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rgb="FFB6AF7C"/>
        <bgColor indexed="64"/>
      </patternFill>
    </fill>
    <fill>
      <patternFill patternType="solid">
        <fgColor rgb="FF996633"/>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rgb="FFBFBFBF"/>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2" borderId="1" applyNumberFormat="0" applyAlignment="0" applyProtection="0"/>
    <xf numFmtId="0" fontId="10" fillId="0" borderId="0"/>
    <xf numFmtId="9" fontId="30" fillId="0" borderId="0" applyFont="0" applyFill="0" applyBorder="0" applyAlignment="0" applyProtection="0"/>
  </cellStyleXfs>
  <cellXfs count="307">
    <xf numFmtId="0" fontId="0" fillId="0" borderId="0" xfId="0"/>
    <xf numFmtId="0" fontId="5" fillId="2" borderId="0" xfId="1" applyFont="1" applyBorder="1" applyAlignment="1" applyProtection="1">
      <alignment horizontal="center" vertical="center"/>
      <protection locked="0"/>
    </xf>
    <xf numFmtId="0" fontId="21" fillId="18" borderId="0" xfId="1" applyFont="1" applyFill="1" applyBorder="1" applyAlignment="1" applyProtection="1">
      <alignment horizontal="center" vertical="center"/>
      <protection locked="0"/>
    </xf>
    <xf numFmtId="0" fontId="5" fillId="18" borderId="0" xfId="1" applyFont="1" applyFill="1" applyBorder="1" applyAlignment="1" applyProtection="1">
      <alignment horizontal="center" vertical="center"/>
      <protection locked="0"/>
    </xf>
    <xf numFmtId="0" fontId="7" fillId="18" borderId="0" xfId="1" applyFont="1" applyFill="1" applyBorder="1" applyAlignment="1" applyProtection="1">
      <alignment horizontal="center" vertical="center"/>
      <protection locked="0"/>
    </xf>
    <xf numFmtId="0" fontId="13" fillId="18" borderId="0" xfId="1" applyFont="1" applyFill="1" applyBorder="1" applyAlignment="1" applyProtection="1">
      <alignment horizontal="center" vertical="center"/>
      <protection locked="0"/>
    </xf>
    <xf numFmtId="0" fontId="16" fillId="0" borderId="0" xfId="0" applyFont="1" applyProtection="1"/>
    <xf numFmtId="0" fontId="11" fillId="0" borderId="0" xfId="2" applyFont="1" applyProtection="1"/>
    <xf numFmtId="0" fontId="11" fillId="0" borderId="0" xfId="2" applyFont="1" applyAlignment="1" applyProtection="1">
      <alignment horizontal="right"/>
    </xf>
    <xf numFmtId="0" fontId="11" fillId="0" borderId="0" xfId="2" applyFont="1" applyAlignment="1" applyProtection="1">
      <alignment horizontal="center"/>
    </xf>
    <xf numFmtId="0" fontId="12" fillId="10" borderId="0" xfId="2" applyFont="1" applyFill="1" applyAlignment="1" applyProtection="1">
      <alignment horizontal="center"/>
    </xf>
    <xf numFmtId="2" fontId="12" fillId="10" borderId="0" xfId="2" applyNumberFormat="1" applyFont="1" applyFill="1" applyAlignment="1" applyProtection="1">
      <alignment horizontal="center"/>
    </xf>
    <xf numFmtId="0" fontId="12" fillId="15" borderId="0" xfId="2" applyFont="1" applyFill="1" applyAlignment="1" applyProtection="1">
      <alignment horizontal="center"/>
    </xf>
    <xf numFmtId="2" fontId="12" fillId="15" borderId="0" xfId="2" applyNumberFormat="1" applyFont="1" applyFill="1" applyAlignment="1" applyProtection="1">
      <alignment horizontal="center"/>
    </xf>
    <xf numFmtId="0" fontId="13" fillId="0" borderId="0" xfId="2" applyFont="1" applyProtection="1"/>
    <xf numFmtId="0" fontId="14" fillId="0" borderId="0" xfId="0" applyFont="1" applyAlignment="1" applyProtection="1">
      <alignment horizontal="center"/>
    </xf>
    <xf numFmtId="2" fontId="14" fillId="0" borderId="0" xfId="0" applyNumberFormat="1" applyFont="1" applyAlignment="1" applyProtection="1">
      <alignment horizontal="center"/>
    </xf>
    <xf numFmtId="0" fontId="12" fillId="11" borderId="0" xfId="2" applyFont="1" applyFill="1" applyAlignment="1" applyProtection="1">
      <alignment horizontal="center"/>
    </xf>
    <xf numFmtId="2" fontId="12" fillId="11" borderId="0" xfId="2" applyNumberFormat="1" applyFont="1" applyFill="1" applyAlignment="1" applyProtection="1">
      <alignment horizontal="center"/>
    </xf>
    <xf numFmtId="0" fontId="14" fillId="17" borderId="0" xfId="0" applyFont="1" applyFill="1" applyAlignment="1" applyProtection="1">
      <alignment horizontal="center"/>
    </xf>
    <xf numFmtId="2" fontId="14" fillId="17" borderId="0" xfId="0" applyNumberFormat="1" applyFont="1" applyFill="1" applyAlignment="1" applyProtection="1">
      <alignment horizontal="center"/>
    </xf>
    <xf numFmtId="0" fontId="13" fillId="8" borderId="0" xfId="2" applyFont="1" applyFill="1" applyProtection="1"/>
    <xf numFmtId="0" fontId="14" fillId="8" borderId="0" xfId="0" applyFont="1" applyFill="1" applyAlignment="1" applyProtection="1">
      <alignment horizontal="center"/>
    </xf>
    <xf numFmtId="0" fontId="12" fillId="16" borderId="0" xfId="2" applyFont="1" applyFill="1" applyAlignment="1" applyProtection="1">
      <alignment horizontal="center"/>
    </xf>
    <xf numFmtId="2" fontId="12" fillId="16" borderId="0" xfId="2" applyNumberFormat="1" applyFont="1" applyFill="1" applyAlignment="1" applyProtection="1">
      <alignment horizontal="center"/>
    </xf>
    <xf numFmtId="0" fontId="14" fillId="0" borderId="0" xfId="0" applyFont="1" applyAlignment="1" applyProtection="1">
      <alignment horizontal="left"/>
    </xf>
    <xf numFmtId="0" fontId="16" fillId="0" borderId="0" xfId="0" applyFont="1" applyAlignment="1" applyProtection="1">
      <alignment horizontal="center"/>
    </xf>
    <xf numFmtId="0" fontId="12" fillId="12" borderId="0" xfId="2" applyFont="1" applyFill="1" applyAlignment="1" applyProtection="1">
      <alignment horizontal="center"/>
    </xf>
    <xf numFmtId="2" fontId="16" fillId="0" borderId="0" xfId="0" applyNumberFormat="1" applyFont="1" applyAlignment="1" applyProtection="1">
      <alignment horizontal="center"/>
    </xf>
    <xf numFmtId="0" fontId="16" fillId="0" borderId="0" xfId="0" applyFont="1" applyFill="1" applyAlignment="1" applyProtection="1">
      <alignment horizontal="center"/>
    </xf>
    <xf numFmtId="2" fontId="16" fillId="0" borderId="0" xfId="0" applyNumberFormat="1" applyFont="1" applyFill="1" applyAlignment="1" applyProtection="1">
      <alignment horizontal="center"/>
    </xf>
    <xf numFmtId="0" fontId="18" fillId="0" borderId="2" xfId="0" applyFont="1" applyFill="1" applyBorder="1" applyAlignment="1" applyProtection="1">
      <alignment horizontal="center"/>
    </xf>
    <xf numFmtId="2" fontId="18" fillId="0" borderId="2" xfId="0" applyNumberFormat="1" applyFont="1" applyFill="1" applyBorder="1" applyAlignment="1" applyProtection="1">
      <alignment horizontal="center"/>
    </xf>
    <xf numFmtId="0" fontId="16" fillId="0" borderId="2" xfId="0" applyFont="1" applyFill="1" applyBorder="1" applyAlignment="1" applyProtection="1">
      <alignment horizontal="center"/>
    </xf>
    <xf numFmtId="0" fontId="13" fillId="0" borderId="0" xfId="2" applyFont="1" applyFill="1" applyProtection="1"/>
    <xf numFmtId="0" fontId="13" fillId="0" borderId="0" xfId="2" applyFont="1" applyFill="1" applyAlignment="1" applyProtection="1"/>
    <xf numFmtId="0" fontId="15" fillId="0" borderId="0" xfId="2" applyFont="1" applyFill="1" applyAlignment="1" applyProtection="1">
      <alignment horizontal="left"/>
    </xf>
    <xf numFmtId="0" fontId="18" fillId="0" borderId="0" xfId="0" applyFont="1" applyFill="1" applyAlignment="1" applyProtection="1">
      <alignment horizontal="center"/>
    </xf>
    <xf numFmtId="0" fontId="12" fillId="13" borderId="0" xfId="2" applyFont="1" applyFill="1" applyAlignment="1" applyProtection="1">
      <alignment horizontal="center"/>
    </xf>
    <xf numFmtId="0" fontId="14" fillId="0" borderId="0" xfId="0" applyFont="1" applyFill="1" applyAlignment="1" applyProtection="1">
      <alignment horizontal="center"/>
    </xf>
    <xf numFmtId="0" fontId="12" fillId="14" borderId="0" xfId="2" applyFont="1" applyFill="1" applyAlignment="1" applyProtection="1">
      <alignment horizontal="center"/>
    </xf>
    <xf numFmtId="2" fontId="12" fillId="14" borderId="0" xfId="2" applyNumberFormat="1" applyFont="1" applyFill="1" applyAlignment="1" applyProtection="1">
      <alignment horizontal="center"/>
    </xf>
    <xf numFmtId="0" fontId="23" fillId="0" borderId="0" xfId="2" applyFont="1" applyFill="1" applyAlignment="1" applyProtection="1">
      <alignment horizontal="left"/>
    </xf>
    <xf numFmtId="0" fontId="25" fillId="0" borderId="0" xfId="2" applyFont="1" applyFill="1" applyAlignment="1" applyProtection="1"/>
    <xf numFmtId="2" fontId="23" fillId="0" borderId="0" xfId="2" applyNumberFormat="1" applyFont="1" applyFill="1" applyAlignment="1" applyProtection="1">
      <alignment horizontal="center"/>
    </xf>
    <xf numFmtId="0" fontId="25" fillId="0" borderId="0" xfId="2" applyFont="1" applyFill="1" applyAlignment="1" applyProtection="1">
      <alignment horizontal="center"/>
    </xf>
    <xf numFmtId="0" fontId="19" fillId="0" borderId="0" xfId="0" applyFont="1" applyFill="1" applyAlignment="1" applyProtection="1">
      <alignment horizontal="center"/>
    </xf>
    <xf numFmtId="2" fontId="23" fillId="0" borderId="4" xfId="2" applyNumberFormat="1" applyFont="1" applyFill="1" applyBorder="1" applyAlignment="1" applyProtection="1">
      <alignment horizontal="center"/>
    </xf>
    <xf numFmtId="0" fontId="16" fillId="0" borderId="4" xfId="0" applyFont="1" applyFill="1" applyBorder="1" applyAlignment="1" applyProtection="1">
      <alignment horizontal="center"/>
    </xf>
    <xf numFmtId="2" fontId="16" fillId="0" borderId="4" xfId="0" applyNumberFormat="1" applyFont="1" applyFill="1" applyBorder="1" applyAlignment="1" applyProtection="1">
      <alignment horizontal="center"/>
    </xf>
    <xf numFmtId="0" fontId="23" fillId="0" borderId="0" xfId="2" applyFont="1" applyFill="1" applyBorder="1" applyProtection="1"/>
    <xf numFmtId="0" fontId="16" fillId="0" borderId="0" xfId="0" applyFont="1" applyBorder="1" applyProtection="1"/>
    <xf numFmtId="2" fontId="23" fillId="0" borderId="0" xfId="2" applyNumberFormat="1" applyFont="1" applyFill="1" applyBorder="1" applyAlignment="1" applyProtection="1">
      <alignment horizontal="center"/>
    </xf>
    <xf numFmtId="0" fontId="16" fillId="0" borderId="0" xfId="0" applyFont="1" applyBorder="1" applyAlignment="1" applyProtection="1">
      <alignment horizontal="center"/>
    </xf>
    <xf numFmtId="0" fontId="16" fillId="0" borderId="0" xfId="0" applyFont="1" applyFill="1" applyBorder="1" applyAlignment="1" applyProtection="1">
      <alignment horizontal="center"/>
    </xf>
    <xf numFmtId="0" fontId="23" fillId="0" borderId="3" xfId="2" applyFont="1" applyFill="1" applyBorder="1" applyProtection="1"/>
    <xf numFmtId="0" fontId="23" fillId="0" borderId="3" xfId="2" applyFont="1" applyFill="1" applyBorder="1" applyAlignment="1" applyProtection="1"/>
    <xf numFmtId="2" fontId="16" fillId="0" borderId="3" xfId="0" applyNumberFormat="1" applyFont="1" applyBorder="1" applyAlignment="1" applyProtection="1">
      <alignment horizontal="center"/>
    </xf>
    <xf numFmtId="0" fontId="16" fillId="0" borderId="3" xfId="0" applyFont="1" applyBorder="1" applyAlignment="1" applyProtection="1">
      <alignment horizontal="left"/>
    </xf>
    <xf numFmtId="0" fontId="19" fillId="0" borderId="3" xfId="0" applyFont="1" applyFill="1" applyBorder="1" applyAlignment="1" applyProtection="1">
      <alignment horizontal="center"/>
    </xf>
    <xf numFmtId="0" fontId="16" fillId="0" borderId="3" xfId="0" applyFont="1" applyFill="1" applyBorder="1" applyAlignment="1" applyProtection="1">
      <alignment horizontal="center"/>
    </xf>
    <xf numFmtId="0" fontId="23" fillId="0" borderId="0" xfId="2" applyFont="1" applyFill="1" applyAlignment="1" applyProtection="1"/>
    <xf numFmtId="0" fontId="23" fillId="0" borderId="0" xfId="2" applyFont="1" applyFill="1" applyAlignment="1" applyProtection="1">
      <alignment horizontal="center"/>
    </xf>
    <xf numFmtId="0" fontId="13" fillId="0" borderId="0" xfId="2" applyFont="1" applyAlignment="1" applyProtection="1"/>
    <xf numFmtId="0" fontId="16" fillId="0" borderId="0" xfId="0" applyFont="1" applyAlignment="1" applyProtection="1"/>
    <xf numFmtId="0" fontId="11" fillId="0" borderId="0" xfId="2" applyFont="1" applyFill="1" applyProtection="1"/>
    <xf numFmtId="0" fontId="20" fillId="10" borderId="0" xfId="2" applyFont="1" applyFill="1" applyProtection="1"/>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2" fillId="6" borderId="0" xfId="0" applyFont="1" applyFill="1" applyAlignment="1" applyProtection="1">
      <alignment horizontal="center" vertical="center"/>
    </xf>
    <xf numFmtId="0" fontId="2" fillId="6" borderId="0" xfId="0" applyFont="1" applyFill="1" applyAlignment="1" applyProtection="1">
      <alignment vertical="center" wrapText="1"/>
    </xf>
    <xf numFmtId="0" fontId="2" fillId="4" borderId="0" xfId="0" applyFont="1" applyFill="1" applyAlignment="1" applyProtection="1">
      <alignment horizontal="center" vertical="center"/>
    </xf>
    <xf numFmtId="0" fontId="2" fillId="4" borderId="0" xfId="0" applyFont="1" applyFill="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indent="1"/>
    </xf>
    <xf numFmtId="0" fontId="2" fillId="0" borderId="0" xfId="0"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0" fontId="3" fillId="3" borderId="0" xfId="0" applyFont="1" applyFill="1" applyAlignment="1" applyProtection="1">
      <alignment vertical="center"/>
    </xf>
    <xf numFmtId="0" fontId="3" fillId="5" borderId="0" xfId="0" applyFont="1" applyFill="1" applyAlignment="1" applyProtection="1">
      <alignment horizontal="center" vertical="center"/>
    </xf>
    <xf numFmtId="0" fontId="4" fillId="6" borderId="0" xfId="0" applyFont="1" applyFill="1" applyBorder="1" applyAlignment="1" applyProtection="1">
      <alignment horizontal="center" vertical="center"/>
    </xf>
    <xf numFmtId="0" fontId="2" fillId="6" borderId="0" xfId="0" applyFont="1" applyFill="1" applyAlignment="1" applyProtection="1">
      <alignment horizontal="center" vertical="center" wrapText="1"/>
    </xf>
    <xf numFmtId="2" fontId="2" fillId="6" borderId="0" xfId="0" applyNumberFormat="1" applyFont="1" applyFill="1" applyAlignment="1" applyProtection="1">
      <alignment horizontal="center" vertical="center"/>
    </xf>
    <xf numFmtId="0" fontId="2" fillId="5"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4" fillId="0" borderId="0" xfId="0" applyFont="1" applyBorder="1" applyAlignment="1" applyProtection="1">
      <alignment horizontal="center" vertical="center"/>
    </xf>
    <xf numFmtId="0" fontId="3" fillId="0" borderId="0" xfId="0" applyFont="1" applyAlignment="1" applyProtection="1">
      <alignment horizontal="center" vertical="center" wrapText="1"/>
    </xf>
    <xf numFmtId="2" fontId="3" fillId="0" borderId="0" xfId="0" applyNumberFormat="1" applyFont="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Alignment="1" applyProtection="1">
      <alignment horizontal="center" vertical="center"/>
    </xf>
    <xf numFmtId="0" fontId="20" fillId="14" borderId="0" xfId="2" applyFont="1" applyFill="1" applyProtection="1"/>
    <xf numFmtId="0" fontId="2" fillId="0" borderId="0" xfId="0" applyFont="1" applyAlignment="1" applyProtection="1">
      <alignment vertical="center"/>
    </xf>
    <xf numFmtId="0" fontId="3" fillId="21" borderId="0" xfId="0" applyFont="1" applyFill="1" applyAlignment="1" applyProtection="1">
      <alignment horizontal="center" vertical="center"/>
    </xf>
    <xf numFmtId="0" fontId="3" fillId="21" borderId="0" xfId="0" applyFont="1" applyFill="1" applyAlignment="1" applyProtection="1">
      <alignment vertical="center" wrapText="1"/>
    </xf>
    <xf numFmtId="0" fontId="2" fillId="20" borderId="0" xfId="0" applyFont="1" applyFill="1" applyAlignment="1" applyProtection="1">
      <alignment horizontal="left" vertical="center" wrapText="1" indent="1"/>
    </xf>
    <xf numFmtId="0" fontId="2" fillId="4" borderId="0" xfId="0" quotePrefix="1" applyFont="1" applyFill="1" applyAlignment="1" applyProtection="1">
      <alignment horizontal="center" vertical="center"/>
    </xf>
    <xf numFmtId="0" fontId="2" fillId="21" borderId="0" xfId="0" applyFont="1" applyFill="1" applyAlignment="1" applyProtection="1">
      <alignment horizontal="center" vertical="center"/>
    </xf>
    <xf numFmtId="0" fontId="2" fillId="20" borderId="0" xfId="0" quotePrefix="1" applyFont="1" applyFill="1" applyAlignment="1" applyProtection="1">
      <alignment horizontal="center" vertical="center"/>
    </xf>
    <xf numFmtId="0" fontId="2" fillId="20" borderId="0" xfId="0" applyFont="1" applyFill="1" applyAlignment="1" applyProtection="1">
      <alignment horizontal="center" vertical="center"/>
    </xf>
    <xf numFmtId="0" fontId="2" fillId="6" borderId="0" xfId="0" quotePrefix="1" applyFont="1" applyFill="1" applyAlignment="1" applyProtection="1">
      <alignment horizontal="center" vertical="center"/>
    </xf>
    <xf numFmtId="0" fontId="4" fillId="18" borderId="0" xfId="0" applyFont="1" applyFill="1" applyBorder="1" applyAlignment="1" applyProtection="1">
      <alignment horizontal="center" vertical="center"/>
      <protection locked="0"/>
    </xf>
    <xf numFmtId="0" fontId="27" fillId="22" borderId="0" xfId="0" applyFont="1" applyFill="1" applyProtection="1"/>
    <xf numFmtId="0" fontId="27" fillId="22" borderId="0" xfId="2" applyFont="1" applyFill="1" applyAlignment="1" applyProtection="1"/>
    <xf numFmtId="0" fontId="27" fillId="22" borderId="0" xfId="2" applyFont="1" applyFill="1" applyAlignment="1" applyProtection="1">
      <alignment horizontal="center"/>
    </xf>
    <xf numFmtId="0" fontId="28" fillId="22" borderId="0" xfId="2" applyFont="1" applyFill="1" applyAlignment="1" applyProtection="1"/>
    <xf numFmtId="0" fontId="27" fillId="22" borderId="0" xfId="0" applyFont="1" applyFill="1" applyAlignment="1" applyProtection="1"/>
    <xf numFmtId="0" fontId="27" fillId="22" borderId="0" xfId="0" applyFont="1" applyFill="1" applyAlignment="1" applyProtection="1">
      <alignment horizontal="center"/>
    </xf>
    <xf numFmtId="0" fontId="29" fillId="22" borderId="0" xfId="2" applyFont="1" applyFill="1" applyProtection="1"/>
    <xf numFmtId="9" fontId="2" fillId="18" borderId="0" xfId="3" applyFont="1" applyFill="1" applyAlignment="1" applyProtection="1">
      <alignment vertical="center" wrapText="1"/>
      <protection locked="0"/>
    </xf>
    <xf numFmtId="9" fontId="8" fillId="18" borderId="0" xfId="3" applyFont="1" applyFill="1" applyAlignment="1" applyProtection="1">
      <alignment vertical="center" wrapText="1"/>
      <protection locked="0"/>
    </xf>
    <xf numFmtId="0" fontId="0" fillId="0" borderId="0" xfId="0" applyAlignment="1">
      <alignment horizontal="center" vertical="center"/>
    </xf>
    <xf numFmtId="0" fontId="0" fillId="0" borderId="0" xfId="0" applyAlignment="1">
      <alignment horizontal="left"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left"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center" vertical="center"/>
    </xf>
    <xf numFmtId="0" fontId="0" fillId="0" borderId="7" xfId="0" applyBorder="1" applyAlignment="1">
      <alignment horizontal="left"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xf>
    <xf numFmtId="0" fontId="31" fillId="0" borderId="10" xfId="0" applyFont="1" applyBorder="1" applyAlignment="1">
      <alignment horizontal="center" wrapText="1"/>
    </xf>
    <xf numFmtId="0" fontId="31" fillId="0" borderId="12"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0" fontId="6" fillId="0" borderId="11" xfId="0" applyFont="1" applyBorder="1" applyAlignment="1">
      <alignment horizontal="center" wrapText="1"/>
    </xf>
    <xf numFmtId="0" fontId="6" fillId="0" borderId="12" xfId="0" applyFont="1" applyBorder="1" applyAlignment="1">
      <alignment horizontal="center" vertical="center"/>
    </xf>
    <xf numFmtId="0" fontId="26" fillId="0" borderId="0" xfId="2" applyFont="1" applyFill="1" applyBorder="1" applyAlignment="1" applyProtection="1">
      <alignment horizontal="center" vertical="center" wrapText="1"/>
    </xf>
    <xf numFmtId="0" fontId="26" fillId="0" borderId="0" xfId="2" applyFont="1" applyFill="1" applyBorder="1" applyAlignment="1" applyProtection="1">
      <alignment horizontal="center" vertical="center"/>
    </xf>
    <xf numFmtId="0" fontId="16" fillId="0" borderId="0" xfId="0" applyFont="1" applyBorder="1" applyAlignment="1" applyProtection="1">
      <alignment horizontal="center" vertical="center"/>
    </xf>
    <xf numFmtId="2" fontId="18"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0" fillId="12" borderId="0" xfId="2" applyFont="1" applyFill="1" applyProtection="1"/>
    <xf numFmtId="0" fontId="3" fillId="3" borderId="0" xfId="0" applyFont="1" applyFill="1" applyAlignment="1" applyProtection="1">
      <alignment vertical="center" wrapText="1"/>
    </xf>
    <xf numFmtId="0" fontId="3" fillId="4" borderId="0" xfId="0" applyFont="1" applyFill="1" applyAlignment="1" applyProtection="1">
      <alignment horizontal="center" vertical="center" wrapText="1"/>
    </xf>
    <xf numFmtId="9" fontId="3" fillId="21" borderId="0" xfId="3" applyFont="1" applyFill="1" applyAlignment="1" applyProtection="1">
      <alignment horizontal="center" vertical="center" wrapText="1"/>
    </xf>
    <xf numFmtId="9" fontId="2" fillId="5" borderId="0" xfId="3" applyFont="1" applyFill="1" applyAlignment="1" applyProtection="1">
      <alignment horizontal="center" vertical="center"/>
    </xf>
    <xf numFmtId="164" fontId="2" fillId="5" borderId="0" xfId="0" applyNumberFormat="1" applyFont="1" applyFill="1" applyAlignment="1" applyProtection="1">
      <alignment horizontal="center" vertical="center"/>
    </xf>
    <xf numFmtId="9" fontId="2" fillId="9" borderId="0" xfId="3" applyFont="1" applyFill="1" applyAlignment="1" applyProtection="1">
      <alignment vertical="center" wrapText="1"/>
      <protection locked="0"/>
    </xf>
    <xf numFmtId="0" fontId="22" fillId="6" borderId="0" xfId="0" applyFont="1" applyFill="1" applyBorder="1" applyAlignment="1" applyProtection="1">
      <alignment horizontal="center" vertical="center" wrapText="1"/>
    </xf>
    <xf numFmtId="9" fontId="2" fillId="18" borderId="0" xfId="3" applyFont="1" applyFill="1" applyAlignment="1" applyProtection="1">
      <alignment horizontal="center" vertical="center" wrapText="1"/>
      <protection locked="0"/>
    </xf>
    <xf numFmtId="9" fontId="4" fillId="0" borderId="0" xfId="0" applyNumberFormat="1" applyFont="1" applyBorder="1" applyAlignment="1" applyProtection="1">
      <alignment horizontal="left" vertical="center"/>
    </xf>
    <xf numFmtId="9" fontId="4" fillId="0" borderId="0" xfId="0" applyNumberFormat="1" applyFont="1" applyBorder="1" applyAlignment="1" applyProtection="1">
      <alignment horizontal="right"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vertical="center" wrapText="1"/>
    </xf>
    <xf numFmtId="0" fontId="9" fillId="0" borderId="3" xfId="2" applyFont="1" applyFill="1" applyBorder="1" applyAlignment="1" applyProtection="1">
      <alignment horizontal="left"/>
    </xf>
    <xf numFmtId="0" fontId="35" fillId="0" borderId="3" xfId="0" applyFont="1" applyFill="1" applyBorder="1" applyAlignment="1" applyProtection="1">
      <alignment horizontal="center"/>
    </xf>
    <xf numFmtId="0" fontId="14" fillId="0" borderId="0" xfId="0" applyFont="1" applyFill="1" applyAlignment="1" applyProtection="1">
      <alignment horizontal="right"/>
    </xf>
    <xf numFmtId="0" fontId="13" fillId="8" borderId="0" xfId="2" applyFont="1" applyFill="1" applyAlignment="1" applyProtection="1">
      <alignment horizontal="right"/>
    </xf>
    <xf numFmtId="0" fontId="2" fillId="0" borderId="0" xfId="0" quotePrefix="1" applyFont="1" applyFill="1" applyAlignment="1" applyProtection="1">
      <alignment horizontal="center" vertical="center"/>
    </xf>
    <xf numFmtId="2" fontId="12" fillId="13" borderId="0" xfId="2" applyNumberFormat="1" applyFont="1" applyFill="1" applyAlignment="1" applyProtection="1">
      <alignment horizontal="center"/>
    </xf>
    <xf numFmtId="0" fontId="0" fillId="0" borderId="18"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left"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center" vertical="center" wrapText="1"/>
    </xf>
    <xf numFmtId="0" fontId="32" fillId="24"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center" vertical="center" wrapText="1"/>
    </xf>
    <xf numFmtId="0" fontId="15" fillId="0" borderId="2" xfId="2" applyFont="1" applyFill="1" applyBorder="1" applyAlignment="1" applyProtection="1">
      <alignment horizontal="left"/>
    </xf>
    <xf numFmtId="0" fontId="3" fillId="3" borderId="0" xfId="0" applyFont="1" applyFill="1" applyAlignment="1" applyProtection="1">
      <alignment horizontal="center" vertical="center"/>
    </xf>
    <xf numFmtId="0" fontId="3" fillId="21" borderId="0" xfId="0" applyFont="1" applyFill="1" applyAlignment="1" applyProtection="1">
      <alignment horizontal="center" vertical="center" wrapText="1"/>
    </xf>
    <xf numFmtId="0" fontId="2" fillId="0" borderId="0" xfId="0" quotePrefix="1" applyFont="1" applyAlignment="1" applyProtection="1">
      <alignment horizontal="center" vertical="center"/>
    </xf>
    <xf numFmtId="0" fontId="2" fillId="0" borderId="0" xfId="0" applyFont="1" applyAlignment="1" applyProtection="1">
      <alignment horizontal="center" vertical="center"/>
    </xf>
    <xf numFmtId="9" fontId="8" fillId="18" borderId="0" xfId="3" applyFont="1" applyFill="1" applyAlignment="1" applyProtection="1">
      <alignment horizontal="center" vertical="center" wrapText="1"/>
      <protection locked="0"/>
    </xf>
    <xf numFmtId="9" fontId="2" fillId="9" borderId="0" xfId="3" applyFont="1" applyFill="1" applyAlignment="1" applyProtection="1">
      <alignment horizontal="center" vertical="center" wrapText="1"/>
      <protection locked="0"/>
    </xf>
    <xf numFmtId="0" fontId="5" fillId="9" borderId="0" xfId="1" applyFont="1" applyFill="1" applyBorder="1" applyAlignment="1" applyProtection="1">
      <alignment horizontal="center" vertical="center"/>
      <protection locked="0"/>
    </xf>
    <xf numFmtId="9" fontId="8" fillId="18" borderId="0" xfId="3" applyFont="1" applyFill="1" applyBorder="1" applyAlignment="1" applyProtection="1">
      <alignment horizontal="center" vertical="center"/>
      <protection locked="0"/>
    </xf>
    <xf numFmtId="0" fontId="17" fillId="0" borderId="0" xfId="0" applyFont="1" applyProtection="1"/>
    <xf numFmtId="0" fontId="12" fillId="24" borderId="0" xfId="0" applyFont="1" applyFill="1" applyBorder="1" applyAlignment="1" applyProtection="1">
      <alignment horizontal="center" vertical="center" wrapText="1"/>
    </xf>
    <xf numFmtId="0" fontId="12" fillId="24"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6" fillId="0" borderId="3" xfId="0" applyFont="1" applyBorder="1" applyProtection="1"/>
    <xf numFmtId="0" fontId="35" fillId="0" borderId="0" xfId="0" applyFont="1" applyProtection="1"/>
    <xf numFmtId="0" fontId="35" fillId="7" borderId="0" xfId="0" applyFont="1" applyFill="1" applyAlignment="1" applyProtection="1">
      <alignment horizontal="center"/>
    </xf>
    <xf numFmtId="9" fontId="34" fillId="0" borderId="0" xfId="3" applyFont="1" applyFill="1" applyBorder="1" applyAlignment="1" applyProtection="1">
      <alignment horizontal="center" vertical="center"/>
    </xf>
    <xf numFmtId="9" fontId="8" fillId="0" borderId="0" xfId="3" applyFont="1" applyFill="1" applyAlignment="1" applyProtection="1">
      <alignment vertical="center" wrapText="1"/>
    </xf>
    <xf numFmtId="0" fontId="2" fillId="0" borderId="0" xfId="0" applyFont="1" applyFill="1" applyAlignment="1" applyProtection="1">
      <alignment horizontal="left" vertical="center" wrapText="1"/>
    </xf>
    <xf numFmtId="0" fontId="8" fillId="0" borderId="0" xfId="0" applyFont="1" applyAlignment="1" applyProtection="1">
      <alignment horizontal="left" vertical="center" wrapText="1"/>
    </xf>
    <xf numFmtId="0" fontId="20" fillId="13" borderId="0" xfId="2" applyFont="1" applyFill="1" applyProtection="1"/>
    <xf numFmtId="0" fontId="4" fillId="0" borderId="0" xfId="0" applyFont="1" applyAlignment="1" applyProtection="1">
      <alignment horizontal="center" vertical="center"/>
    </xf>
    <xf numFmtId="0" fontId="6" fillId="19" borderId="0" xfId="0" applyFont="1" applyFill="1" applyAlignment="1" applyProtection="1">
      <alignment horizontal="left" vertical="center"/>
    </xf>
    <xf numFmtId="0" fontId="2" fillId="19" borderId="0" xfId="0" applyFont="1" applyFill="1" applyAlignment="1" applyProtection="1">
      <alignment vertical="center" wrapText="1"/>
    </xf>
    <xf numFmtId="0" fontId="2" fillId="19" borderId="0" xfId="0" applyFont="1" applyFill="1" applyAlignment="1" applyProtection="1">
      <alignment horizontal="center" vertical="center" wrapText="1"/>
    </xf>
    <xf numFmtId="0" fontId="2" fillId="19" borderId="0" xfId="0" applyFont="1" applyFill="1" applyAlignment="1" applyProtection="1">
      <alignment horizontal="center" vertical="center"/>
    </xf>
    <xf numFmtId="0" fontId="2" fillId="0" borderId="0" xfId="0" applyFont="1" applyFill="1" applyAlignment="1" applyProtection="1">
      <alignment vertical="center"/>
    </xf>
    <xf numFmtId="0" fontId="33" fillId="0" borderId="0" xfId="1" applyFont="1" applyFill="1" applyBorder="1" applyAlignment="1" applyProtection="1">
      <alignment horizontal="center" vertical="center"/>
    </xf>
    <xf numFmtId="0" fontId="8" fillId="0" borderId="0" xfId="0" applyFont="1" applyFill="1" applyAlignment="1" applyProtection="1">
      <alignment horizontal="center" vertical="center"/>
    </xf>
    <xf numFmtId="0" fontId="24" fillId="21"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1" borderId="0" xfId="0" applyFont="1" applyFill="1" applyAlignment="1" applyProtection="1">
      <alignment horizontal="center" vertical="center" wrapText="1"/>
    </xf>
    <xf numFmtId="0" fontId="2" fillId="20" borderId="0" xfId="0" quotePrefix="1" applyFont="1" applyFill="1" applyAlignment="1" applyProtection="1">
      <alignment horizontal="left" vertical="center" wrapText="1" indent="2"/>
    </xf>
    <xf numFmtId="9" fontId="2" fillId="0" borderId="0" xfId="3" applyFont="1" applyFill="1" applyAlignment="1" applyProtection="1">
      <alignment vertical="center" wrapText="1"/>
    </xf>
    <xf numFmtId="0" fontId="8" fillId="0" borderId="0" xfId="0" quotePrefix="1" applyFont="1" applyFill="1" applyAlignment="1" applyProtection="1">
      <alignment horizontal="center" vertical="center"/>
    </xf>
    <xf numFmtId="0" fontId="2" fillId="0" borderId="0" xfId="0" applyFont="1" applyAlignment="1" applyProtection="1">
      <alignment wrapText="1"/>
    </xf>
    <xf numFmtId="0" fontId="24" fillId="23" borderId="0" xfId="0" applyFont="1" applyFill="1" applyAlignment="1" applyProtection="1">
      <alignment horizontal="left" vertical="center"/>
    </xf>
    <xf numFmtId="0" fontId="2" fillId="23" borderId="0" xfId="0" applyFont="1" applyFill="1" applyAlignment="1" applyProtection="1">
      <alignment vertical="center" wrapText="1"/>
    </xf>
    <xf numFmtId="0" fontId="2" fillId="23" borderId="0" xfId="0" applyFont="1" applyFill="1" applyAlignment="1" applyProtection="1">
      <alignment horizontal="center" vertical="center" wrapText="1"/>
    </xf>
    <xf numFmtId="0" fontId="2" fillId="23" borderId="0" xfId="0" applyFont="1" applyFill="1" applyAlignment="1" applyProtection="1">
      <alignment horizontal="center" vertical="center"/>
    </xf>
    <xf numFmtId="9" fontId="2" fillId="18" borderId="0" xfId="3" applyFont="1" applyFill="1" applyAlignment="1" applyProtection="1">
      <alignment vertical="center"/>
      <protection locked="0"/>
    </xf>
    <xf numFmtId="0" fontId="3" fillId="3" borderId="0" xfId="0" applyFont="1" applyFill="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Alignment="1" applyProtection="1">
      <alignment horizontal="center" vertical="center"/>
    </xf>
    <xf numFmtId="0" fontId="21" fillId="18"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9" fontId="8" fillId="18" borderId="0" xfId="3" applyFont="1" applyFill="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5" borderId="0" xfId="0" applyFont="1" applyFill="1" applyAlignment="1" applyProtection="1">
      <alignment horizontal="center" vertical="center"/>
    </xf>
    <xf numFmtId="0" fontId="5" fillId="9" borderId="0"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0" applyFont="1" applyAlignment="1" applyProtection="1">
      <alignment horizontal="left" vertical="center" wrapText="1"/>
    </xf>
    <xf numFmtId="0" fontId="12" fillId="12" borderId="0" xfId="2" applyFont="1" applyFill="1" applyAlignment="1" applyProtection="1">
      <alignment horizontal="center" vertical="center"/>
    </xf>
    <xf numFmtId="2" fontId="12" fillId="12" borderId="0" xfId="2" applyNumberFormat="1" applyFont="1" applyFill="1" applyAlignment="1" applyProtection="1">
      <alignment horizontal="center" vertical="center"/>
    </xf>
    <xf numFmtId="0" fontId="5" fillId="0" borderId="0" xfId="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2" fillId="10" borderId="14" xfId="2" applyFont="1" applyFill="1" applyBorder="1" applyAlignment="1">
      <alignment horizontal="center" vertical="center" wrapText="1"/>
    </xf>
    <xf numFmtId="0" fontId="32" fillId="0" borderId="0" xfId="2"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pplyProtection="1">
      <alignment horizontal="center" vertical="center"/>
    </xf>
    <xf numFmtId="9" fontId="2" fillId="9" borderId="0" xfId="3" applyFont="1" applyFill="1" applyAlignment="1" applyProtection="1">
      <alignment horizontal="center" vertical="center" wrapText="1"/>
      <protection locked="0"/>
    </xf>
    <xf numFmtId="0" fontId="5" fillId="9" borderId="0" xfId="1" applyFont="1" applyFill="1" applyBorder="1" applyAlignment="1" applyProtection="1">
      <alignment horizontal="center" vertical="center"/>
      <protection locked="0"/>
    </xf>
    <xf numFmtId="0" fontId="2" fillId="0" borderId="0" xfId="0" quotePrefix="1" applyFont="1" applyAlignment="1" applyProtection="1">
      <alignment horizontal="left" vertical="center" wrapText="1" indent="2"/>
    </xf>
    <xf numFmtId="0" fontId="3" fillId="0" borderId="0" xfId="0" applyFont="1" applyAlignment="1" applyProtection="1">
      <alignment horizontal="left" vertical="center" wrapText="1"/>
    </xf>
    <xf numFmtId="0" fontId="33" fillId="4" borderId="0" xfId="0" applyFont="1" applyFill="1" applyAlignment="1" applyProtection="1">
      <alignment horizontal="center" vertical="center" wrapText="1"/>
    </xf>
    <xf numFmtId="0" fontId="35" fillId="7" borderId="3" xfId="0" applyFont="1" applyFill="1" applyBorder="1" applyAlignment="1">
      <alignment horizontal="center"/>
    </xf>
    <xf numFmtId="0" fontId="14" fillId="0" borderId="0" xfId="0" applyFont="1" applyFill="1" applyAlignment="1" applyProtection="1">
      <alignment horizontal="center" vertical="center"/>
    </xf>
    <xf numFmtId="0" fontId="14" fillId="8" borderId="0" xfId="0" applyFont="1" applyFill="1" applyAlignment="1" applyProtection="1">
      <alignment horizontal="right" vertical="center"/>
    </xf>
    <xf numFmtId="0" fontId="14" fillId="8" borderId="0" xfId="0" applyFont="1" applyFill="1" applyAlignment="1" applyProtection="1">
      <alignment horizontal="center" vertical="center"/>
    </xf>
    <xf numFmtId="2" fontId="14" fillId="8" borderId="0" xfId="0" applyNumberFormat="1" applyFont="1" applyFill="1" applyAlignment="1" applyProtection="1">
      <alignment horizontal="center" vertical="center"/>
    </xf>
    <xf numFmtId="0" fontId="2" fillId="4" borderId="0" xfId="0" applyFont="1" applyFill="1" applyAlignment="1">
      <alignment vertical="center" wrapText="1"/>
    </xf>
    <xf numFmtId="0" fontId="2" fillId="0" borderId="0" xfId="0" applyFont="1" applyAlignment="1">
      <alignment vertical="center" wrapText="1"/>
    </xf>
    <xf numFmtId="2" fontId="14" fillId="0" borderId="0" xfId="0" applyNumberFormat="1" applyFont="1" applyAlignment="1" applyProtection="1">
      <alignment horizontal="center" vertical="center"/>
    </xf>
    <xf numFmtId="0" fontId="14" fillId="0" borderId="0" xfId="0" applyFont="1" applyFill="1" applyAlignment="1" applyProtection="1">
      <alignment horizontal="right" vertical="center"/>
    </xf>
    <xf numFmtId="2" fontId="12" fillId="24" borderId="0" xfId="0" applyNumberFormat="1" applyFont="1" applyFill="1" applyBorder="1" applyAlignment="1" applyProtection="1">
      <alignment horizontal="center" vertical="center" wrapText="1"/>
    </xf>
    <xf numFmtId="0" fontId="9" fillId="0" borderId="0" xfId="2" applyFont="1" applyFill="1" applyAlignment="1" applyProtection="1">
      <alignment horizontal="left" wrapText="1"/>
    </xf>
    <xf numFmtId="0" fontId="13" fillId="0" borderId="0" xfId="2" applyFont="1" applyAlignment="1" applyProtection="1">
      <alignment horizontal="left"/>
    </xf>
    <xf numFmtId="0" fontId="12" fillId="24" borderId="17" xfId="0" applyFont="1" applyFill="1" applyBorder="1" applyAlignment="1" applyProtection="1">
      <alignment horizontal="left" vertical="center" wrapText="1"/>
    </xf>
    <xf numFmtId="0" fontId="12" fillId="24" borderId="0" xfId="0" applyFont="1" applyFill="1" applyBorder="1" applyAlignment="1" applyProtection="1">
      <alignment horizontal="left" vertical="center" wrapText="1"/>
    </xf>
    <xf numFmtId="0" fontId="23" fillId="0" borderId="4" xfId="2" applyFont="1" applyFill="1" applyBorder="1" applyAlignment="1" applyProtection="1">
      <alignment horizontal="left"/>
    </xf>
    <xf numFmtId="0" fontId="12" fillId="16" borderId="0" xfId="2" applyFont="1" applyFill="1" applyAlignment="1" applyProtection="1">
      <alignment horizontal="left"/>
    </xf>
    <xf numFmtId="0" fontId="15" fillId="0" borderId="2" xfId="2" applyFont="1" applyFill="1" applyBorder="1" applyAlignment="1" applyProtection="1">
      <alignment horizontal="left"/>
    </xf>
    <xf numFmtId="0" fontId="13" fillId="0" borderId="5" xfId="2" applyFont="1" applyFill="1" applyBorder="1" applyAlignment="1" applyProtection="1">
      <alignment horizontal="center"/>
    </xf>
    <xf numFmtId="0" fontId="13" fillId="0" borderId="0" xfId="2" applyFont="1" applyAlignment="1" applyProtection="1">
      <alignment horizontal="left" vertical="center" wrapText="1"/>
    </xf>
    <xf numFmtId="0" fontId="13" fillId="8" borderId="0" xfId="2" applyFont="1" applyFill="1" applyAlignment="1" applyProtection="1">
      <alignment horizontal="left" vertical="center" wrapText="1"/>
    </xf>
    <xf numFmtId="0" fontId="9" fillId="0" borderId="0" xfId="0" applyFont="1" applyAlignment="1" applyProtection="1">
      <alignment horizontal="left"/>
    </xf>
    <xf numFmtId="0" fontId="14" fillId="0" borderId="0" xfId="0" applyFont="1" applyAlignment="1" applyProtection="1">
      <alignment horizontal="center" vertical="center"/>
    </xf>
    <xf numFmtId="0" fontId="12" fillId="14" borderId="0" xfId="2" applyFont="1" applyFill="1" applyAlignment="1" applyProtection="1">
      <alignment horizontal="left"/>
    </xf>
    <xf numFmtId="0" fontId="35" fillId="0" borderId="0" xfId="0" applyFont="1" applyAlignment="1" applyProtection="1">
      <alignment horizontal="left"/>
    </xf>
    <xf numFmtId="2" fontId="14" fillId="0" borderId="0" xfId="0" applyNumberFormat="1" applyFont="1" applyAlignment="1" applyProtection="1">
      <alignment horizontal="center" vertical="center"/>
    </xf>
    <xf numFmtId="0" fontId="13" fillId="17" borderId="0" xfId="2" applyFont="1" applyFill="1" applyAlignment="1" applyProtection="1">
      <alignment horizontal="left"/>
    </xf>
    <xf numFmtId="0" fontId="9" fillId="0" borderId="0" xfId="0" applyFont="1" applyAlignment="1" applyProtection="1">
      <alignment horizontal="left"/>
      <protection locked="0"/>
    </xf>
    <xf numFmtId="0" fontId="12" fillId="11" borderId="0" xfId="2" applyFont="1" applyFill="1" applyAlignment="1" applyProtection="1">
      <alignment horizontal="left"/>
    </xf>
    <xf numFmtId="0" fontId="12" fillId="10" borderId="0" xfId="2" applyFont="1" applyFill="1" applyAlignment="1" applyProtection="1">
      <alignment horizontal="left"/>
    </xf>
    <xf numFmtId="0" fontId="12" fillId="15" borderId="0" xfId="2" applyFont="1" applyFill="1" applyAlignment="1" applyProtection="1">
      <alignment horizontal="left"/>
    </xf>
    <xf numFmtId="0" fontId="16" fillId="0" borderId="13"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26" fillId="0" borderId="13" xfId="2" applyFont="1" applyFill="1" applyBorder="1" applyAlignment="1" applyProtection="1">
      <alignment horizontal="left" vertical="center" wrapText="1"/>
    </xf>
    <xf numFmtId="0" fontId="26" fillId="0" borderId="3" xfId="2" applyFont="1" applyFill="1" applyBorder="1" applyAlignment="1" applyProtection="1">
      <alignment horizontal="left" vertical="center" wrapText="1"/>
    </xf>
    <xf numFmtId="0" fontId="26" fillId="0" borderId="13" xfId="2" applyFont="1" applyFill="1" applyBorder="1" applyAlignment="1" applyProtection="1">
      <alignment horizontal="center" vertical="center"/>
    </xf>
    <xf numFmtId="0" fontId="26" fillId="0" borderId="3" xfId="2" applyFont="1" applyFill="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3" xfId="0" applyFont="1" applyBorder="1" applyAlignment="1" applyProtection="1">
      <alignment horizontal="center" vertical="center"/>
    </xf>
    <xf numFmtId="2" fontId="18" fillId="0" borderId="13" xfId="0" applyNumberFormat="1" applyFont="1" applyFill="1" applyBorder="1" applyAlignment="1" applyProtection="1">
      <alignment horizontal="center" vertical="center"/>
    </xf>
    <xf numFmtId="2" fontId="18" fillId="0" borderId="3" xfId="0" applyNumberFormat="1" applyFont="1" applyFill="1" applyBorder="1" applyAlignment="1" applyProtection="1">
      <alignment horizontal="center" vertical="center"/>
    </xf>
    <xf numFmtId="0" fontId="12" fillId="13" borderId="0" xfId="2" applyFont="1" applyFill="1" applyAlignment="1" applyProtection="1">
      <alignment horizontal="left"/>
    </xf>
    <xf numFmtId="0" fontId="13" fillId="0" borderId="0" xfId="2" applyFont="1" applyAlignment="1" applyProtection="1">
      <alignment horizontal="center"/>
    </xf>
    <xf numFmtId="0" fontId="13" fillId="8" borderId="0" xfId="2" applyFont="1" applyFill="1" applyAlignment="1" applyProtection="1">
      <alignment horizontal="left"/>
    </xf>
    <xf numFmtId="0" fontId="12" fillId="12" borderId="0" xfId="2" applyFont="1" applyFill="1" applyAlignment="1" applyProtection="1">
      <alignment horizontal="left" wrapText="1"/>
    </xf>
    <xf numFmtId="0" fontId="14" fillId="8" borderId="0" xfId="0" applyFont="1" applyFill="1" applyAlignment="1" applyProtection="1">
      <alignment horizontal="left"/>
    </xf>
    <xf numFmtId="0" fontId="32" fillId="11" borderId="14" xfId="2" applyFont="1" applyFill="1" applyBorder="1" applyAlignment="1">
      <alignment horizontal="center" vertical="center" wrapText="1"/>
    </xf>
    <xf numFmtId="0" fontId="32" fillId="11" borderId="16" xfId="2" applyFont="1" applyFill="1" applyBorder="1" applyAlignment="1">
      <alignment horizontal="center" vertical="center" wrapText="1"/>
    </xf>
    <xf numFmtId="0" fontId="32" fillId="12" borderId="14" xfId="2" applyFont="1" applyFill="1" applyBorder="1" applyAlignment="1">
      <alignment horizontal="center" vertical="center" wrapText="1"/>
    </xf>
    <xf numFmtId="0" fontId="32" fillId="12" borderId="16" xfId="2" applyFont="1" applyFill="1" applyBorder="1" applyAlignment="1">
      <alignment horizontal="center" vertical="center" wrapText="1"/>
    </xf>
    <xf numFmtId="0" fontId="32" fillId="14" borderId="14" xfId="2" applyFont="1" applyFill="1" applyBorder="1" applyAlignment="1">
      <alignment horizontal="center" vertical="center" wrapText="1"/>
    </xf>
    <xf numFmtId="0" fontId="32" fillId="14" borderId="16" xfId="2" applyFont="1" applyFill="1" applyBorder="1" applyAlignment="1">
      <alignment horizontal="center" vertical="center" wrapText="1"/>
    </xf>
    <xf numFmtId="0" fontId="32" fillId="14" borderId="15" xfId="2" applyFont="1" applyFill="1" applyBorder="1" applyAlignment="1">
      <alignment horizontal="center" vertical="center" wrapText="1"/>
    </xf>
    <xf numFmtId="0" fontId="32" fillId="15" borderId="14" xfId="2" applyFont="1" applyFill="1" applyBorder="1" applyAlignment="1">
      <alignment horizontal="center" vertical="center" wrapText="1"/>
    </xf>
    <xf numFmtId="0" fontId="32" fillId="15" borderId="16" xfId="2" applyFont="1" applyFill="1" applyBorder="1" applyAlignment="1">
      <alignment horizontal="center" vertical="center" wrapText="1"/>
    </xf>
    <xf numFmtId="0" fontId="32" fillId="13" borderId="14" xfId="2" applyFont="1" applyFill="1" applyBorder="1" applyAlignment="1">
      <alignment horizontal="center" vertical="center" wrapText="1"/>
    </xf>
    <xf numFmtId="0" fontId="32" fillId="13" borderId="16" xfId="2" applyFont="1" applyFill="1" applyBorder="1" applyAlignment="1">
      <alignment horizontal="center" vertical="center" wrapText="1"/>
    </xf>
    <xf numFmtId="0" fontId="32" fillId="13" borderId="15" xfId="2" applyFont="1" applyFill="1" applyBorder="1" applyAlignment="1">
      <alignment horizontal="center" vertical="center" wrapText="1"/>
    </xf>
    <xf numFmtId="0" fontId="3" fillId="3" borderId="0" xfId="0" applyFont="1" applyFill="1" applyAlignment="1" applyProtection="1">
      <alignment horizontal="center" vertical="center"/>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3" fillId="0" borderId="0" xfId="0" applyFont="1" applyAlignment="1" applyProtection="1">
      <alignment horizontal="right" vertical="center" wrapText="1"/>
    </xf>
    <xf numFmtId="0" fontId="3" fillId="21" borderId="0" xfId="0" applyFont="1" applyFill="1" applyAlignment="1" applyProtection="1">
      <alignment horizontal="center" vertical="center" wrapText="1"/>
    </xf>
    <xf numFmtId="0" fontId="2" fillId="0" borderId="0" xfId="0" quotePrefix="1"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2" fillId="5" borderId="0" xfId="0" applyFont="1" applyFill="1" applyAlignment="1" applyProtection="1">
      <alignment horizontal="center" vertical="center"/>
    </xf>
    <xf numFmtId="9" fontId="2" fillId="9" borderId="0" xfId="3" applyFont="1" applyFill="1" applyAlignment="1" applyProtection="1">
      <alignment horizontal="center" vertical="center" wrapText="1"/>
      <protection locked="0"/>
    </xf>
    <xf numFmtId="0" fontId="5" fillId="9" borderId="0"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4" fillId="0" borderId="0" xfId="0" applyFont="1" applyBorder="1" applyAlignment="1" applyProtection="1">
      <alignment horizontal="center" vertical="center"/>
    </xf>
    <xf numFmtId="0" fontId="2" fillId="0" borderId="0" xfId="0" applyFont="1" applyAlignment="1" applyProtection="1">
      <alignment horizontal="left" vertical="center" wrapText="1"/>
    </xf>
    <xf numFmtId="0" fontId="37" fillId="24" borderId="17" xfId="0" applyFont="1" applyFill="1" applyBorder="1" applyAlignment="1" applyProtection="1">
      <alignment horizontal="left" vertical="center" wrapText="1"/>
    </xf>
    <xf numFmtId="0" fontId="37" fillId="24" borderId="0" xfId="0" applyFont="1" applyFill="1" applyBorder="1" applyAlignment="1" applyProtection="1">
      <alignment horizontal="left" vertical="center" wrapText="1"/>
    </xf>
  </cellXfs>
  <cellStyles count="4">
    <cellStyle name="Input" xfId="1" builtinId="20"/>
    <cellStyle name="Normal" xfId="0" builtinId="0"/>
    <cellStyle name="Normal 2" xfId="2" xr:uid="{A81B1D46-104C-4ECE-865D-A80963DE1650}"/>
    <cellStyle name="Percent" xfId="3" builtinId="5"/>
  </cellStyles>
  <dxfs count="171">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theme="0" tint="-0.24994659260841701"/>
      </font>
      <fill>
        <patternFill>
          <bgColor theme="0" tint="-0.24994659260841701"/>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auto="1"/>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C000"/>
        </patternFill>
      </fill>
    </dxf>
    <dxf>
      <fill>
        <patternFill>
          <bgColor rgb="FFFF0000"/>
        </patternFill>
      </fill>
    </dxf>
    <dxf>
      <font>
        <color theme="0" tint="-0.24994659260841701"/>
      </font>
      <fill>
        <patternFill>
          <bgColor theme="0" tint="-0.24994659260841701"/>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strike val="0"/>
        <color auto="1"/>
      </font>
      <fill>
        <patternFill>
          <bgColor rgb="FFFF0000"/>
        </patternFill>
      </fill>
    </dxf>
    <dxf>
      <font>
        <color auto="1"/>
      </font>
      <fill>
        <patternFill>
          <bgColor rgb="FFFF0000"/>
        </patternFill>
      </fill>
    </dxf>
    <dxf>
      <font>
        <strike val="0"/>
        <color auto="1"/>
      </font>
      <fill>
        <patternFill>
          <bgColor rgb="FFFF0000"/>
        </patternFill>
      </fill>
    </dxf>
    <dxf>
      <font>
        <color auto="1"/>
      </font>
      <fill>
        <patternFill>
          <bgColor rgb="FFFF0000"/>
        </patternFill>
      </fill>
    </dxf>
    <dxf>
      <font>
        <strike val="0"/>
        <color auto="1"/>
      </font>
      <fill>
        <patternFill>
          <bgColor rgb="FFFF0000"/>
        </patternFill>
      </fill>
    </dxf>
    <dxf>
      <font>
        <color auto="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ont>
        <color theme="1"/>
      </font>
      <fill>
        <patternFill>
          <bgColor rgb="FFFF0000"/>
        </patternFill>
      </fill>
    </dxf>
    <dxf>
      <font>
        <color theme="1"/>
      </font>
      <fill>
        <patternFill>
          <bgColor rgb="FFFF0000"/>
        </patternFill>
      </fill>
    </dxf>
    <dxf>
      <font>
        <strike val="0"/>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6AF7C"/>
      <color rgb="FFEF438D"/>
      <color rgb="FF34B1BE"/>
      <color rgb="FF6BA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row>
        <row r="40">
          <cell r="G40" t="str">
            <v>Education</v>
          </cell>
          <cell r="H40"/>
        </row>
        <row r="41">
          <cell r="G41" t="str">
            <v>Healthcare</v>
          </cell>
          <cell r="H41" t="str">
            <v xml:space="preserve"> </v>
          </cell>
        </row>
        <row r="42">
          <cell r="G42" t="str">
            <v>Sports</v>
          </cell>
          <cell r="H42"/>
        </row>
        <row r="43">
          <cell r="G43" t="str">
            <v>Other 1</v>
          </cell>
          <cell r="H43"/>
        </row>
        <row r="44">
          <cell r="G44" t="str">
            <v>Other 2</v>
          </cell>
          <cell r="H44"/>
        </row>
        <row r="45">
          <cell r="G45" t="str">
            <v>Other 3</v>
          </cell>
          <cell r="H45"/>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9B96-2ED4-4141-B8FB-267E7ABEB8A8}">
  <dimension ref="A1:O53"/>
  <sheetViews>
    <sheetView tabSelected="1" view="pageBreakPreview" zoomScale="115" zoomScaleNormal="100" zoomScaleSheetLayoutView="115" workbookViewId="0">
      <selection activeCell="A4" sqref="A4:G4"/>
    </sheetView>
  </sheetViews>
  <sheetFormatPr defaultRowHeight="14.25" x14ac:dyDescent="0.2"/>
  <cols>
    <col min="1" max="1" width="5.7109375" style="6" customWidth="1"/>
    <col min="2" max="4" width="14.140625" style="6" customWidth="1"/>
    <col min="5" max="5" width="17.140625" style="6" customWidth="1"/>
    <col min="6" max="6" width="14.28515625" style="6" customWidth="1"/>
    <col min="7" max="7" width="14.5703125" style="6" customWidth="1"/>
    <col min="8" max="8" width="5.7109375" style="6" customWidth="1"/>
    <col min="9" max="9" width="14.140625" style="6" customWidth="1"/>
    <col min="10" max="10" width="23" style="6" customWidth="1"/>
    <col min="11" max="11" width="14.140625" style="6" customWidth="1"/>
    <col min="12" max="12" width="17" style="6" customWidth="1"/>
    <col min="13" max="13" width="13.85546875" style="6" customWidth="1"/>
    <col min="14" max="14" width="14.140625" style="6" customWidth="1"/>
    <col min="15" max="16384" width="9.140625" style="6"/>
  </cols>
  <sheetData>
    <row r="1" spans="1:15" ht="15.75" x14ac:dyDescent="0.25">
      <c r="A1" s="257" t="s">
        <v>502</v>
      </c>
      <c r="B1" s="257"/>
      <c r="C1" s="257"/>
      <c r="D1" s="257"/>
      <c r="E1" s="257"/>
      <c r="F1" s="257"/>
      <c r="G1" s="257"/>
      <c r="H1" s="257" t="s">
        <v>502</v>
      </c>
      <c r="I1" s="257"/>
      <c r="J1" s="257"/>
      <c r="K1" s="257"/>
      <c r="L1" s="257"/>
      <c r="M1" s="257"/>
      <c r="N1" s="257"/>
    </row>
    <row r="2" spans="1:15" ht="15.75" x14ac:dyDescent="0.25">
      <c r="A2" s="254" t="s">
        <v>323</v>
      </c>
      <c r="B2" s="254"/>
      <c r="C2" s="254"/>
      <c r="D2" s="254"/>
      <c r="E2" s="254"/>
      <c r="F2" s="254"/>
      <c r="G2" s="254"/>
      <c r="H2" s="254" t="s">
        <v>323</v>
      </c>
      <c r="I2" s="254"/>
      <c r="J2" s="254"/>
      <c r="K2" s="254"/>
      <c r="L2" s="254"/>
      <c r="M2" s="254"/>
      <c r="N2" s="254"/>
    </row>
    <row r="3" spans="1:15" ht="15.75" x14ac:dyDescent="0.25">
      <c r="A3" s="254" t="s">
        <v>120</v>
      </c>
      <c r="B3" s="254"/>
      <c r="C3" s="254"/>
      <c r="D3" s="254"/>
      <c r="E3" s="254"/>
      <c r="F3" s="254"/>
      <c r="G3" s="254"/>
      <c r="H3" s="254" t="s">
        <v>120</v>
      </c>
      <c r="I3" s="254"/>
      <c r="J3" s="254"/>
      <c r="K3" s="254"/>
      <c r="L3" s="254"/>
      <c r="M3" s="254"/>
      <c r="N3" s="254"/>
    </row>
    <row r="4" spans="1:15" ht="15.75" x14ac:dyDescent="0.25">
      <c r="A4" s="260" t="s">
        <v>121</v>
      </c>
      <c r="B4" s="260"/>
      <c r="C4" s="260"/>
      <c r="D4" s="260"/>
      <c r="E4" s="260"/>
      <c r="F4" s="260"/>
      <c r="G4" s="260"/>
      <c r="H4" s="254" t="str">
        <f>IF(A4&lt;&gt;O5,A4,"")</f>
        <v/>
      </c>
      <c r="I4" s="254"/>
      <c r="J4" s="254"/>
      <c r="K4" s="254"/>
      <c r="L4" s="254"/>
      <c r="M4" s="254"/>
      <c r="N4" s="254"/>
    </row>
    <row r="5" spans="1:15" x14ac:dyDescent="0.2">
      <c r="E5" s="7" t="s">
        <v>122</v>
      </c>
      <c r="F5" s="8" t="s">
        <v>123</v>
      </c>
      <c r="G5" s="9" t="s">
        <v>124</v>
      </c>
      <c r="L5" s="7" t="s">
        <v>122</v>
      </c>
      <c r="M5" s="7" t="s">
        <v>123</v>
      </c>
      <c r="N5" s="9" t="s">
        <v>124</v>
      </c>
      <c r="O5" s="177" t="s">
        <v>121</v>
      </c>
    </row>
    <row r="6" spans="1:15" x14ac:dyDescent="0.2">
      <c r="A6" s="262" t="s">
        <v>125</v>
      </c>
      <c r="B6" s="262"/>
      <c r="C6" s="262"/>
      <c r="D6" s="262"/>
      <c r="E6" s="10">
        <f>SUM(E7)</f>
        <v>3</v>
      </c>
      <c r="F6" s="11">
        <f>SUM(F7)</f>
        <v>0</v>
      </c>
      <c r="G6" s="10"/>
      <c r="H6" s="263" t="s">
        <v>149</v>
      </c>
      <c r="I6" s="263"/>
      <c r="J6" s="263"/>
      <c r="K6" s="263"/>
      <c r="L6" s="12">
        <f>SUM(L7:L12)</f>
        <v>10.5</v>
      </c>
      <c r="M6" s="13">
        <f>SUM(M7:M12)</f>
        <v>0</v>
      </c>
      <c r="N6" s="12"/>
    </row>
    <row r="7" spans="1:15" x14ac:dyDescent="0.2">
      <c r="A7" s="14">
        <v>0.1</v>
      </c>
      <c r="B7" s="245" t="s">
        <v>126</v>
      </c>
      <c r="C7" s="245"/>
      <c r="D7" s="245"/>
      <c r="E7" s="15">
        <f>'0. General'!J6</f>
        <v>3</v>
      </c>
      <c r="F7" s="16">
        <f>'0. General'!F15</f>
        <v>0</v>
      </c>
      <c r="G7" s="15"/>
      <c r="H7" s="14">
        <v>5.0999999999999996</v>
      </c>
      <c r="I7" s="245" t="s">
        <v>150</v>
      </c>
      <c r="J7" s="245"/>
      <c r="K7" s="245"/>
      <c r="L7" s="15">
        <f>'5. Landscape'!J6</f>
        <v>1</v>
      </c>
      <c r="M7" s="16">
        <f>'5. Landscape'!F6</f>
        <v>0</v>
      </c>
      <c r="N7" s="15"/>
    </row>
    <row r="8" spans="1:15" x14ac:dyDescent="0.2">
      <c r="A8" s="261" t="s">
        <v>127</v>
      </c>
      <c r="B8" s="261"/>
      <c r="C8" s="261"/>
      <c r="D8" s="261"/>
      <c r="E8" s="17">
        <f>SUM(E9,E11,E15)</f>
        <v>11.5</v>
      </c>
      <c r="F8" s="18">
        <f>SUM(F9,F11,F15)</f>
        <v>0</v>
      </c>
      <c r="G8" s="17"/>
      <c r="H8" s="14">
        <v>5.2</v>
      </c>
      <c r="I8" s="245" t="s">
        <v>151</v>
      </c>
      <c r="J8" s="245"/>
      <c r="K8" s="245"/>
      <c r="L8" s="15">
        <f>'5. Landscape'!J14</f>
        <v>3.5</v>
      </c>
      <c r="M8" s="16">
        <f>'5. Landscape'!F14</f>
        <v>0</v>
      </c>
      <c r="N8" s="15"/>
    </row>
    <row r="9" spans="1:15" x14ac:dyDescent="0.2">
      <c r="A9" s="259" t="s">
        <v>132</v>
      </c>
      <c r="B9" s="259"/>
      <c r="C9" s="259"/>
      <c r="D9" s="259"/>
      <c r="E9" s="19">
        <f>E10</f>
        <v>0.5</v>
      </c>
      <c r="F9" s="20">
        <f>SUM(F10)</f>
        <v>0</v>
      </c>
      <c r="G9" s="19"/>
      <c r="H9" s="21">
        <v>5.3</v>
      </c>
      <c r="I9" s="276" t="s">
        <v>152</v>
      </c>
      <c r="J9" s="276"/>
      <c r="K9" s="276"/>
      <c r="L9" s="22" t="s">
        <v>5</v>
      </c>
      <c r="M9" s="22"/>
      <c r="N9" s="22"/>
    </row>
    <row r="10" spans="1:15" x14ac:dyDescent="0.2">
      <c r="A10" s="14">
        <v>1.1000000000000001</v>
      </c>
      <c r="B10" s="245" t="s">
        <v>128</v>
      </c>
      <c r="C10" s="245"/>
      <c r="D10" s="245"/>
      <c r="E10" s="15">
        <f>'1. Arch Ext'!J6</f>
        <v>0.5</v>
      </c>
      <c r="F10" s="16">
        <f>'1. Arch Ext'!F6</f>
        <v>0</v>
      </c>
      <c r="G10" s="15"/>
      <c r="H10" s="14">
        <v>5.4</v>
      </c>
      <c r="I10" s="245" t="s">
        <v>153</v>
      </c>
      <c r="J10" s="245"/>
      <c r="K10" s="245"/>
      <c r="L10" s="15">
        <f>'5. Landscape'!J35</f>
        <v>1</v>
      </c>
      <c r="M10" s="16">
        <f>'5. Landscape'!F35</f>
        <v>0</v>
      </c>
      <c r="N10" s="15"/>
    </row>
    <row r="11" spans="1:15" x14ac:dyDescent="0.2">
      <c r="A11" s="259" t="s">
        <v>133</v>
      </c>
      <c r="B11" s="259"/>
      <c r="C11" s="259"/>
      <c r="D11" s="259"/>
      <c r="E11" s="19">
        <f>E12</f>
        <v>4</v>
      </c>
      <c r="F11" s="20">
        <f>F12</f>
        <v>0</v>
      </c>
      <c r="G11" s="19"/>
      <c r="H11" s="14">
        <v>5.5</v>
      </c>
      <c r="I11" s="245" t="s">
        <v>154</v>
      </c>
      <c r="J11" s="245"/>
      <c r="K11" s="245"/>
      <c r="L11" s="15">
        <f>'5. Landscape'!J43</f>
        <v>3</v>
      </c>
      <c r="M11" s="16">
        <f>'5. Landscape'!F43</f>
        <v>0</v>
      </c>
      <c r="N11" s="15"/>
    </row>
    <row r="12" spans="1:15" x14ac:dyDescent="0.2">
      <c r="A12" s="14">
        <v>1.2</v>
      </c>
      <c r="B12" s="245" t="s">
        <v>129</v>
      </c>
      <c r="C12" s="245"/>
      <c r="D12" s="245"/>
      <c r="E12" s="255">
        <f>'1. Arch Ext'!J20</f>
        <v>4</v>
      </c>
      <c r="F12" s="258">
        <f>'1. Arch Ext'!H20</f>
        <v>0</v>
      </c>
      <c r="G12" s="255"/>
      <c r="H12" s="14">
        <v>5.6</v>
      </c>
      <c r="I12" s="245" t="s">
        <v>155</v>
      </c>
      <c r="J12" s="245"/>
      <c r="K12" s="245"/>
      <c r="L12" s="15">
        <f>'5. Landscape'!J54</f>
        <v>2</v>
      </c>
      <c r="M12" s="16">
        <f>'5. Landscape'!F54</f>
        <v>0</v>
      </c>
      <c r="N12" s="15"/>
    </row>
    <row r="13" spans="1:15" x14ac:dyDescent="0.2">
      <c r="A13" s="14">
        <v>1.3</v>
      </c>
      <c r="B13" s="245" t="s">
        <v>130</v>
      </c>
      <c r="C13" s="245"/>
      <c r="D13" s="245"/>
      <c r="E13" s="255"/>
      <c r="F13" s="258"/>
      <c r="G13" s="255"/>
      <c r="H13" s="246" t="s">
        <v>331</v>
      </c>
      <c r="I13" s="247"/>
      <c r="J13" s="247"/>
      <c r="K13" s="247"/>
      <c r="L13" s="178">
        <f>SUM(L14)</f>
        <v>2</v>
      </c>
      <c r="M13" s="243">
        <f>SUM(M14)</f>
        <v>0</v>
      </c>
      <c r="N13" s="179"/>
      <c r="O13" s="180"/>
    </row>
    <row r="14" spans="1:15" x14ac:dyDescent="0.2">
      <c r="A14" s="14">
        <v>1.4</v>
      </c>
      <c r="B14" s="25" t="s">
        <v>131</v>
      </c>
      <c r="C14" s="25"/>
      <c r="D14" s="25"/>
      <c r="E14" s="255"/>
      <c r="F14" s="258"/>
      <c r="G14" s="255"/>
      <c r="H14" s="14">
        <v>6.1</v>
      </c>
      <c r="I14" s="245" t="s">
        <v>332</v>
      </c>
      <c r="J14" s="245"/>
      <c r="K14" s="245"/>
      <c r="L14" s="15">
        <f>'6. Facilities'!J6</f>
        <v>2</v>
      </c>
      <c r="M14" s="16">
        <f>'6. Facilities'!F6</f>
        <v>0</v>
      </c>
      <c r="N14" s="15"/>
    </row>
    <row r="15" spans="1:15" x14ac:dyDescent="0.2">
      <c r="A15" s="259" t="s">
        <v>136</v>
      </c>
      <c r="B15" s="259"/>
      <c r="C15" s="259"/>
      <c r="D15" s="259"/>
      <c r="E15" s="19">
        <f>E16+E17+E18</f>
        <v>7</v>
      </c>
      <c r="F15" s="20">
        <f>SUM(F16:F18)</f>
        <v>0</v>
      </c>
      <c r="G15" s="19"/>
      <c r="H15" s="249" t="s">
        <v>388</v>
      </c>
      <c r="I15" s="249"/>
      <c r="J15" s="249"/>
      <c r="K15" s="249"/>
      <c r="L15" s="23">
        <f>SUM(L16:L16)</f>
        <v>5</v>
      </c>
      <c r="M15" s="24">
        <f>SUM(M16:M16)</f>
        <v>0</v>
      </c>
      <c r="N15" s="23"/>
    </row>
    <row r="16" spans="1:15" x14ac:dyDescent="0.2">
      <c r="A16" s="14">
        <v>1.5</v>
      </c>
      <c r="B16" s="245" t="s">
        <v>134</v>
      </c>
      <c r="C16" s="245"/>
      <c r="D16" s="245"/>
      <c r="E16" s="15">
        <f>'1. Arch Ext'!J56</f>
        <v>3</v>
      </c>
      <c r="F16" s="16">
        <f>'1. Arch Ext'!F56</f>
        <v>0</v>
      </c>
      <c r="G16" s="15"/>
      <c r="H16" s="14">
        <v>7.1</v>
      </c>
      <c r="I16" s="245" t="s">
        <v>333</v>
      </c>
      <c r="J16" s="245"/>
      <c r="K16" s="245"/>
      <c r="L16" s="15">
        <f>'7. Smart FM'!J6</f>
        <v>5</v>
      </c>
      <c r="M16" s="16">
        <f>'7. Smart FM'!F6</f>
        <v>0</v>
      </c>
      <c r="N16" s="15"/>
    </row>
    <row r="17" spans="1:14" x14ac:dyDescent="0.2">
      <c r="A17" s="14">
        <v>1.6</v>
      </c>
      <c r="B17" s="245" t="s">
        <v>324</v>
      </c>
      <c r="C17" s="245"/>
      <c r="D17" s="245"/>
      <c r="E17" s="15">
        <f>'1. Arch Ext'!J74</f>
        <v>2</v>
      </c>
      <c r="F17" s="16">
        <f>'1. Arch Ext'!F74</f>
        <v>0</v>
      </c>
      <c r="G17" s="15"/>
      <c r="H17" s="14"/>
      <c r="I17" s="245"/>
      <c r="J17" s="245"/>
      <c r="K17" s="245"/>
      <c r="L17" s="26"/>
      <c r="M17" s="26"/>
      <c r="N17" s="26"/>
    </row>
    <row r="18" spans="1:14" x14ac:dyDescent="0.2">
      <c r="A18" s="14">
        <v>1.7</v>
      </c>
      <c r="B18" s="245" t="s">
        <v>325</v>
      </c>
      <c r="C18" s="245"/>
      <c r="D18" s="245"/>
      <c r="E18" s="15">
        <f>'1. Arch Ext'!J81</f>
        <v>2</v>
      </c>
      <c r="F18" s="16">
        <f>'1. Arch Ext'!F81</f>
        <v>0</v>
      </c>
      <c r="G18" s="15"/>
      <c r="H18" s="275" t="s">
        <v>289</v>
      </c>
      <c r="I18" s="275"/>
      <c r="J18" s="275"/>
      <c r="K18" s="275"/>
      <c r="L18" s="26">
        <f>'1. Arch Ext'!J105</f>
        <v>3</v>
      </c>
      <c r="M18" s="28">
        <f>'1. Arch Ext'!F107</f>
        <v>0</v>
      </c>
      <c r="N18" s="26"/>
    </row>
    <row r="19" spans="1:14" x14ac:dyDescent="0.2">
      <c r="A19" s="21">
        <v>1.8</v>
      </c>
      <c r="B19" s="278" t="s">
        <v>135</v>
      </c>
      <c r="C19" s="278"/>
      <c r="D19" s="278"/>
      <c r="E19" s="22" t="s">
        <v>5</v>
      </c>
      <c r="F19" s="22"/>
      <c r="G19" s="22"/>
      <c r="H19" s="251" t="s">
        <v>290</v>
      </c>
      <c r="I19" s="251"/>
      <c r="J19" s="251"/>
      <c r="K19" s="251"/>
      <c r="L19" s="29">
        <f>'5. Landscape'!J66</f>
        <v>1</v>
      </c>
      <c r="M19" s="30">
        <f>'5. Landscape'!F68</f>
        <v>0</v>
      </c>
      <c r="N19" s="29"/>
    </row>
    <row r="20" spans="1:14" ht="29.25" customHeight="1" thickBot="1" x14ac:dyDescent="0.25">
      <c r="A20" s="277" t="s">
        <v>401</v>
      </c>
      <c r="B20" s="277"/>
      <c r="C20" s="277"/>
      <c r="D20" s="277"/>
      <c r="E20" s="220">
        <f>SUM(E21:E25)</f>
        <v>18.5</v>
      </c>
      <c r="F20" s="221">
        <f>SUM(F21:F25)</f>
        <v>0</v>
      </c>
      <c r="G20" s="27"/>
      <c r="H20" s="168"/>
      <c r="I20" s="250"/>
      <c r="J20" s="250"/>
      <c r="K20" s="250"/>
      <c r="L20" s="31"/>
      <c r="M20" s="32"/>
      <c r="N20" s="33"/>
    </row>
    <row r="21" spans="1:14" ht="15" customHeight="1" thickTop="1" x14ac:dyDescent="0.2">
      <c r="A21" s="14">
        <v>2.1</v>
      </c>
      <c r="B21" s="245" t="s">
        <v>137</v>
      </c>
      <c r="C21" s="245"/>
      <c r="D21" s="245"/>
      <c r="E21" s="15">
        <f>'2. Arch Int'!J6</f>
        <v>2.5</v>
      </c>
      <c r="F21" s="16">
        <f>'2. Arch Int'!F6</f>
        <v>0</v>
      </c>
      <c r="G21" s="15"/>
      <c r="H21" s="34"/>
      <c r="I21" s="35"/>
      <c r="J21" s="35"/>
      <c r="K21" s="35"/>
      <c r="L21" s="29"/>
      <c r="M21" s="29"/>
      <c r="N21" s="29"/>
    </row>
    <row r="22" spans="1:14" ht="15" customHeight="1" x14ac:dyDescent="0.2">
      <c r="A22" s="14">
        <v>2.2000000000000002</v>
      </c>
      <c r="B22" s="245" t="s">
        <v>138</v>
      </c>
      <c r="C22" s="245"/>
      <c r="D22" s="245"/>
      <c r="E22" s="15">
        <f>'2. Arch Int'!J15</f>
        <v>1</v>
      </c>
      <c r="F22" s="16">
        <f>'2. Arch Int'!F15</f>
        <v>0</v>
      </c>
      <c r="G22" s="15"/>
      <c r="H22" s="248" t="s">
        <v>311</v>
      </c>
      <c r="I22" s="248"/>
      <c r="J22" s="248"/>
      <c r="K22" s="47">
        <f>SUM(F6,F8,F20,F26,F35,M6,M13,M15)</f>
        <v>0</v>
      </c>
      <c r="L22" s="48"/>
      <c r="M22" s="48" t="s">
        <v>294</v>
      </c>
      <c r="N22" s="49">
        <f>SUM(M18:M19)</f>
        <v>0</v>
      </c>
    </row>
    <row r="23" spans="1:14" x14ac:dyDescent="0.2">
      <c r="A23" s="14">
        <v>2.2999999999999998</v>
      </c>
      <c r="B23" s="245" t="s">
        <v>139</v>
      </c>
      <c r="C23" s="245"/>
      <c r="D23" s="245"/>
      <c r="E23" s="15">
        <f>'2. Arch Int'!J21</f>
        <v>4</v>
      </c>
      <c r="F23" s="16">
        <f>'2. Arch Int'!F21</f>
        <v>0</v>
      </c>
      <c r="G23" s="15"/>
      <c r="H23" s="50" t="s">
        <v>312</v>
      </c>
      <c r="I23" s="51"/>
      <c r="J23" s="51"/>
      <c r="K23" s="52">
        <f>SUM(E6,E8,E20,E26,E35,L6,L13,L15)</f>
        <v>71</v>
      </c>
      <c r="L23" s="53"/>
      <c r="M23" s="54"/>
      <c r="N23" s="54"/>
    </row>
    <row r="24" spans="1:14" ht="15" thickBot="1" x14ac:dyDescent="0.25">
      <c r="A24" s="14">
        <v>2.4</v>
      </c>
      <c r="B24" s="245" t="s">
        <v>326</v>
      </c>
      <c r="C24" s="245"/>
      <c r="D24" s="245"/>
      <c r="E24" s="15">
        <f>'2. Arch Int'!J42</f>
        <v>7</v>
      </c>
      <c r="F24" s="16">
        <f>'2. Arch Int'!F42</f>
        <v>0</v>
      </c>
      <c r="G24" s="15"/>
      <c r="H24" s="55" t="s">
        <v>313</v>
      </c>
      <c r="I24" s="56"/>
      <c r="J24" s="56"/>
      <c r="K24" s="57">
        <f>SUM(I46:I53)</f>
        <v>0</v>
      </c>
      <c r="L24" s="58"/>
      <c r="M24" s="59"/>
      <c r="N24" s="60"/>
    </row>
    <row r="25" spans="1:14" ht="15" customHeight="1" x14ac:dyDescent="0.2">
      <c r="A25" s="14">
        <v>2.5</v>
      </c>
      <c r="B25" s="245" t="s">
        <v>140</v>
      </c>
      <c r="C25" s="245"/>
      <c r="D25" s="245"/>
      <c r="E25" s="15">
        <f>'2. Arch Int'!J70</f>
        <v>4</v>
      </c>
      <c r="F25" s="16">
        <f>'2. Arch Int'!F70</f>
        <v>0</v>
      </c>
      <c r="G25" s="15"/>
      <c r="H25" s="266" t="s">
        <v>314</v>
      </c>
      <c r="I25" s="266"/>
      <c r="J25" s="266"/>
      <c r="K25" s="268">
        <f>(K22/(K23-K24))*K23</f>
        <v>0</v>
      </c>
      <c r="L25" s="270" t="s">
        <v>292</v>
      </c>
      <c r="M25" s="272">
        <f>K25+N22</f>
        <v>0</v>
      </c>
      <c r="N25" s="264" t="s">
        <v>293</v>
      </c>
    </row>
    <row r="26" spans="1:14" ht="15" customHeight="1" thickBot="1" x14ac:dyDescent="0.25">
      <c r="A26" s="274" t="s">
        <v>141</v>
      </c>
      <c r="B26" s="274"/>
      <c r="C26" s="274"/>
      <c r="D26" s="274"/>
      <c r="E26" s="38">
        <f>SUM(E27:E29,E31:E33)</f>
        <v>10</v>
      </c>
      <c r="F26" s="154">
        <f>SUM(F27:F29,F31:F33)</f>
        <v>0</v>
      </c>
      <c r="G26" s="38"/>
      <c r="H26" s="267"/>
      <c r="I26" s="267"/>
      <c r="J26" s="267"/>
      <c r="K26" s="269"/>
      <c r="L26" s="271"/>
      <c r="M26" s="273"/>
      <c r="N26" s="265"/>
    </row>
    <row r="27" spans="1:14" ht="30" customHeight="1" x14ac:dyDescent="0.2">
      <c r="A27" s="242">
        <v>3.1</v>
      </c>
      <c r="B27" s="252" t="s">
        <v>503</v>
      </c>
      <c r="C27" s="252"/>
      <c r="D27" s="252"/>
      <c r="E27" s="235">
        <f>'3. Mech'!J6</f>
        <v>2</v>
      </c>
      <c r="F27" s="241">
        <f>'3. Mech'!F6</f>
        <v>0</v>
      </c>
      <c r="G27" s="15"/>
      <c r="H27" s="131"/>
      <c r="I27" s="131"/>
      <c r="J27" s="131"/>
      <c r="K27" s="132"/>
      <c r="L27" s="133"/>
      <c r="M27" s="134"/>
      <c r="N27" s="135"/>
    </row>
    <row r="28" spans="1:14" ht="30" customHeight="1" x14ac:dyDescent="0.2">
      <c r="A28" s="236">
        <v>3.2</v>
      </c>
      <c r="B28" s="253" t="s">
        <v>327</v>
      </c>
      <c r="C28" s="253"/>
      <c r="D28" s="253"/>
      <c r="E28" s="237" t="s">
        <v>5</v>
      </c>
      <c r="F28" s="238"/>
      <c r="G28" s="237"/>
      <c r="H28" s="131"/>
      <c r="I28" s="131"/>
      <c r="J28" s="131"/>
      <c r="K28" s="132"/>
      <c r="L28" s="133"/>
      <c r="M28" s="134"/>
      <c r="N28" s="135"/>
    </row>
    <row r="29" spans="1:14" ht="15" thickBot="1" x14ac:dyDescent="0.25">
      <c r="A29" s="151">
        <v>3.3</v>
      </c>
      <c r="B29" s="245" t="s">
        <v>142</v>
      </c>
      <c r="C29" s="245"/>
      <c r="D29" s="245"/>
      <c r="E29" s="39">
        <f>'3. Mech'!J33</f>
        <v>1</v>
      </c>
      <c r="F29" s="16">
        <f>'3. Mech'!F33</f>
        <v>0</v>
      </c>
      <c r="G29" s="15"/>
      <c r="H29" s="181"/>
      <c r="I29" s="181"/>
      <c r="J29" s="181"/>
      <c r="K29" s="181"/>
      <c r="L29" s="181"/>
      <c r="M29" s="181"/>
      <c r="N29" s="181"/>
    </row>
    <row r="30" spans="1:14" ht="15.75" x14ac:dyDescent="0.25">
      <c r="A30" s="152">
        <v>3.4</v>
      </c>
      <c r="B30" s="21" t="s">
        <v>27</v>
      </c>
      <c r="C30" s="21"/>
      <c r="D30" s="21"/>
      <c r="E30" s="22" t="s">
        <v>5</v>
      </c>
      <c r="F30" s="21"/>
      <c r="G30" s="21"/>
      <c r="H30" s="182" t="s">
        <v>308</v>
      </c>
      <c r="I30" s="182"/>
      <c r="J30" s="182"/>
      <c r="K30" s="182"/>
      <c r="L30" s="182"/>
      <c r="M30" s="183" t="str">
        <f>IF(M25=0,"",'Pre-Reqs'!E50)</f>
        <v/>
      </c>
    </row>
    <row r="31" spans="1:14" ht="15.75" x14ac:dyDescent="0.25">
      <c r="A31" s="151">
        <v>3.5</v>
      </c>
      <c r="B31" s="245" t="s">
        <v>143</v>
      </c>
      <c r="C31" s="245"/>
      <c r="D31" s="245"/>
      <c r="E31" s="39">
        <f>'3. Mech'!J48</f>
        <v>3</v>
      </c>
      <c r="F31" s="16">
        <f>'3. Mech'!F48</f>
        <v>0</v>
      </c>
      <c r="G31" s="15"/>
      <c r="H31" s="182" t="s">
        <v>310</v>
      </c>
      <c r="I31" s="182"/>
      <c r="J31" s="182"/>
      <c r="K31" s="182"/>
      <c r="L31" s="182"/>
      <c r="M31" s="183">
        <f>M25/4</f>
        <v>0</v>
      </c>
    </row>
    <row r="32" spans="1:14" ht="16.5" thickBot="1" x14ac:dyDescent="0.3">
      <c r="A32" s="151">
        <v>3.6</v>
      </c>
      <c r="B32" s="245" t="s">
        <v>328</v>
      </c>
      <c r="C32" s="245"/>
      <c r="D32" s="245"/>
      <c r="E32" s="39">
        <f>'3. Mech'!J63</f>
        <v>1</v>
      </c>
      <c r="F32" s="16">
        <f>'3. Mech'!F63</f>
        <v>0</v>
      </c>
      <c r="G32" s="15"/>
      <c r="H32" s="149" t="s">
        <v>309</v>
      </c>
      <c r="I32" s="149"/>
      <c r="J32" s="149"/>
      <c r="K32" s="149"/>
      <c r="L32" s="150"/>
      <c r="M32" s="234" t="str">
        <f>IF(AND(M31&gt;=10,M30=0),"Yes","No")</f>
        <v>No</v>
      </c>
      <c r="N32" s="60"/>
    </row>
    <row r="33" spans="1:14" x14ac:dyDescent="0.2">
      <c r="A33" s="151">
        <v>3.7</v>
      </c>
      <c r="B33" s="245" t="s">
        <v>329</v>
      </c>
      <c r="C33" s="245"/>
      <c r="D33" s="245"/>
      <c r="E33" s="39">
        <f>'3. Mech'!J72</f>
        <v>3</v>
      </c>
      <c r="F33" s="16">
        <f>'3. Mech'!F72</f>
        <v>0</v>
      </c>
      <c r="G33" s="15"/>
      <c r="H33" s="36"/>
      <c r="I33" s="36"/>
      <c r="J33" s="36"/>
      <c r="K33" s="36"/>
      <c r="L33" s="37"/>
      <c r="M33" s="37"/>
      <c r="N33" s="29"/>
    </row>
    <row r="34" spans="1:14" x14ac:dyDescent="0.2">
      <c r="A34" s="14"/>
      <c r="B34" s="245"/>
      <c r="C34" s="245"/>
      <c r="D34" s="245"/>
      <c r="E34" s="39"/>
      <c r="F34" s="16"/>
      <c r="G34" s="15"/>
      <c r="H34" s="244" t="s">
        <v>417</v>
      </c>
      <c r="I34" s="244"/>
      <c r="J34" s="244"/>
      <c r="K34" s="244"/>
      <c r="L34" s="244"/>
      <c r="M34" s="244"/>
      <c r="N34" s="244"/>
    </row>
    <row r="35" spans="1:14" x14ac:dyDescent="0.2">
      <c r="A35" s="256" t="s">
        <v>144</v>
      </c>
      <c r="B35" s="256"/>
      <c r="C35" s="256"/>
      <c r="D35" s="256"/>
      <c r="E35" s="40">
        <f>SUM(E36:E41)</f>
        <v>10.5</v>
      </c>
      <c r="F35" s="41">
        <f>SUM(F36:F41)</f>
        <v>0</v>
      </c>
      <c r="G35" s="40"/>
      <c r="H35" s="244"/>
      <c r="I35" s="244"/>
      <c r="J35" s="244"/>
      <c r="K35" s="244"/>
      <c r="L35" s="244"/>
      <c r="M35" s="244"/>
      <c r="N35" s="244"/>
    </row>
    <row r="36" spans="1:14" x14ac:dyDescent="0.2">
      <c r="A36" s="14">
        <v>4.0999999999999996</v>
      </c>
      <c r="B36" s="245" t="s">
        <v>418</v>
      </c>
      <c r="C36" s="245"/>
      <c r="D36" s="245"/>
      <c r="E36" s="15">
        <f>'4. Elect'!J6</f>
        <v>1.5</v>
      </c>
      <c r="F36" s="16">
        <f>'4. Elect'!F6</f>
        <v>0</v>
      </c>
      <c r="G36" s="15"/>
      <c r="M36" s="26"/>
      <c r="N36" s="26"/>
    </row>
    <row r="37" spans="1:14" x14ac:dyDescent="0.2">
      <c r="A37" s="14">
        <v>4.2</v>
      </c>
      <c r="B37" s="245" t="s">
        <v>145</v>
      </c>
      <c r="C37" s="245"/>
      <c r="D37" s="245"/>
      <c r="E37" s="15">
        <f>'4. Elect'!J31</f>
        <v>3</v>
      </c>
      <c r="F37" s="16">
        <f>'4. Elect'!F31</f>
        <v>0</v>
      </c>
      <c r="G37" s="15"/>
      <c r="M37" s="26"/>
      <c r="N37" s="26"/>
    </row>
    <row r="38" spans="1:14" x14ac:dyDescent="0.2">
      <c r="A38" s="14">
        <v>4.3</v>
      </c>
      <c r="B38" s="245" t="s">
        <v>146</v>
      </c>
      <c r="C38" s="245"/>
      <c r="D38" s="245"/>
      <c r="E38" s="15">
        <f>'4. Elect'!J50</f>
        <v>3</v>
      </c>
      <c r="F38" s="16">
        <f>'4. Elect'!F50</f>
        <v>0</v>
      </c>
      <c r="G38" s="15"/>
      <c r="H38" s="34"/>
      <c r="I38" s="35"/>
      <c r="J38" s="35"/>
      <c r="K38" s="35"/>
      <c r="L38" s="29"/>
      <c r="M38" s="29"/>
      <c r="N38" s="29"/>
    </row>
    <row r="39" spans="1:14" x14ac:dyDescent="0.2">
      <c r="A39" s="14">
        <v>4.4000000000000004</v>
      </c>
      <c r="B39" s="245" t="s">
        <v>147</v>
      </c>
      <c r="C39" s="245"/>
      <c r="D39" s="245"/>
      <c r="E39" s="15">
        <f>'4. Elect'!J65</f>
        <v>1</v>
      </c>
      <c r="F39" s="16">
        <f>'4. Elect'!F65</f>
        <v>0</v>
      </c>
      <c r="G39" s="15"/>
      <c r="H39" s="42"/>
      <c r="I39" s="43"/>
      <c r="J39" s="43"/>
      <c r="K39" s="44"/>
      <c r="L39" s="45"/>
      <c r="M39" s="46"/>
      <c r="N39" s="29"/>
    </row>
    <row r="40" spans="1:14" x14ac:dyDescent="0.2">
      <c r="A40" s="14">
        <v>4.5</v>
      </c>
      <c r="B40" s="245" t="s">
        <v>148</v>
      </c>
      <c r="C40" s="245"/>
      <c r="D40" s="245"/>
      <c r="E40" s="15">
        <f>'4. Elect'!J70</f>
        <v>2</v>
      </c>
      <c r="F40" s="16">
        <f>'4. Elect'!F70</f>
        <v>0</v>
      </c>
      <c r="G40" s="15"/>
    </row>
    <row r="41" spans="1:14" x14ac:dyDescent="0.2">
      <c r="A41" s="21">
        <v>4.5999999999999996</v>
      </c>
      <c r="B41" s="21" t="s">
        <v>330</v>
      </c>
      <c r="C41" s="21"/>
      <c r="D41" s="21"/>
      <c r="E41" s="22" t="s">
        <v>5</v>
      </c>
      <c r="F41" s="21"/>
      <c r="G41" s="21"/>
    </row>
    <row r="44" spans="1:14" x14ac:dyDescent="0.2">
      <c r="I44" s="61"/>
      <c r="J44" s="61"/>
      <c r="K44" s="62"/>
      <c r="L44" s="29"/>
      <c r="M44" s="29"/>
      <c r="N44" s="29"/>
    </row>
    <row r="45" spans="1:14" x14ac:dyDescent="0.2">
      <c r="H45" s="104" t="s">
        <v>291</v>
      </c>
      <c r="I45" s="105"/>
      <c r="J45" s="61"/>
      <c r="K45" s="62"/>
      <c r="L45" s="29"/>
      <c r="M45" s="29"/>
      <c r="N45" s="29"/>
    </row>
    <row r="46" spans="1:14" x14ac:dyDescent="0.2">
      <c r="H46" s="106">
        <v>0</v>
      </c>
      <c r="I46" s="107">
        <f>'0. General'!G16</f>
        <v>0</v>
      </c>
      <c r="J46" s="63"/>
      <c r="K46" s="63"/>
      <c r="L46" s="26"/>
      <c r="M46" s="26"/>
      <c r="N46" s="26"/>
    </row>
    <row r="47" spans="1:14" x14ac:dyDescent="0.2">
      <c r="H47" s="106">
        <v>1</v>
      </c>
      <c r="I47" s="108">
        <f>'1. Arch Ext'!G107</f>
        <v>0</v>
      </c>
      <c r="J47" s="64"/>
      <c r="K47" s="64"/>
      <c r="L47" s="26"/>
      <c r="M47" s="26"/>
      <c r="N47" s="26"/>
    </row>
    <row r="48" spans="1:14" x14ac:dyDescent="0.2">
      <c r="H48" s="109">
        <v>2</v>
      </c>
      <c r="I48" s="110">
        <f>'2. Arch Int'!G81</f>
        <v>0</v>
      </c>
      <c r="J48" s="7"/>
      <c r="K48" s="7"/>
      <c r="L48" s="26"/>
      <c r="M48" s="26"/>
      <c r="N48" s="26"/>
    </row>
    <row r="49" spans="8:14" x14ac:dyDescent="0.2">
      <c r="H49" s="106">
        <v>3</v>
      </c>
      <c r="I49" s="110">
        <f>'3. Mech'!G81</f>
        <v>0</v>
      </c>
      <c r="J49" s="65"/>
      <c r="K49" s="65"/>
      <c r="L49" s="29"/>
      <c r="M49" s="29"/>
      <c r="N49" s="29"/>
    </row>
    <row r="50" spans="8:14" x14ac:dyDescent="0.2">
      <c r="H50" s="106">
        <v>4</v>
      </c>
      <c r="I50" s="104">
        <f>'4. Elect'!G86</f>
        <v>0</v>
      </c>
    </row>
    <row r="51" spans="8:14" x14ac:dyDescent="0.2">
      <c r="H51" s="109">
        <v>5</v>
      </c>
      <c r="I51" s="104">
        <f>'5. Landscape'!G68</f>
        <v>0</v>
      </c>
    </row>
    <row r="52" spans="8:14" x14ac:dyDescent="0.2">
      <c r="H52" s="109">
        <v>6</v>
      </c>
      <c r="I52" s="104">
        <f>'6. Facilities'!G19</f>
        <v>0</v>
      </c>
    </row>
    <row r="53" spans="8:14" x14ac:dyDescent="0.2">
      <c r="H53" s="109">
        <v>7</v>
      </c>
      <c r="I53" s="104">
        <f>'7. Smart FM'!G15</f>
        <v>0</v>
      </c>
    </row>
  </sheetData>
  <sheetProtection algorithmName="SHA-512" hashValue="GIMKcelBjXtPLPrXMVTv6cw4sKywSWxVsKYcqVngIUozBC8pdV1tGYd2vMSGOq3PF92vDkZ2gXFvx64VajhFtg==" saltValue="+zi/8fncMJLsc3HEjfK8Wg==" spinCount="100000" sheet="1" selectLockedCells="1"/>
  <mergeCells count="66">
    <mergeCell ref="A26:D26"/>
    <mergeCell ref="H18:K18"/>
    <mergeCell ref="I9:K9"/>
    <mergeCell ref="B10:D10"/>
    <mergeCell ref="I10:K10"/>
    <mergeCell ref="I11:K11"/>
    <mergeCell ref="A9:D9"/>
    <mergeCell ref="A15:D15"/>
    <mergeCell ref="B16:D16"/>
    <mergeCell ref="B21:D21"/>
    <mergeCell ref="A20:D20"/>
    <mergeCell ref="B18:D18"/>
    <mergeCell ref="B19:D19"/>
    <mergeCell ref="N25:N26"/>
    <mergeCell ref="H25:J26"/>
    <mergeCell ref="K25:K26"/>
    <mergeCell ref="L25:L26"/>
    <mergeCell ref="M25:M26"/>
    <mergeCell ref="A1:G1"/>
    <mergeCell ref="H1:N1"/>
    <mergeCell ref="A2:G2"/>
    <mergeCell ref="H2:N2"/>
    <mergeCell ref="F12:F14"/>
    <mergeCell ref="G12:G14"/>
    <mergeCell ref="A11:D11"/>
    <mergeCell ref="I12:K12"/>
    <mergeCell ref="B13:D13"/>
    <mergeCell ref="B12:D12"/>
    <mergeCell ref="H3:N3"/>
    <mergeCell ref="A4:G4"/>
    <mergeCell ref="H4:N4"/>
    <mergeCell ref="A8:D8"/>
    <mergeCell ref="A6:D6"/>
    <mergeCell ref="H6:K6"/>
    <mergeCell ref="B40:D40"/>
    <mergeCell ref="B34:D34"/>
    <mergeCell ref="B31:D31"/>
    <mergeCell ref="B32:D32"/>
    <mergeCell ref="B33:D33"/>
    <mergeCell ref="B39:D39"/>
    <mergeCell ref="A35:D35"/>
    <mergeCell ref="B36:D36"/>
    <mergeCell ref="B37:D37"/>
    <mergeCell ref="B38:D38"/>
    <mergeCell ref="B7:D7"/>
    <mergeCell ref="I7:K7"/>
    <mergeCell ref="I8:K8"/>
    <mergeCell ref="A3:G3"/>
    <mergeCell ref="B17:D17"/>
    <mergeCell ref="E12:E14"/>
    <mergeCell ref="H34:N35"/>
    <mergeCell ref="B22:D22"/>
    <mergeCell ref="B23:D23"/>
    <mergeCell ref="B24:D24"/>
    <mergeCell ref="H13:K13"/>
    <mergeCell ref="I14:K14"/>
    <mergeCell ref="H22:J22"/>
    <mergeCell ref="I16:K16"/>
    <mergeCell ref="H15:K15"/>
    <mergeCell ref="I17:K17"/>
    <mergeCell ref="I20:K20"/>
    <mergeCell ref="H19:K19"/>
    <mergeCell ref="B27:D27"/>
    <mergeCell ref="B28:D28"/>
    <mergeCell ref="B25:D25"/>
    <mergeCell ref="B29:D29"/>
  </mergeCells>
  <conditionalFormatting sqref="A4:G4">
    <cfRule type="containsText" dxfId="170" priority="2" operator="containsText" text="&lt;Enter Project Name&gt;">
      <formula>NOT(ISERROR(SEARCH("&lt;Enter Project Name&gt;",A4)))</formula>
    </cfRule>
  </conditionalFormatting>
  <pageMargins left="0.23622047244094499" right="0.23622047244094499" top="0.74803149606299202" bottom="0.74803149606299202" header="0.31496062992126" footer="0.31496062992126"/>
  <pageSetup scale="99" orientation="portrait" r:id="rId1"/>
  <headerFooter>
    <oddHeader>&amp;RMt Badge Score Card Ver. 1
(w.e.f 28 June 2021)</oddHeader>
    <oddFooter>&amp;RPage &amp;P of &amp;N</oddFoot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ABBE4-A958-4117-B58C-69F2619AEF35}">
  <dimension ref="A1:K15"/>
  <sheetViews>
    <sheetView zoomScaleNormal="100" workbookViewId="0">
      <pane ySplit="5" topLeftCell="A8" activePane="bottomLeft" state="frozen"/>
      <selection pane="bottomLeft" activeCell="C8" sqref="C8"/>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204" t="s">
        <v>389</v>
      </c>
      <c r="B1" s="205"/>
      <c r="C1" s="205"/>
      <c r="D1" s="205"/>
      <c r="E1" s="206"/>
      <c r="F1" s="207"/>
      <c r="G1" s="207"/>
      <c r="H1" s="207"/>
      <c r="I1" s="207"/>
      <c r="J1" s="207"/>
      <c r="K1" s="207"/>
    </row>
    <row r="3" spans="1:11" x14ac:dyDescent="0.25">
      <c r="F3" s="94"/>
      <c r="G3" s="94"/>
      <c r="H3" s="194"/>
      <c r="I3" s="194"/>
      <c r="J3" s="94"/>
    </row>
    <row r="4" spans="1:11" x14ac:dyDescent="0.25">
      <c r="A4" s="291"/>
      <c r="B4" s="292"/>
      <c r="C4" s="137"/>
      <c r="D4" s="79"/>
      <c r="E4" s="293" t="s">
        <v>24</v>
      </c>
      <c r="F4" s="169" t="s">
        <v>1</v>
      </c>
      <c r="G4" s="169" t="s">
        <v>55</v>
      </c>
      <c r="H4" s="80" t="s">
        <v>17</v>
      </c>
      <c r="I4" s="80" t="s">
        <v>17</v>
      </c>
      <c r="J4" s="293" t="s">
        <v>319</v>
      </c>
      <c r="K4" s="293" t="s">
        <v>315</v>
      </c>
    </row>
    <row r="5" spans="1:11" x14ac:dyDescent="0.25">
      <c r="A5" s="291"/>
      <c r="B5" s="292"/>
      <c r="C5" s="137"/>
      <c r="D5" s="79"/>
      <c r="E5" s="293"/>
      <c r="F5" s="169"/>
      <c r="G5" s="169"/>
      <c r="H5" s="80"/>
      <c r="I5" s="80" t="s">
        <v>159</v>
      </c>
      <c r="J5" s="293"/>
      <c r="K5" s="293"/>
    </row>
    <row r="6" spans="1:11" x14ac:dyDescent="0.25">
      <c r="A6" s="69">
        <v>7.1</v>
      </c>
      <c r="B6" s="70" t="s">
        <v>306</v>
      </c>
      <c r="C6" s="81"/>
      <c r="D6" s="81"/>
      <c r="E6" s="82"/>
      <c r="F6" s="69">
        <f>SUM(F11)</f>
        <v>0</v>
      </c>
      <c r="G6" s="69"/>
      <c r="H6" s="84"/>
      <c r="I6" s="84"/>
      <c r="J6" s="69">
        <f>SUM(J7)</f>
        <v>5</v>
      </c>
      <c r="K6" s="69"/>
    </row>
    <row r="7" spans="1:11" ht="24.75" customHeight="1" x14ac:dyDescent="0.25">
      <c r="A7" s="71" t="s">
        <v>392</v>
      </c>
      <c r="B7" s="72" t="s">
        <v>383</v>
      </c>
      <c r="C7" s="72"/>
      <c r="D7" s="72"/>
      <c r="E7" s="85"/>
      <c r="F7" s="71"/>
      <c r="G7" s="71"/>
      <c r="H7" s="84"/>
      <c r="I7" s="84"/>
      <c r="J7" s="71">
        <f>SUM(J8:J10)</f>
        <v>5</v>
      </c>
      <c r="K7" s="71"/>
    </row>
    <row r="8" spans="1:11" ht="293.25" x14ac:dyDescent="0.25">
      <c r="A8" s="172" t="s">
        <v>3</v>
      </c>
      <c r="B8" s="75" t="s">
        <v>416</v>
      </c>
      <c r="C8" s="175"/>
      <c r="D8" s="87" t="s">
        <v>252</v>
      </c>
      <c r="F8" s="297">
        <f>IF(SUM(H8:H10)&gt;5,5,SUM(H8:H10))</f>
        <v>0</v>
      </c>
      <c r="G8" s="94"/>
      <c r="H8" s="84">
        <f>IF(C8="more than 5",5,C8)</f>
        <v>0</v>
      </c>
      <c r="I8" s="84"/>
      <c r="J8" s="297">
        <v>5</v>
      </c>
      <c r="K8" s="3"/>
    </row>
    <row r="9" spans="1:11" ht="178.5" x14ac:dyDescent="0.25">
      <c r="A9" s="172" t="s">
        <v>6</v>
      </c>
      <c r="B9" s="75" t="s">
        <v>384</v>
      </c>
      <c r="C9" s="175"/>
      <c r="D9" s="87" t="s">
        <v>252</v>
      </c>
      <c r="F9" s="297"/>
      <c r="G9" s="94"/>
      <c r="H9" s="84">
        <f t="shared" ref="H9:H10" si="0">IF(C9="more than 5",5,C9)</f>
        <v>0</v>
      </c>
      <c r="I9" s="84"/>
      <c r="J9" s="297"/>
      <c r="K9" s="3"/>
    </row>
    <row r="10" spans="1:11" ht="267.75" x14ac:dyDescent="0.25">
      <c r="A10" s="172" t="s">
        <v>7</v>
      </c>
      <c r="B10" s="240" t="s">
        <v>501</v>
      </c>
      <c r="C10" s="175"/>
      <c r="D10" s="87" t="s">
        <v>252</v>
      </c>
      <c r="F10" s="297"/>
      <c r="G10" s="94"/>
      <c r="H10" s="84">
        <f t="shared" si="0"/>
        <v>0</v>
      </c>
      <c r="I10" s="84"/>
      <c r="J10" s="297"/>
      <c r="K10" s="3"/>
    </row>
    <row r="11" spans="1:11" x14ac:dyDescent="0.25">
      <c r="E11" s="88" t="s">
        <v>286</v>
      </c>
      <c r="F11" s="172">
        <f>SUM(F8:F10)</f>
        <v>0</v>
      </c>
      <c r="H11" s="84"/>
      <c r="I11" s="84"/>
    </row>
    <row r="12" spans="1:11" x14ac:dyDescent="0.25">
      <c r="A12" s="94"/>
      <c r="H12" s="84"/>
      <c r="I12" s="84"/>
    </row>
    <row r="13" spans="1:11" x14ac:dyDescent="0.25">
      <c r="I13" s="172"/>
      <c r="J13" s="172">
        <v>0</v>
      </c>
    </row>
    <row r="14" spans="1:11" x14ac:dyDescent="0.25">
      <c r="E14" s="88" t="s">
        <v>161</v>
      </c>
      <c r="F14" s="92">
        <f>SUM(F6)</f>
        <v>0</v>
      </c>
      <c r="G14" s="90" t="s">
        <v>160</v>
      </c>
      <c r="I14" s="90"/>
      <c r="J14" s="92" t="s">
        <v>2</v>
      </c>
    </row>
    <row r="15" spans="1:11" x14ac:dyDescent="0.25">
      <c r="E15" s="88" t="s">
        <v>245</v>
      </c>
      <c r="F15" s="92">
        <v>0</v>
      </c>
      <c r="G15" s="92">
        <f>SUM(I8:I12)</f>
        <v>0</v>
      </c>
      <c r="I15" s="90"/>
      <c r="J15" s="172">
        <f>SUM(J6)</f>
        <v>5</v>
      </c>
    </row>
  </sheetData>
  <sheetProtection algorithmName="SHA-512" hashValue="QWsLniB7ogBH5VIo9YLtUaZ17GTb0WWe28hXrTTKJLJf0k7kvwXIiMBBKyCbHgvxTCMgcWZyfqVL3QSn6BGKvw==" saltValue="VgZCKeAKcQjxAUfEMJM1eg==" spinCount="100000" sheet="1" selectLockedCells="1"/>
  <protectedRanges>
    <protectedRange sqref="C8:C10" name="input2_23"/>
    <protectedRange sqref="K8:K10" name="input2_23_1_29_7"/>
  </protectedRanges>
  <mergeCells count="7">
    <mergeCell ref="F8:F10"/>
    <mergeCell ref="J8:J10"/>
    <mergeCell ref="K4:K5"/>
    <mergeCell ref="A4:A5"/>
    <mergeCell ref="B4:B5"/>
    <mergeCell ref="E4:E5"/>
    <mergeCell ref="J4:J5"/>
  </mergeCells>
  <conditionalFormatting sqref="G8:G9">
    <cfRule type="cellIs" dxfId="3" priority="9" operator="equal">
      <formula>"NOK"</formula>
    </cfRule>
    <cfRule type="cellIs" dxfId="2" priority="10" operator="equal">
      <formula>"OK"</formula>
    </cfRule>
  </conditionalFormatting>
  <conditionalFormatting sqref="G10">
    <cfRule type="cellIs" dxfId="1" priority="1" operator="equal">
      <formula>"NOK"</formula>
    </cfRule>
    <cfRule type="cellIs" dxfId="0" priority="2" operator="equal">
      <formula>"OK"</formula>
    </cfRule>
  </conditionalFormatting>
  <dataValidations count="1">
    <dataValidation type="list" allowBlank="1" showInputMessage="1" showErrorMessage="1" sqref="C8:C10" xr:uid="{03F2709B-40F9-48E6-BB34-E6C55EA12A27}">
      <formula1>"1,2,3,4,5, more than 5"</formula1>
    </dataValidation>
  </dataValidation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08830-E722-45BF-A068-FE35B074CB90}">
  <dimension ref="B1:E50"/>
  <sheetViews>
    <sheetView zoomScaleNormal="100" workbookViewId="0">
      <selection activeCell="B1" sqref="B1"/>
    </sheetView>
  </sheetViews>
  <sheetFormatPr defaultRowHeight="15" x14ac:dyDescent="0.25"/>
  <cols>
    <col min="2" max="2" width="20.7109375" customWidth="1"/>
    <col min="3" max="3" width="11.140625" style="113" customWidth="1"/>
    <col min="4" max="4" width="103.5703125" style="114" customWidth="1"/>
    <col min="5" max="5" width="13.7109375" style="113" bestFit="1" customWidth="1"/>
  </cols>
  <sheetData>
    <row r="1" spans="2:5" ht="15.75" thickBot="1" x14ac:dyDescent="0.3"/>
    <row r="2" spans="2:5" ht="16.5" thickBot="1" x14ac:dyDescent="0.3">
      <c r="B2" s="127" t="s">
        <v>297</v>
      </c>
      <c r="C2" s="128" t="s">
        <v>298</v>
      </c>
      <c r="D2" s="129" t="s">
        <v>299</v>
      </c>
      <c r="E2" s="130" t="s">
        <v>300</v>
      </c>
    </row>
    <row r="3" spans="2:5" ht="135.75" thickBot="1" x14ac:dyDescent="0.3">
      <c r="B3" s="224" t="s">
        <v>296</v>
      </c>
      <c r="C3" s="118" t="str">
        <f>'0. General'!A9</f>
        <v>i)</v>
      </c>
      <c r="D3" s="119" t="str">
        <f>'0. General'!B9</f>
        <v>Conduct at least 3 design charrettes during the concept/ detail design stage involving minimally 3 stakeholders from the following group: 
o Building owner/ representative 
o Facilities manager (FM)/operator
o Design consultants (minimally one representative each from the various disciplines – architecture, civil &amp; structural, mechanical and electrical, landscape, quantity surveyor, etc.) 
o Other specialist consultant / supplier (i.e. environmentally sustainable design, lighting specialist, material specialists, façade access consultant, etc.)</v>
      </c>
      <c r="E3" s="120" t="str">
        <f>'0. General'!G9</f>
        <v>NOK</v>
      </c>
    </row>
    <row r="4" spans="2:5" ht="30" x14ac:dyDescent="0.25">
      <c r="B4" s="279" t="s">
        <v>301</v>
      </c>
      <c r="C4" s="118" t="str">
        <f>'1. Arch Ext'!A7</f>
        <v>1.1.1</v>
      </c>
      <c r="D4" s="121" t="str">
        <f>'1. Arch Ext'!B8</f>
        <v>Design for drip edges/grooves to mitigate streaking on exterior soffits and vertical façade surfaces e.g. leading edge of flashing, sills, overhangs or other horizontal projecting façade elements.</v>
      </c>
      <c r="E4" s="120" t="str">
        <f>'1. Arch Ext'!G8</f>
        <v>NOK</v>
      </c>
    </row>
    <row r="5" spans="2:5" x14ac:dyDescent="0.25">
      <c r="B5" s="280"/>
      <c r="C5" s="115" t="str">
        <f>'1. Arch Ext'!A12</f>
        <v>1.1.2</v>
      </c>
      <c r="D5" s="117" t="str">
        <f>'1. Arch Ext'!B13</f>
        <v xml:space="preserve">Ensure entire façade are accessible for maintenance. </v>
      </c>
      <c r="E5" s="122" t="str">
        <f>'1. Arch Ext'!G13</f>
        <v>NOK</v>
      </c>
    </row>
    <row r="6" spans="2:5" x14ac:dyDescent="0.25">
      <c r="B6" s="280"/>
      <c r="C6" s="115" t="str">
        <f>'1. Arch Ext'!A16</f>
        <v>1.1.3</v>
      </c>
      <c r="D6" s="117" t="str">
        <f>'1. Arch Ext'!B17</f>
        <v xml:space="preserve">Ensure the roof and façade of skybridge is accessible for maintenance. </v>
      </c>
      <c r="E6" s="122" t="str">
        <f>'1. Arch Ext'!G17</f>
        <v>NOK</v>
      </c>
    </row>
    <row r="7" spans="2:5" ht="45" x14ac:dyDescent="0.25">
      <c r="B7" s="280"/>
      <c r="C7" s="115" t="str">
        <f>'1. Arch Ext'!A22</f>
        <v>1.2.1</v>
      </c>
      <c r="D7" s="117" t="str">
        <f>'1. Arch Ext'!B23</f>
        <v>For streaking:
Specify metals of similar properties or separators between different metal components on the exposed face of the façade to mitigate risk of bi-metallic corrosion.</v>
      </c>
      <c r="E7" s="122" t="str">
        <f>'1. Arch Ext'!G23</f>
        <v>NOK</v>
      </c>
    </row>
    <row r="8" spans="2:5" ht="45" x14ac:dyDescent="0.25">
      <c r="B8" s="280"/>
      <c r="C8" s="115" t="str">
        <f>'1. Arch Ext'!A34</f>
        <v>1.3.1</v>
      </c>
      <c r="D8" s="117" t="str">
        <f>'1. Arch Ext'!B35</f>
        <v>For streaking:
Specify metals of similar properties or separators between different metal components on the external face of facade to mitigate risk of bi-metallic corrosion.</v>
      </c>
      <c r="E8" s="122" t="str">
        <f>'1. Arch Ext'!G35</f>
        <v>NOK</v>
      </c>
    </row>
    <row r="9" spans="2:5" x14ac:dyDescent="0.25">
      <c r="B9" s="280"/>
      <c r="C9" s="115" t="str">
        <f>'1. Arch Ext'!A44</f>
        <v>1.4.1</v>
      </c>
      <c r="D9" s="117" t="str">
        <f>'1. Arch Ext'!B45</f>
        <v xml:space="preserve">For efflorescence: specify mortar materials to be salt free. </v>
      </c>
      <c r="E9" s="122" t="str">
        <f>'1. Arch Ext'!G45</f>
        <v>NOK</v>
      </c>
    </row>
    <row r="10" spans="2:5" ht="30" x14ac:dyDescent="0.25">
      <c r="B10" s="280"/>
      <c r="C10" s="115" t="str">
        <f>'1. Arch Ext'!A44</f>
        <v>1.4.1</v>
      </c>
      <c r="D10" s="117" t="str">
        <f>'1. Arch Ext'!B46</f>
        <v xml:space="preserve">For water ingress: design movement joints in large continuous areas, or between different building components, to minimise the risk of damage to façade, weather seal, and waterproofing joints. </v>
      </c>
      <c r="E10" s="122" t="str">
        <f>'1. Arch Ext'!G46</f>
        <v>NOK</v>
      </c>
    </row>
    <row r="11" spans="2:5" x14ac:dyDescent="0.25">
      <c r="B11" s="280"/>
      <c r="C11" s="115" t="str">
        <f>'1. Arch Ext'!A57</f>
        <v>1.5.1</v>
      </c>
      <c r="D11" s="117" t="str">
        <f>'1. Arch Ext'!B58</f>
        <v xml:space="preserve">Ensure every part of all façade features is accessible for maintenance. </v>
      </c>
      <c r="E11" s="122" t="str">
        <f>'1. Arch Ext'!G58</f>
        <v>NOK</v>
      </c>
    </row>
    <row r="12" spans="2:5" ht="30" customHeight="1" x14ac:dyDescent="0.25">
      <c r="B12" s="280"/>
      <c r="C12" s="115" t="str">
        <f>'1. Arch Ext'!A57</f>
        <v>1.5.1</v>
      </c>
      <c r="D12" s="117" t="str">
        <f>'1. Arch Ext'!B59</f>
        <v xml:space="preserve">Ensure all glass features and their structure (e.g. glazed canopies) are able to withstand the maintenance-related loads. </v>
      </c>
      <c r="E12" s="122" t="str">
        <f>'1. Arch Ext'!G59</f>
        <v>NOK</v>
      </c>
    </row>
    <row r="13" spans="2:5" x14ac:dyDescent="0.25">
      <c r="B13" s="280"/>
      <c r="C13" s="115" t="str">
        <f>'1. Arch Ext'!A75</f>
        <v>1.6.1</v>
      </c>
      <c r="D13" s="117" t="str">
        <f>'1. Arch Ext'!B76</f>
        <v>Design for raised internal level of at least 100mm from the external datum.</v>
      </c>
      <c r="E13" s="122" t="str">
        <f>'1. Arch Ext'!G76</f>
        <v>NOK</v>
      </c>
    </row>
    <row r="14" spans="2:5" x14ac:dyDescent="0.25">
      <c r="B14" s="280"/>
      <c r="C14" s="115" t="str">
        <f>'1. Arch Ext'!A82</f>
        <v>1.7.1</v>
      </c>
      <c r="D14" s="117" t="str">
        <f>'1. Arch Ext'!B83</f>
        <v>Design for corridor slope to nearest drain outlet to be not gentler than 1:80.</v>
      </c>
      <c r="E14" s="122" t="str">
        <f>'1. Arch Ext'!G83</f>
        <v>NOK</v>
      </c>
    </row>
    <row r="15" spans="2:5" x14ac:dyDescent="0.25">
      <c r="B15" s="280"/>
      <c r="C15" s="115" t="str">
        <f>'1. Arch Ext'!A93</f>
        <v>1.8.1</v>
      </c>
      <c r="D15" s="117" t="str">
        <f>'1. Arch Ext'!B94</f>
        <v xml:space="preserve">a.	For concrete flat roofs - Design slope not gentler than 1:150 with scupper drains/gutter. </v>
      </c>
      <c r="E15" s="122" t="str">
        <f>'1. Arch Ext'!G94</f>
        <v>NOK</v>
      </c>
    </row>
    <row r="16" spans="2:5" ht="105" x14ac:dyDescent="0.25">
      <c r="B16" s="280"/>
      <c r="C16" s="115" t="str">
        <f>'1. Arch Ext'!A93</f>
        <v>1.8.1</v>
      </c>
      <c r="D16" s="117" t="str">
        <f>'1. Arch Ext'!B95</f>
        <v>For metal sheet profiles – 
Design slope to manufacturer’s specifications 
(OR)
Design slope for different sheet profiles based on the roof pitch table (refer to table in technical guide).
(OR)
Design slope for different sheet profiles determined by rainwater drainage capacity calculation.</v>
      </c>
      <c r="E16" s="122" t="str">
        <f>'1. Arch Ext'!G95</f>
        <v>NOK</v>
      </c>
    </row>
    <row r="17" spans="2:5" ht="60" x14ac:dyDescent="0.25">
      <c r="B17" s="280"/>
      <c r="C17" s="115" t="str">
        <f>'1. Arch Ext'!A98</f>
        <v>1.8.2</v>
      </c>
      <c r="D17" s="117" t="str">
        <f>'1. Arch Ext'!B99</f>
        <v xml:space="preserve">Specify bitumen/polymer elastomer preformed waterproofing membrane (design for overlap and proper termination of waterproofing membrane). 
(OR) 
Specify water based/solvent based liquid applied waterproofing membrane. </v>
      </c>
      <c r="E17" s="122" t="str">
        <f>'1. Arch Ext'!G99</f>
        <v>NOK</v>
      </c>
    </row>
    <row r="18" spans="2:5" ht="30.75" thickBot="1" x14ac:dyDescent="0.3">
      <c r="B18" s="280"/>
      <c r="C18" s="115" t="str">
        <f>'1. Arch Ext'!A102</f>
        <v>1.8.3</v>
      </c>
      <c r="D18" s="117" t="str">
        <f>'1. Arch Ext'!B103</f>
        <v xml:space="preserve">Specify metal of similar properties or separators between different materials to mitigate risk of bi-metallic corrosion between roof and other metal components or accessories. </v>
      </c>
      <c r="E18" s="122" t="str">
        <f>'1. Arch Ext'!G103</f>
        <v>NOK</v>
      </c>
    </row>
    <row r="19" spans="2:5" x14ac:dyDescent="0.25">
      <c r="B19" s="281" t="s">
        <v>302</v>
      </c>
      <c r="C19" s="118" t="str">
        <f>'2. Arch Int'!A22</f>
        <v>2.3.1</v>
      </c>
      <c r="D19" s="121" t="str">
        <f>'2. Arch Int'!B23</f>
        <v>Provide double slabs with minimum clear headroom of 1.8m.</v>
      </c>
      <c r="E19" s="123" t="str">
        <f>'2. Arch Int'!G23</f>
        <v>NOK</v>
      </c>
    </row>
    <row r="20" spans="2:5" x14ac:dyDescent="0.25">
      <c r="B20" s="282"/>
      <c r="C20" s="115" t="str">
        <f>'2. Arch Int'!A32</f>
        <v>2.3.3</v>
      </c>
      <c r="D20" s="117" t="str">
        <f>'2. Arch Int'!B33</f>
        <v xml:space="preserve">Provide access to all parts of the ceiling (including weather-exposed ceiling) for general maintenance. </v>
      </c>
      <c r="E20" s="122" t="str">
        <f>'2. Arch Int'!G33</f>
        <v>NOK</v>
      </c>
    </row>
    <row r="21" spans="2:5" ht="15.75" thickBot="1" x14ac:dyDescent="0.3">
      <c r="B21" s="282"/>
      <c r="C21" s="115" t="str">
        <f>'2. Arch Int'!A71</f>
        <v>2.5.1</v>
      </c>
      <c r="D21" s="117" t="str">
        <f>'2. Arch Int'!B72</f>
        <v xml:space="preserve">Specify for positive side waterproofing on the retaining wall, e.g. sheet-membrane systems, vapour barriers. </v>
      </c>
      <c r="E21" s="122" t="str">
        <f>'2. Arch Int'!G72</f>
        <v>NOK</v>
      </c>
    </row>
    <row r="22" spans="2:5" ht="45" x14ac:dyDescent="0.25">
      <c r="B22" s="288" t="s">
        <v>303</v>
      </c>
      <c r="C22" s="118" t="str">
        <f>'3. Mech'!A7</f>
        <v>3.1.1</v>
      </c>
      <c r="D22" s="119" t="str">
        <f>'3. Mech'!B9 &amp;" OR "&amp;'3. Mech'!B10</f>
        <v>Provide operable windows/opening with minimum opening size of 900 mm (H) x 600 mm (W). OR The bottom of the windows/opening for CU access should be located no higher than 1.1 meter from the finished floor level within the unit.</v>
      </c>
      <c r="E22" s="120" t="str">
        <f>'3. Mech'!G9</f>
        <v>NOK</v>
      </c>
    </row>
    <row r="23" spans="2:5" ht="30" x14ac:dyDescent="0.25">
      <c r="B23" s="289"/>
      <c r="C23" s="155" t="str">
        <f>C22</f>
        <v>3.1.1</v>
      </c>
      <c r="D23" s="156" t="str">
        <f>'3. Mech'!B10</f>
        <v>The bottom of the windows/opening for CU access should be located no higher than 1.1 meter from the finished floor level within the unit.</v>
      </c>
      <c r="E23" s="157" t="str">
        <f>'3. Mech'!G10</f>
        <v>NOK</v>
      </c>
    </row>
    <row r="24" spans="2:5" ht="15" customHeight="1" x14ac:dyDescent="0.25">
      <c r="B24" s="289"/>
      <c r="C24" s="155" t="str">
        <f>'3. Mech'!A13</f>
        <v>3.1.2</v>
      </c>
      <c r="D24" s="156" t="str">
        <f>'3. Mech'!B14</f>
        <v xml:space="preserve">The safety barrier (such as railing) must be provided around the service ledge with minimum height of 1 meter. </v>
      </c>
      <c r="E24" s="157" t="str">
        <f>'3. Mech'!G14</f>
        <v>NOK</v>
      </c>
    </row>
    <row r="25" spans="2:5" ht="90" x14ac:dyDescent="0.25">
      <c r="B25" s="289"/>
      <c r="C25" s="155" t="str">
        <f>'3. Mech'!A13</f>
        <v>3.1.2</v>
      </c>
      <c r="D25" s="156" t="str">
        <f>'3. Mech'!B15</f>
        <v>b. Adequate working space must be provided for service and maintenance 
i) The outdoor units must not be stacked
ii) Minimum clear space in front of the CU: 350 mm
iii) Minimum clear space at the back of CU: 200 mm
iv) Minimum clear space to the side of CU with control panel: 350 mm
v) Minimum clear space to the side of CU without control panel: 100mm</v>
      </c>
      <c r="E25" s="157" t="str">
        <f>'3. Mech'!G15</f>
        <v>NOK</v>
      </c>
    </row>
    <row r="26" spans="2:5" ht="30" x14ac:dyDescent="0.25">
      <c r="B26" s="289"/>
      <c r="C26" s="155" t="str">
        <f>'3. Mech'!A19</f>
        <v>3.1.3</v>
      </c>
      <c r="D26" s="156" t="str">
        <f>'3. Mech'!B20</f>
        <v xml:space="preserve">AC ledge must be in a well-ventilated space for effective flow of air (CFD simulation is required if CU is facing enclosed space such as air well). </v>
      </c>
      <c r="E26" s="157" t="str">
        <f>'3. Mech'!G20</f>
        <v>NOK</v>
      </c>
    </row>
    <row r="27" spans="2:5" ht="30" x14ac:dyDescent="0.25">
      <c r="B27" s="289"/>
      <c r="C27" s="115" t="str">
        <f>'3. Mech'!A26</f>
        <v>3.2.1</v>
      </c>
      <c r="D27" s="116" t="str">
        <f>'3. Mech'!B27</f>
        <v xml:space="preserve">For single VRF outdoor unit installation:
Note: Provide access space as specified in the Technical Reference. </v>
      </c>
      <c r="E27" s="122" t="str">
        <f>'3. Mech'!G27</f>
        <v>NOK</v>
      </c>
    </row>
    <row r="28" spans="2:5" ht="30" x14ac:dyDescent="0.25">
      <c r="B28" s="289"/>
      <c r="C28" s="115" t="str">
        <f>'3. Mech'!A26</f>
        <v>3.2.1</v>
      </c>
      <c r="D28" s="116" t="str">
        <f>'3. Mech'!B28</f>
        <v xml:space="preserve">For collective VRF outdoor unit installation:
Note: Provide access space as specified in the Technical Reference. </v>
      </c>
      <c r="E28" s="122" t="str">
        <f>'3. Mech'!G28</f>
        <v>NOK</v>
      </c>
    </row>
    <row r="29" spans="2:5" ht="30" x14ac:dyDescent="0.25">
      <c r="B29" s="289"/>
      <c r="C29" s="115" t="str">
        <f>'3. Mech'!A26</f>
        <v>3.2.1</v>
      </c>
      <c r="D29" s="116" t="str">
        <f>'3. Mech'!B29</f>
        <v xml:space="preserve">For floor-by-floor VRF outdoor unit installation:
Note: Provide access space as specified in the Technical Reference. </v>
      </c>
      <c r="E29" s="122" t="str">
        <f>'3. Mech'!G29</f>
        <v>NOK</v>
      </c>
    </row>
    <row r="30" spans="2:5" ht="15" customHeight="1" x14ac:dyDescent="0.25">
      <c r="B30" s="289"/>
      <c r="C30" s="115" t="str">
        <f>'3. Mech'!A40</f>
        <v>3.4.1</v>
      </c>
      <c r="D30" s="116" t="str">
        <f>'3. Mech'!B41</f>
        <v>Provide minimum clear width of 1.2 m access walkway to water tank from the nearest entrance.</v>
      </c>
      <c r="E30" s="122" t="str">
        <f>'3. Mech'!G41</f>
        <v>NOK</v>
      </c>
    </row>
    <row r="31" spans="2:5" ht="30" x14ac:dyDescent="0.25">
      <c r="B31" s="289"/>
      <c r="C31" s="115" t="str">
        <f>C30</f>
        <v>3.4.1</v>
      </c>
      <c r="D31" s="116" t="str">
        <f>'3. Mech'!B43&amp;" OR/AND "&amp;'3. Mech'!B44</f>
        <v>i.For panel tank (FRP/Stainless steel), provide minimum600 mm clear space around the tank. OR/AND ii. For RC tank, provide minimum 600 mm clear access to the front for direct access.</v>
      </c>
      <c r="E31" s="124" t="str">
        <f>'3. Mech'!G43</f>
        <v>NOK</v>
      </c>
    </row>
    <row r="32" spans="2:5" ht="15" customHeight="1" x14ac:dyDescent="0.25">
      <c r="B32" s="289"/>
      <c r="C32" s="115" t="str">
        <f>C31</f>
        <v>3.4.1</v>
      </c>
      <c r="D32" s="116" t="str">
        <f>'3. Mech'!B45</f>
        <v>Provide minimum 1m clear headroom above the water tank (applicable to water tank with top access)</v>
      </c>
      <c r="E32" s="122" t="str">
        <f>'3. Mech'!G45</f>
        <v>NOK</v>
      </c>
    </row>
    <row r="33" spans="2:5" ht="15" customHeight="1" x14ac:dyDescent="0.25">
      <c r="B33" s="289"/>
      <c r="C33" s="115" t="str">
        <f>'3. Mech'!A54</f>
        <v>3.5.2</v>
      </c>
      <c r="D33" s="116" t="str">
        <f>'3. Mech'!B55</f>
        <v xml:space="preserve">Provide minimum 600mm clear space on 1 side of the ejector pump for regular maintenance. </v>
      </c>
      <c r="E33" s="122" t="str">
        <f>'3. Mech'!G55</f>
        <v>NOK</v>
      </c>
    </row>
    <row r="34" spans="2:5" ht="30" x14ac:dyDescent="0.25">
      <c r="B34" s="289"/>
      <c r="C34" s="115" t="str">
        <f>'3. Mech'!A54</f>
        <v>3.5.2</v>
      </c>
      <c r="D34" s="116" t="str">
        <f>'3. Mech'!B56</f>
        <v>b.	Provide minimum 1.5m clear headroom above finished floor level at the top of ejector pit to facilitate overhaul maintenance or replacement.</v>
      </c>
      <c r="E34" s="122" t="str">
        <f>'3. Mech'!G56</f>
        <v>NOK</v>
      </c>
    </row>
    <row r="35" spans="2:5" ht="180" x14ac:dyDescent="0.25">
      <c r="B35" s="289"/>
      <c r="C35" s="115" t="str">
        <f>'3. Mech'!A64</f>
        <v>3.6.1</v>
      </c>
      <c r="D35" s="116" t="str">
        <f>'3. Mech'!B65&amp;" OR "&amp;'3. Mech'!B67&amp;" OR "&amp;'3. Mech'!B68&amp;" OR "&amp;'3. Mech'!B69</f>
        <v xml:space="preserve">Provide alternative access for the detector maintenance (e.g. maintenance platform) without having to access from the atrium floor. 
	(OR)
Provide clear access route for Mobile Elevated Work Platforms (MEWP) to reach the lobby or atrium space from the nearest door entrance. 
o     Provide clear access with entrance door/ opening of 1.8m width x 2.4m height and working base of 1.8m width x 2m length if the mounting height is less than or equal to 10.5m.
o      Provide clear access with entrance door/ opening of 2m width x 2.8m height and working base of 2m width x 2m length if the mounting height is greater than 10.5m.  OR  OR Reduce risk of damage and periodic replacement of fire-rated boards due to exposure to high humidity and water  OR Specify the use of weatherproof fire-rated materials for services such as kitchen exhaust ducts, wet/dry riser pipes etc. </v>
      </c>
      <c r="E35" s="124" t="str">
        <f>'3. Mech'!G65</f>
        <v>NOK</v>
      </c>
    </row>
    <row r="36" spans="2:5" ht="30.75" thickBot="1" x14ac:dyDescent="0.3">
      <c r="B36" s="290"/>
      <c r="C36" s="155" t="str">
        <f>'3. Mech'!A73</f>
        <v>3.7.1</v>
      </c>
      <c r="D36" s="156" t="str">
        <f>'3. Mech'!B74</f>
        <v>Provide minimum 600 mm clear working/walking space in the filtration pump room for regular maintenance.   
The access space for replacement of major component must follow manufacture’s recommendation.</v>
      </c>
      <c r="E36" s="157" t="str">
        <f>'3. Mech'!G74</f>
        <v>NOK</v>
      </c>
    </row>
    <row r="37" spans="2:5" ht="120" x14ac:dyDescent="0.25">
      <c r="B37" s="283" t="s">
        <v>304</v>
      </c>
      <c r="C37" s="118" t="str">
        <f>'4. Elect'!A7</f>
        <v>4.1.1</v>
      </c>
      <c r="D37" s="121" t="str">
        <f>'4. Elect'!B9&amp;" OR/AND "&amp;'4. Elect'!B11&amp;'4. Elect'!B12&amp;'4. Elect'!B13&amp;" OR "&amp;'4. Elect'!B15</f>
        <v>i) Provide alternative means of access (e.g. access from mezzanine floor, maintenance platform) without having to access from the atrium floor. OR/AND ii) Provide clear access route for Mobile Elevated Work Platforms (MEWP) to reach the lobby, atrium space from the nearest door entrance. - Provide clear access with entrance door/ opening of 1.8 m width x 2.4 m height and working base of 1.8 m width x 2 m length if the mounting height is less than or equal to 10.5 m.-  Provide clear access with entrance door/ opening of 2 m width x 2.8 m height and working base of 2m width x 2m length if the mounting height is more than 10.5m OR iii) Provide pulley system or equivalent system for light fixtures installed at high lobby or atrium space to allow lowering for maintenance/ replacement.</v>
      </c>
      <c r="E37" s="120" t="str">
        <f>'4. Elect'!G9</f>
        <v>NOK</v>
      </c>
    </row>
    <row r="38" spans="2:5" ht="30" x14ac:dyDescent="0.25">
      <c r="B38" s="284"/>
      <c r="C38" s="115" t="str">
        <f>'4. Elect'!A32</f>
        <v>4.2.1</v>
      </c>
      <c r="D38" s="117" t="str">
        <f>'4. Elect'!B33&amp;" OR "&amp;'4. Elect'!B35</f>
        <v xml:space="preserve">Electrical room shall be raised by minimum 100 mm against the outside passageway.  OR Provide minimum 100 mm plinth for floor mounted electrical switchboard.  </v>
      </c>
      <c r="E38" s="124" t="str">
        <f>'4. Elect'!G33</f>
        <v>NOK</v>
      </c>
    </row>
    <row r="39" spans="2:5" ht="15" customHeight="1" x14ac:dyDescent="0.25">
      <c r="B39" s="284"/>
      <c r="C39" s="115" t="str">
        <f>'4. Elect'!A55</f>
        <v>4.3.2</v>
      </c>
      <c r="D39" s="117" t="str">
        <f>'4. Elect'!B56</f>
        <v xml:space="preserve">Provide minimum 20% spare capacity in network switch to cater for future expansion. </v>
      </c>
      <c r="E39" s="124" t="str">
        <f>'4. Elect'!G56</f>
        <v>NOK</v>
      </c>
    </row>
    <row r="40" spans="2:5" ht="15.75" customHeight="1" x14ac:dyDescent="0.25">
      <c r="B40" s="284"/>
      <c r="C40" s="115" t="str">
        <f>'4. Elect'!A71</f>
        <v>4.5.1</v>
      </c>
      <c r="D40" s="117" t="str">
        <f>'4. Elect'!B72</f>
        <v>Provide permanent access (staircase with handrail) to the lift motor room.</v>
      </c>
      <c r="E40" s="124" t="str">
        <f>'4. Elect'!G72</f>
        <v>NOK</v>
      </c>
    </row>
    <row r="41" spans="2:5" ht="30.75" thickBot="1" x14ac:dyDescent="0.3">
      <c r="B41" s="285"/>
      <c r="C41" s="158" t="str">
        <f>'4. Elect'!A81</f>
        <v>4.6.1</v>
      </c>
      <c r="D41" s="159" t="str">
        <f>'4. Elect'!B82</f>
        <v>The EPS antenna must be properly located at the entrance and exit barriers to accurately read the registered car information to avoid the manual opening of the barrier.</v>
      </c>
      <c r="E41" s="160" t="str">
        <f>'4. Elect'!G82</f>
        <v>NOK</v>
      </c>
    </row>
    <row r="42" spans="2:5" x14ac:dyDescent="0.25">
      <c r="B42" s="286" t="s">
        <v>305</v>
      </c>
      <c r="C42" s="118" t="str">
        <f>'5. Landscape'!A7</f>
        <v>5.1.1</v>
      </c>
      <c r="D42" s="119" t="str">
        <f>'5. Landscape'!B8</f>
        <v xml:space="preserve">Design for water points with maximum 15 m radius from each point. </v>
      </c>
      <c r="E42" s="123" t="str">
        <f>'5. Landscape'!G8</f>
        <v>NOK</v>
      </c>
    </row>
    <row r="43" spans="2:5" ht="30" x14ac:dyDescent="0.25">
      <c r="B43" s="287"/>
      <c r="C43" s="115" t="str">
        <f>'5. Landscape'!A31</f>
        <v>5.3.1</v>
      </c>
      <c r="D43" s="116" t="str">
        <f>'5. Landscape'!B32</f>
        <v>Provide direct maintenance access to all vertical greenery, both indoor and outdoor, e.g. catwalk, ladder, access corridor, MEWP, etc.</v>
      </c>
      <c r="E43" s="122" t="str">
        <f>'5. Landscape'!G32</f>
        <v>NOK</v>
      </c>
    </row>
    <row r="44" spans="2:5" x14ac:dyDescent="0.25">
      <c r="B44" s="287"/>
      <c r="C44" s="115" t="str">
        <f>'5. Landscape'!A36</f>
        <v>5.4.1</v>
      </c>
      <c r="D44" s="116" t="str">
        <f>'5. Landscape'!B37</f>
        <v xml:space="preserve">Provide direct maintenance access to landscape on all roof and sky terraces. </v>
      </c>
      <c r="E44" s="122" t="str">
        <f>'5. Landscape'!G37</f>
        <v>NOK</v>
      </c>
    </row>
    <row r="45" spans="2:5" ht="30" x14ac:dyDescent="0.25">
      <c r="B45" s="287"/>
      <c r="C45" s="115" t="str">
        <f>C44</f>
        <v>5.4.1</v>
      </c>
      <c r="D45" s="116" t="str">
        <f>'5. Landscape'!B38</f>
        <v xml:space="preserve">For planters more than 1.8 m wide, provide minimally 300mm obstruction free maintenance pathway inside the planter box. </v>
      </c>
      <c r="E45" s="122" t="str">
        <f>'5. Landscape'!G38</f>
        <v>NOK</v>
      </c>
    </row>
    <row r="46" spans="2:5" ht="30.75" thickBot="1" x14ac:dyDescent="0.3">
      <c r="B46" s="287"/>
      <c r="C46" s="161" t="str">
        <f>'5. Landscape'!A55</f>
        <v>5.6.1</v>
      </c>
      <c r="D46" s="162" t="str">
        <f>'5. Landscape'!B56</f>
        <v>a.	Design for outdoor standalone structures roof slope to be not gentler than 15 degrees for efficient water run-off.</v>
      </c>
      <c r="E46" s="163" t="str">
        <f>'5. Landscape'!G56</f>
        <v>NOK</v>
      </c>
    </row>
    <row r="47" spans="2:5" ht="30.75" thickBot="1" x14ac:dyDescent="0.3">
      <c r="B47" s="164" t="s">
        <v>387</v>
      </c>
      <c r="C47" s="165" t="str">
        <f>'6. Facilities'!A7</f>
        <v>6.1.1</v>
      </c>
      <c r="D47" s="166" t="str">
        <f>'6. Facilities'!B8</f>
        <v xml:space="preserve">Ensure slope and gradient as per the court guidelines, e.g. For non-porous tennis courts minimum of 1:120 and maximum of 1:100. </v>
      </c>
      <c r="E47" s="167" t="str">
        <f>'6. Facilities'!G8</f>
        <v>NOK</v>
      </c>
    </row>
    <row r="48" spans="2:5" ht="15.75" x14ac:dyDescent="0.25">
      <c r="B48" s="225"/>
      <c r="D48" s="226"/>
      <c r="E48" s="227"/>
    </row>
    <row r="49" spans="4:5" ht="15.75" thickBot="1" x14ac:dyDescent="0.3"/>
    <row r="50" spans="4:5" ht="19.5" thickBot="1" x14ac:dyDescent="0.35">
      <c r="D50" s="125" t="s">
        <v>307</v>
      </c>
      <c r="E50" s="126">
        <f>COUNTIF(E3:E47,"NOK")</f>
        <v>45</v>
      </c>
    </row>
  </sheetData>
  <sheetProtection algorithmName="SHA-512" hashValue="SQor5K3oKgmS8Pwv+Fw/C0PrYyvHaeALZlZCLXJID7mpAB3nMojSHZRJZAuzolxo1O4HlhNWadU0IjKT9VqDxA==" saltValue="VuhpDzq0F6pMhossJu69VQ==" spinCount="100000" sheet="1" selectLockedCells="1"/>
  <mergeCells count="5">
    <mergeCell ref="B4:B18"/>
    <mergeCell ref="B19:B21"/>
    <mergeCell ref="B37:B41"/>
    <mergeCell ref="B42:B46"/>
    <mergeCell ref="B22:B36"/>
  </mergeCells>
  <conditionalFormatting sqref="E3:E48">
    <cfRule type="cellIs" dxfId="169" priority="2" operator="equal">
      <formula>"Please indicate type of air distribution system above"</formula>
    </cfRule>
    <cfRule type="cellIs" dxfId="168" priority="3" operator="equal">
      <formula>"NA"</formula>
    </cfRule>
    <cfRule type="cellIs" dxfId="167" priority="4" operator="equal">
      <formula>"OK"</formula>
    </cfRule>
    <cfRule type="cellIs" dxfId="166" priority="5" operator="equal">
      <formula>"NOK"</formula>
    </cfRule>
  </conditionalFormatting>
  <conditionalFormatting sqref="E50">
    <cfRule type="cellIs" dxfId="165" priority="1"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1281-1F5F-436E-908F-F6089BDC19D8}">
  <dimension ref="A1:K16"/>
  <sheetViews>
    <sheetView zoomScaleNormal="100" zoomScaleSheetLayoutView="100" workbookViewId="0">
      <pane ySplit="5" topLeftCell="A6" activePane="bottomLeft" state="frozen"/>
      <selection pane="bottomLeft" activeCell="C9" sqref="C9"/>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66" t="s">
        <v>125</v>
      </c>
      <c r="B1" s="66"/>
      <c r="C1" s="66"/>
      <c r="D1" s="66"/>
      <c r="E1" s="66"/>
      <c r="F1" s="66"/>
      <c r="G1" s="66"/>
      <c r="H1" s="66"/>
      <c r="I1" s="66"/>
      <c r="J1" s="66"/>
      <c r="K1" s="66"/>
    </row>
    <row r="3" spans="1:11" s="77" customFormat="1" ht="15" x14ac:dyDescent="0.25">
      <c r="A3" s="67"/>
      <c r="B3" s="68"/>
      <c r="C3" s="68"/>
      <c r="D3" s="68"/>
      <c r="E3" s="76"/>
      <c r="H3" s="78"/>
      <c r="I3" s="78"/>
    </row>
    <row r="4" spans="1:11" x14ac:dyDescent="0.25">
      <c r="A4" s="291"/>
      <c r="B4" s="292"/>
      <c r="C4" s="137"/>
      <c r="D4" s="79"/>
      <c r="E4" s="293"/>
      <c r="F4" s="169" t="s">
        <v>1</v>
      </c>
      <c r="G4" s="169" t="s">
        <v>55</v>
      </c>
      <c r="H4" s="80" t="s">
        <v>17</v>
      </c>
      <c r="I4" s="80" t="s">
        <v>17</v>
      </c>
      <c r="J4" s="293" t="s">
        <v>319</v>
      </c>
      <c r="K4" s="293" t="s">
        <v>315</v>
      </c>
    </row>
    <row r="5" spans="1:11" x14ac:dyDescent="0.25">
      <c r="A5" s="291"/>
      <c r="B5" s="292"/>
      <c r="C5" s="137"/>
      <c r="D5" s="79"/>
      <c r="E5" s="293"/>
      <c r="F5" s="169"/>
      <c r="G5" s="169"/>
      <c r="H5" s="80"/>
      <c r="I5" s="80" t="s">
        <v>159</v>
      </c>
      <c r="J5" s="293"/>
      <c r="K5" s="293"/>
    </row>
    <row r="6" spans="1:11" x14ac:dyDescent="0.25">
      <c r="A6" s="69"/>
      <c r="B6" s="70" t="s">
        <v>246</v>
      </c>
      <c r="C6" s="82"/>
      <c r="D6" s="81"/>
      <c r="E6" s="82"/>
      <c r="F6" s="83">
        <f>SUM(F13)</f>
        <v>0</v>
      </c>
      <c r="G6" s="69"/>
      <c r="H6" s="84"/>
      <c r="I6" s="84"/>
      <c r="J6" s="69">
        <f>SUM(J9,J10,J12)</f>
        <v>3</v>
      </c>
      <c r="K6" s="69"/>
    </row>
    <row r="7" spans="1:11" ht="25.5" x14ac:dyDescent="0.25">
      <c r="A7" s="71"/>
      <c r="B7" s="72" t="s">
        <v>334</v>
      </c>
      <c r="C7" s="72"/>
      <c r="D7" s="72"/>
      <c r="E7" s="85"/>
      <c r="F7" s="71"/>
      <c r="G7" s="71"/>
      <c r="H7" s="84"/>
      <c r="I7" s="84"/>
      <c r="J7" s="71">
        <f>SUM(J8:J9)</f>
        <v>0</v>
      </c>
      <c r="K7" s="71"/>
    </row>
    <row r="8" spans="1:11" ht="25.5" x14ac:dyDescent="0.25">
      <c r="A8" s="172" t="s">
        <v>3</v>
      </c>
      <c r="B8" s="73" t="s">
        <v>247</v>
      </c>
      <c r="C8" s="86"/>
      <c r="D8" s="86"/>
      <c r="F8" s="171"/>
      <c r="H8" s="84"/>
      <c r="I8" s="84"/>
    </row>
    <row r="9" spans="1:11" ht="178.5" x14ac:dyDescent="0.25">
      <c r="A9" s="172" t="s">
        <v>248</v>
      </c>
      <c r="B9" s="74" t="s">
        <v>420</v>
      </c>
      <c r="C9" s="3"/>
      <c r="D9" s="87" t="s">
        <v>56</v>
      </c>
      <c r="E9" s="147"/>
      <c r="F9" s="171" t="s">
        <v>156</v>
      </c>
      <c r="G9" s="172" t="str">
        <f>IF(C9="Y","OK",(IF(C9="NA","NA","NOK")))</f>
        <v>NOK</v>
      </c>
      <c r="H9" s="84"/>
      <c r="I9" s="84"/>
      <c r="J9" s="172" t="s">
        <v>5</v>
      </c>
      <c r="K9" s="3"/>
    </row>
    <row r="10" spans="1:11" ht="38.25" x14ac:dyDescent="0.25">
      <c r="A10" s="172" t="s">
        <v>249</v>
      </c>
      <c r="B10" s="74" t="s">
        <v>250</v>
      </c>
      <c r="C10" s="3"/>
      <c r="D10" s="87" t="s">
        <v>15</v>
      </c>
      <c r="E10" s="147"/>
      <c r="F10" s="172">
        <f>IF(C10="Y",1,0)</f>
        <v>0</v>
      </c>
      <c r="H10" s="84"/>
      <c r="I10" s="84"/>
      <c r="J10" s="172">
        <v>1</v>
      </c>
      <c r="K10" s="3"/>
    </row>
    <row r="11" spans="1:11" ht="38.25" x14ac:dyDescent="0.25">
      <c r="A11" s="172" t="s">
        <v>6</v>
      </c>
      <c r="B11" s="75" t="s">
        <v>251</v>
      </c>
      <c r="C11" s="86"/>
      <c r="D11" s="86"/>
      <c r="E11" s="147"/>
      <c r="H11" s="84"/>
      <c r="I11" s="84"/>
    </row>
    <row r="12" spans="1:11" ht="63.75" x14ac:dyDescent="0.25">
      <c r="A12" s="172" t="s">
        <v>248</v>
      </c>
      <c r="B12" s="74" t="s">
        <v>421</v>
      </c>
      <c r="C12" s="5"/>
      <c r="D12" s="87" t="s">
        <v>252</v>
      </c>
      <c r="E12" s="147"/>
      <c r="F12" s="172">
        <f>IF(AND(C12="",C12="Less than 5"),0,(IF(C12="At least 5",1,IF(C12="More than 10",2,0))))</f>
        <v>0</v>
      </c>
      <c r="H12" s="84"/>
      <c r="I12" s="84"/>
      <c r="J12" s="172">
        <v>2</v>
      </c>
      <c r="K12" s="3"/>
    </row>
    <row r="13" spans="1:11" x14ac:dyDescent="0.25">
      <c r="E13" s="88" t="s">
        <v>24</v>
      </c>
      <c r="F13" s="171">
        <f>SUM(F10,F12)</f>
        <v>0</v>
      </c>
      <c r="H13" s="172"/>
      <c r="I13" s="172"/>
      <c r="J13" s="172" t="s">
        <v>245</v>
      </c>
    </row>
    <row r="14" spans="1:11" x14ac:dyDescent="0.25">
      <c r="H14" s="172"/>
      <c r="I14" s="172"/>
      <c r="J14" s="172">
        <v>0</v>
      </c>
    </row>
    <row r="15" spans="1:11" x14ac:dyDescent="0.25">
      <c r="E15" s="88" t="s">
        <v>161</v>
      </c>
      <c r="F15" s="89">
        <f>SUM(F6)</f>
        <v>0</v>
      </c>
      <c r="G15" s="90" t="s">
        <v>160</v>
      </c>
      <c r="I15" s="90"/>
      <c r="J15" s="92" t="s">
        <v>2</v>
      </c>
    </row>
    <row r="16" spans="1:11" x14ac:dyDescent="0.25">
      <c r="E16" s="88" t="s">
        <v>245</v>
      </c>
      <c r="F16" s="89">
        <v>0</v>
      </c>
      <c r="G16" s="92">
        <f>SUM(I6:I12)</f>
        <v>0</v>
      </c>
      <c r="I16" s="90"/>
      <c r="J16" s="172">
        <f>SUM(J6)</f>
        <v>3</v>
      </c>
    </row>
  </sheetData>
  <sheetProtection algorithmName="SHA-512" hashValue="v29S5Imh5fHtwg6K4rbCceUlNubjcMvP7OqCnIy8LO3P8gUGGIbvXUrH+/hkOo6qp00482yYUrknqmlYzDsEaw==" saltValue="E0BUv/msQ1/8y+ObjCIGuA==" spinCount="100000" sheet="1" selectLockedCells="1"/>
  <protectedRanges>
    <protectedRange sqref="C12 K9:K10 K12 C9:C10" name="input2_23"/>
  </protectedRanges>
  <mergeCells count="5">
    <mergeCell ref="A4:A5"/>
    <mergeCell ref="B4:B5"/>
    <mergeCell ref="E4:E5"/>
    <mergeCell ref="J4:J5"/>
    <mergeCell ref="K4:K5"/>
  </mergeCells>
  <conditionalFormatting sqref="G9">
    <cfRule type="expression" dxfId="164" priority="3">
      <formula>$G$9="OK"</formula>
    </cfRule>
    <cfRule type="expression" dxfId="163" priority="4">
      <formula>$G$9="NOK"</formula>
    </cfRule>
  </conditionalFormatting>
  <dataValidations count="4">
    <dataValidation type="list" allowBlank="1" showInputMessage="1" showErrorMessage="1" sqref="C9" xr:uid="{56E40F25-C603-4EB6-8BC0-99FB401CB57F}">
      <formula1>"Y,N,NA"</formula1>
    </dataValidation>
    <dataValidation type="list" allowBlank="1" showInputMessage="1" showErrorMessage="1" sqref="C12" xr:uid="{DCB592DF-0AB5-498D-9542-25B9C1D664F4}">
      <formula1>"Less than 5, At least 5, More than 10"</formula1>
    </dataValidation>
    <dataValidation type="list" allowBlank="1" showInputMessage="1" showErrorMessage="1" sqref="C10" xr:uid="{EDAA0D7F-FB9F-4DFD-8600-D35B437309A1}">
      <formula1>"Y,N"</formula1>
    </dataValidation>
    <dataValidation allowBlank="1" showInputMessage="1" showErrorMessage="1" sqref="K9:K16" xr:uid="{787DE764-1A1E-4499-A18D-0990FDAD27FC}"/>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97237-06CB-4C34-BBB8-DB12CA1DDD3A}">
  <dimension ref="A1:K107"/>
  <sheetViews>
    <sheetView zoomScaleNormal="100" zoomScaleSheetLayoutView="130" workbookViewId="0">
      <pane ySplit="5" topLeftCell="A6" activePane="bottomLeft" state="frozen"/>
      <selection pane="bottomLeft" activeCell="C8" sqref="C8"/>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93" t="s">
        <v>201</v>
      </c>
      <c r="B1" s="93"/>
      <c r="C1" s="93"/>
      <c r="D1" s="93"/>
      <c r="E1" s="93"/>
      <c r="F1" s="93"/>
      <c r="G1" s="93"/>
      <c r="H1" s="93"/>
      <c r="I1" s="93"/>
      <c r="J1" s="93"/>
      <c r="K1" s="93"/>
    </row>
    <row r="3" spans="1:11" s="77" customFormat="1" ht="15" x14ac:dyDescent="0.25">
      <c r="A3" s="67"/>
      <c r="B3" s="68"/>
      <c r="C3" s="68"/>
      <c r="D3" s="68"/>
      <c r="E3" s="76"/>
      <c r="H3" s="78"/>
      <c r="I3" s="78"/>
    </row>
    <row r="4" spans="1:11" x14ac:dyDescent="0.25">
      <c r="A4" s="291"/>
      <c r="B4" s="292"/>
      <c r="C4" s="137"/>
      <c r="D4" s="79"/>
      <c r="E4" s="293" t="s">
        <v>24</v>
      </c>
      <c r="F4" s="169" t="s">
        <v>1</v>
      </c>
      <c r="G4" s="169" t="s">
        <v>55</v>
      </c>
      <c r="H4" s="80" t="s">
        <v>17</v>
      </c>
      <c r="I4" s="80" t="s">
        <v>17</v>
      </c>
      <c r="J4" s="293" t="s">
        <v>319</v>
      </c>
      <c r="K4" s="293" t="s">
        <v>315</v>
      </c>
    </row>
    <row r="5" spans="1:11" x14ac:dyDescent="0.25">
      <c r="A5" s="291"/>
      <c r="B5" s="292"/>
      <c r="C5" s="137"/>
      <c r="D5" s="79"/>
      <c r="E5" s="293"/>
      <c r="F5" s="169"/>
      <c r="G5" s="169"/>
      <c r="H5" s="80"/>
      <c r="I5" s="80" t="s">
        <v>159</v>
      </c>
      <c r="J5" s="293"/>
      <c r="K5" s="293"/>
    </row>
    <row r="6" spans="1:11" x14ac:dyDescent="0.25">
      <c r="A6" s="69">
        <v>1.1000000000000001</v>
      </c>
      <c r="B6" s="70" t="s">
        <v>128</v>
      </c>
      <c r="C6" s="82"/>
      <c r="D6" s="81"/>
      <c r="E6" s="82"/>
      <c r="F6" s="83">
        <f>SUM(F10,F14,F18)</f>
        <v>0</v>
      </c>
      <c r="G6" s="69"/>
      <c r="H6" s="84"/>
      <c r="I6" s="84"/>
      <c r="J6" s="69">
        <f>SUM(J7,J12,J16)</f>
        <v>0.5</v>
      </c>
      <c r="K6" s="82"/>
    </row>
    <row r="7" spans="1:11" x14ac:dyDescent="0.25">
      <c r="A7" s="71" t="s">
        <v>202</v>
      </c>
      <c r="B7" s="72" t="s">
        <v>203</v>
      </c>
      <c r="C7" s="72"/>
      <c r="D7" s="72"/>
      <c r="E7" s="85"/>
      <c r="F7" s="71"/>
      <c r="G7" s="71"/>
      <c r="H7" s="84"/>
      <c r="I7" s="84"/>
      <c r="J7" s="71">
        <f>SUM(J8:J9)</f>
        <v>0.5</v>
      </c>
      <c r="K7" s="85"/>
    </row>
    <row r="8" spans="1:11" ht="51" x14ac:dyDescent="0.25">
      <c r="A8" s="172" t="s">
        <v>3</v>
      </c>
      <c r="B8" s="73" t="s">
        <v>393</v>
      </c>
      <c r="C8" s="3"/>
      <c r="D8" s="87" t="s">
        <v>56</v>
      </c>
      <c r="F8" s="171" t="s">
        <v>156</v>
      </c>
      <c r="G8" s="172" t="str">
        <f>IF(C8="Y","OK",(IF(C8="NA","NA","NOK")))</f>
        <v>NOK</v>
      </c>
      <c r="H8" s="84"/>
      <c r="I8" s="84"/>
      <c r="J8" s="172" t="s">
        <v>5</v>
      </c>
      <c r="K8" s="3"/>
    </row>
    <row r="9" spans="1:11" ht="25.5" x14ac:dyDescent="0.25">
      <c r="A9" s="172" t="s">
        <v>6</v>
      </c>
      <c r="B9" s="73" t="s">
        <v>422</v>
      </c>
      <c r="C9" s="2"/>
      <c r="D9" s="87" t="s">
        <v>15</v>
      </c>
      <c r="F9" s="172">
        <f>IF(C9="Y",0.5,0)</f>
        <v>0</v>
      </c>
      <c r="H9" s="84"/>
      <c r="I9" s="84"/>
      <c r="J9" s="172">
        <v>0.5</v>
      </c>
      <c r="K9" s="3"/>
    </row>
    <row r="10" spans="1:11" x14ac:dyDescent="0.25">
      <c r="E10" s="88" t="s">
        <v>204</v>
      </c>
      <c r="F10" s="171">
        <f>SUM(F9)</f>
        <v>0</v>
      </c>
      <c r="H10" s="84"/>
      <c r="I10" s="84"/>
    </row>
    <row r="11" spans="1:11" x14ac:dyDescent="0.25">
      <c r="A11" s="94"/>
      <c r="H11" s="84"/>
      <c r="I11" s="84"/>
    </row>
    <row r="12" spans="1:11" x14ac:dyDescent="0.25">
      <c r="A12" s="71" t="s">
        <v>205</v>
      </c>
      <c r="B12" s="72" t="s">
        <v>206</v>
      </c>
      <c r="C12" s="72"/>
      <c r="D12" s="72"/>
      <c r="E12" s="85"/>
      <c r="F12" s="71"/>
      <c r="G12" s="71"/>
      <c r="H12" s="84"/>
      <c r="I12" s="84"/>
      <c r="J12" s="71">
        <f>SUM(J13:J13)</f>
        <v>0</v>
      </c>
      <c r="K12" s="85"/>
    </row>
    <row r="13" spans="1:11" x14ac:dyDescent="0.25">
      <c r="A13" s="172" t="s">
        <v>3</v>
      </c>
      <c r="B13" s="73" t="s">
        <v>394</v>
      </c>
      <c r="C13" s="3"/>
      <c r="D13" s="87" t="s">
        <v>56</v>
      </c>
      <c r="F13" s="171" t="s">
        <v>156</v>
      </c>
      <c r="G13" s="172" t="str">
        <f>IF(C13="Y","OK",(IF(C13="NA","NA","NOK")))</f>
        <v>NOK</v>
      </c>
      <c r="H13" s="84"/>
      <c r="I13" s="84"/>
      <c r="J13" s="172" t="s">
        <v>5</v>
      </c>
      <c r="K13" s="3"/>
    </row>
    <row r="14" spans="1:11" x14ac:dyDescent="0.25">
      <c r="E14" s="88" t="s">
        <v>207</v>
      </c>
      <c r="F14" s="172">
        <f>SUM(F13:F13)</f>
        <v>0</v>
      </c>
      <c r="H14" s="84"/>
      <c r="I14" s="84"/>
    </row>
    <row r="15" spans="1:11" x14ac:dyDescent="0.25">
      <c r="H15" s="84"/>
      <c r="I15" s="84"/>
    </row>
    <row r="16" spans="1:11" ht="25.5" x14ac:dyDescent="0.25">
      <c r="A16" s="71" t="s">
        <v>208</v>
      </c>
      <c r="B16" s="72" t="s">
        <v>209</v>
      </c>
      <c r="C16" s="72"/>
      <c r="D16" s="72"/>
      <c r="E16" s="85"/>
      <c r="F16" s="71"/>
      <c r="G16" s="71"/>
      <c r="H16" s="84"/>
      <c r="I16" s="84"/>
      <c r="J16" s="98" t="s">
        <v>156</v>
      </c>
      <c r="K16" s="85"/>
    </row>
    <row r="17" spans="1:11" ht="25.5" x14ac:dyDescent="0.25">
      <c r="A17" s="172" t="s">
        <v>3</v>
      </c>
      <c r="B17" s="73" t="s">
        <v>210</v>
      </c>
      <c r="C17" s="3"/>
      <c r="D17" s="87" t="s">
        <v>56</v>
      </c>
      <c r="F17" s="171" t="s">
        <v>156</v>
      </c>
      <c r="G17" s="172" t="str">
        <f>IF(C17="Y","OK",(IF(C17="NA","NA","NOK")))</f>
        <v>NOK</v>
      </c>
      <c r="H17" s="84"/>
      <c r="I17" s="84"/>
      <c r="J17" s="172" t="s">
        <v>5</v>
      </c>
      <c r="K17" s="3"/>
    </row>
    <row r="18" spans="1:11" x14ac:dyDescent="0.25">
      <c r="E18" s="88" t="s">
        <v>207</v>
      </c>
      <c r="F18" s="171" t="s">
        <v>156</v>
      </c>
      <c r="H18" s="84"/>
      <c r="I18" s="84"/>
    </row>
    <row r="19" spans="1:11" x14ac:dyDescent="0.25">
      <c r="H19" s="84"/>
      <c r="I19" s="84"/>
    </row>
    <row r="20" spans="1:11" ht="50.25" customHeight="1" x14ac:dyDescent="0.25">
      <c r="A20" s="95"/>
      <c r="B20" s="96" t="s">
        <v>244</v>
      </c>
      <c r="C20" s="170" t="s">
        <v>243</v>
      </c>
      <c r="D20" s="139">
        <f>SUM(D21,D33,D43)</f>
        <v>0</v>
      </c>
      <c r="E20" s="96"/>
      <c r="F20" s="295" t="str">
        <f>IF(D20&lt;&gt;100%, "Please check the % indicated in 1.2 to 1.4 (to add up to 100%)","")</f>
        <v>Please check the % indicated in 1.2 to 1.4 (to add up to 100%)</v>
      </c>
      <c r="G20" s="295"/>
      <c r="H20" s="99">
        <f>F21+F33+F43</f>
        <v>0</v>
      </c>
      <c r="I20" s="99"/>
      <c r="J20" s="99">
        <v>4</v>
      </c>
      <c r="K20" s="96"/>
    </row>
    <row r="21" spans="1:11" ht="25.5" x14ac:dyDescent="0.25">
      <c r="A21" s="69">
        <v>1.2</v>
      </c>
      <c r="B21" s="70" t="s">
        <v>423</v>
      </c>
      <c r="C21" s="143" t="s">
        <v>316</v>
      </c>
      <c r="D21" s="176"/>
      <c r="E21" s="82" t="str">
        <f>IF(D21&lt;15%,"Sub-Section Not Applicable","")</f>
        <v>Sub-Section Not Applicable</v>
      </c>
      <c r="F21" s="69">
        <f>SUM(F31)</f>
        <v>0</v>
      </c>
      <c r="G21" s="69"/>
      <c r="H21" s="140">
        <f>IF(D21&lt;15%,0,D21)</f>
        <v>0</v>
      </c>
      <c r="I21" s="84"/>
      <c r="J21" s="69">
        <f>SUM(J22)</f>
        <v>4</v>
      </c>
      <c r="K21" s="82"/>
    </row>
    <row r="22" spans="1:11" x14ac:dyDescent="0.25">
      <c r="A22" s="71" t="s">
        <v>211</v>
      </c>
      <c r="B22" s="72" t="s">
        <v>203</v>
      </c>
      <c r="C22" s="72"/>
      <c r="D22" s="72"/>
      <c r="E22" s="85"/>
      <c r="F22" s="71"/>
      <c r="G22" s="71"/>
      <c r="H22" s="141" t="str">
        <f>IF(H21+H33+H43=0,"0",H21/(H21+H33+H43))</f>
        <v>0</v>
      </c>
      <c r="I22" s="84"/>
      <c r="J22" s="71">
        <f>SUM(J23:J29)</f>
        <v>4</v>
      </c>
      <c r="K22" s="85"/>
    </row>
    <row r="23" spans="1:11" ht="63.75" x14ac:dyDescent="0.25">
      <c r="A23" s="172" t="s">
        <v>3</v>
      </c>
      <c r="B23" s="73" t="s">
        <v>424</v>
      </c>
      <c r="C23" s="3"/>
      <c r="D23" s="87" t="s">
        <v>56</v>
      </c>
      <c r="F23" s="171" t="s">
        <v>156</v>
      </c>
      <c r="G23" s="86" t="str">
        <f>IF(C23="Y","OK",(IF(C23="NA","NA","NOK")))</f>
        <v>NOK</v>
      </c>
      <c r="H23" s="84"/>
      <c r="I23" s="84"/>
      <c r="J23" s="172" t="s">
        <v>5</v>
      </c>
      <c r="K23" s="3"/>
    </row>
    <row r="24" spans="1:11" x14ac:dyDescent="0.25">
      <c r="C24" s="184"/>
      <c r="D24" s="146"/>
      <c r="E24" s="145"/>
      <c r="F24" s="171"/>
      <c r="G24" s="86"/>
      <c r="H24" s="84"/>
      <c r="I24" s="84"/>
    </row>
    <row r="25" spans="1:11" ht="102" x14ac:dyDescent="0.25">
      <c r="A25" s="172" t="s">
        <v>6</v>
      </c>
      <c r="B25" s="148" t="s">
        <v>425</v>
      </c>
      <c r="C25" s="103"/>
      <c r="D25" s="87" t="s">
        <v>15</v>
      </c>
      <c r="F25" s="296">
        <f>IF(SUM(H25:H29)&gt;4*H22,4*H22,SUM(H25:H29))</f>
        <v>0</v>
      </c>
      <c r="G25" s="86"/>
      <c r="H25" s="216">
        <f>IF(C25="Y",2.5*H22,0)</f>
        <v>0</v>
      </c>
      <c r="I25" s="84"/>
      <c r="J25" s="297">
        <v>4</v>
      </c>
      <c r="K25" s="3"/>
    </row>
    <row r="26" spans="1:11" ht="63.75" x14ac:dyDescent="0.25">
      <c r="A26" s="172" t="s">
        <v>7</v>
      </c>
      <c r="B26" s="75" t="s">
        <v>426</v>
      </c>
      <c r="C26" s="2"/>
      <c r="D26" s="87" t="s">
        <v>15</v>
      </c>
      <c r="F26" s="296"/>
      <c r="G26" s="86"/>
      <c r="H26" s="84">
        <f>IF(C26="Y",1*H22,0)</f>
        <v>0</v>
      </c>
      <c r="I26" s="84"/>
      <c r="J26" s="297"/>
      <c r="K26" s="3"/>
    </row>
    <row r="27" spans="1:11" ht="38.25" x14ac:dyDescent="0.25">
      <c r="A27" s="172" t="s">
        <v>212</v>
      </c>
      <c r="B27" s="73" t="s">
        <v>395</v>
      </c>
      <c r="C27" s="2"/>
      <c r="D27" s="87" t="s">
        <v>15</v>
      </c>
      <c r="F27" s="296"/>
      <c r="G27" s="86"/>
      <c r="H27" s="84">
        <f>IF(C27="Y",0.5*H22,0)</f>
        <v>0</v>
      </c>
      <c r="I27" s="84"/>
      <c r="J27" s="297"/>
      <c r="K27" s="3"/>
    </row>
    <row r="28" spans="1:11" ht="25.5" x14ac:dyDescent="0.25">
      <c r="A28" s="172" t="s">
        <v>11</v>
      </c>
      <c r="B28" s="73" t="s">
        <v>427</v>
      </c>
      <c r="C28" s="2"/>
      <c r="D28" s="87" t="s">
        <v>15</v>
      </c>
      <c r="F28" s="296"/>
      <c r="G28" s="86"/>
      <c r="H28" s="84">
        <f>IF(C28="Y",1*H22,0)</f>
        <v>0</v>
      </c>
      <c r="I28" s="84"/>
      <c r="J28" s="297"/>
      <c r="K28" s="3"/>
    </row>
    <row r="29" spans="1:11" ht="51" x14ac:dyDescent="0.25">
      <c r="A29" s="172" t="s">
        <v>213</v>
      </c>
      <c r="B29" s="73" t="s">
        <v>428</v>
      </c>
      <c r="C29" s="2"/>
      <c r="D29" s="87" t="s">
        <v>15</v>
      </c>
      <c r="F29" s="296"/>
      <c r="G29" s="86"/>
      <c r="H29" s="84">
        <f>IF(C29="Y",0.5*H22,0)</f>
        <v>0</v>
      </c>
      <c r="I29" s="84"/>
      <c r="J29" s="297"/>
      <c r="K29" s="3"/>
    </row>
    <row r="30" spans="1:11" ht="38.25" x14ac:dyDescent="0.25">
      <c r="B30" s="97" t="s">
        <v>429</v>
      </c>
      <c r="C30" s="2"/>
      <c r="D30" s="87" t="s">
        <v>15</v>
      </c>
      <c r="F30" s="100">
        <f>IF(C30="Y",1,0)</f>
        <v>0</v>
      </c>
      <c r="G30" s="86"/>
      <c r="H30" s="84"/>
      <c r="I30" s="84"/>
      <c r="J30" s="101">
        <v>1</v>
      </c>
      <c r="K30" s="3"/>
    </row>
    <row r="31" spans="1:11" x14ac:dyDescent="0.25">
      <c r="E31" s="88" t="s">
        <v>214</v>
      </c>
      <c r="F31" s="171">
        <f>SUM(F25)</f>
        <v>0</v>
      </c>
      <c r="G31" s="172" t="s">
        <v>241</v>
      </c>
      <c r="H31" s="84"/>
      <c r="I31" s="84"/>
    </row>
    <row r="32" spans="1:11" x14ac:dyDescent="0.25">
      <c r="H32" s="84"/>
      <c r="I32" s="84"/>
    </row>
    <row r="33" spans="1:11" ht="25.5" x14ac:dyDescent="0.25">
      <c r="A33" s="69">
        <v>1.3</v>
      </c>
      <c r="B33" s="70" t="s">
        <v>430</v>
      </c>
      <c r="C33" s="143" t="s">
        <v>316</v>
      </c>
      <c r="D33" s="176"/>
      <c r="E33" s="82" t="str">
        <f>IF(D33&lt;15%,"Sub-Section Not Applicable","")</f>
        <v>Sub-Section Not Applicable</v>
      </c>
      <c r="F33" s="69">
        <f>SUM(F41)</f>
        <v>0</v>
      </c>
      <c r="G33" s="69"/>
      <c r="H33" s="140">
        <f>IF(D33&lt;15%,0,D33)</f>
        <v>0</v>
      </c>
      <c r="I33" s="84"/>
      <c r="J33" s="69">
        <f>SUM(J34)</f>
        <v>4</v>
      </c>
      <c r="K33" s="82" t="str">
        <f>IF(J33&lt;15%,"Sub-Section Not Applicable","")</f>
        <v/>
      </c>
    </row>
    <row r="34" spans="1:11" x14ac:dyDescent="0.25">
      <c r="A34" s="71" t="s">
        <v>215</v>
      </c>
      <c r="B34" s="72" t="s">
        <v>203</v>
      </c>
      <c r="C34" s="72"/>
      <c r="D34" s="72"/>
      <c r="E34" s="85"/>
      <c r="F34" s="71"/>
      <c r="G34" s="71"/>
      <c r="H34" s="141" t="str">
        <f>IF(H21+H33+H43=0,"0",H33/(H21+H33+H43))</f>
        <v>0</v>
      </c>
      <c r="I34" s="84"/>
      <c r="J34" s="71">
        <f>SUM(J35:J40)</f>
        <v>4</v>
      </c>
      <c r="K34" s="85"/>
    </row>
    <row r="35" spans="1:11" ht="63.75" x14ac:dyDescent="0.25">
      <c r="A35" s="172" t="s">
        <v>3</v>
      </c>
      <c r="B35" s="73" t="s">
        <v>431</v>
      </c>
      <c r="C35" s="3"/>
      <c r="D35" s="87" t="s">
        <v>56</v>
      </c>
      <c r="F35" s="171" t="s">
        <v>156</v>
      </c>
      <c r="G35" s="172" t="str">
        <f>IF(C35="Y","OK",(IF(C35="NA","NA","NOK")))</f>
        <v>NOK</v>
      </c>
      <c r="H35" s="84"/>
      <c r="I35" s="84"/>
      <c r="J35" s="172" t="s">
        <v>5</v>
      </c>
      <c r="K35" s="3"/>
    </row>
    <row r="36" spans="1:11" ht="102" x14ac:dyDescent="0.25">
      <c r="A36" s="172" t="s">
        <v>14</v>
      </c>
      <c r="B36" s="148" t="s">
        <v>432</v>
      </c>
      <c r="C36" s="2"/>
      <c r="D36" s="87" t="s">
        <v>15</v>
      </c>
      <c r="F36" s="296">
        <f>IF(SUM(H36:H40)&gt;4*H34,4*H34,SUM(H36:H40))</f>
        <v>0</v>
      </c>
      <c r="G36" s="86"/>
      <c r="H36" s="84">
        <f>IF(C36="Y",2*H34,0)</f>
        <v>0</v>
      </c>
      <c r="I36" s="84"/>
      <c r="J36" s="297">
        <v>4</v>
      </c>
      <c r="K36" s="3"/>
    </row>
    <row r="37" spans="1:11" ht="51" x14ac:dyDescent="0.25">
      <c r="A37" s="172" t="s">
        <v>7</v>
      </c>
      <c r="B37" s="73" t="s">
        <v>433</v>
      </c>
      <c r="C37" s="2"/>
      <c r="D37" s="87" t="s">
        <v>15</v>
      </c>
      <c r="F37" s="296"/>
      <c r="G37" s="86"/>
      <c r="H37" s="84">
        <f>IF(C37="Y",1*H34,0)</f>
        <v>0</v>
      </c>
      <c r="I37" s="84"/>
      <c r="J37" s="297"/>
      <c r="K37" s="3"/>
    </row>
    <row r="38" spans="1:11" ht="38.25" x14ac:dyDescent="0.25">
      <c r="A38" s="172" t="s">
        <v>10</v>
      </c>
      <c r="B38" s="73" t="s">
        <v>395</v>
      </c>
      <c r="C38" s="2"/>
      <c r="D38" s="87" t="s">
        <v>15</v>
      </c>
      <c r="F38" s="296"/>
      <c r="G38" s="86"/>
      <c r="H38" s="84">
        <f>IF(C38="Y",0.5*H34,0)</f>
        <v>0</v>
      </c>
      <c r="I38" s="84"/>
      <c r="J38" s="297"/>
      <c r="K38" s="3"/>
    </row>
    <row r="39" spans="1:11" ht="25.5" x14ac:dyDescent="0.25">
      <c r="A39" s="172" t="s">
        <v>11</v>
      </c>
      <c r="B39" s="73" t="s">
        <v>427</v>
      </c>
      <c r="C39" s="2"/>
      <c r="D39" s="87" t="s">
        <v>15</v>
      </c>
      <c r="F39" s="296"/>
      <c r="G39" s="86"/>
      <c r="H39" s="84">
        <f>IF(C39="Y",1*H34,0)</f>
        <v>0</v>
      </c>
      <c r="I39" s="84"/>
      <c r="J39" s="297"/>
      <c r="K39" s="3"/>
    </row>
    <row r="40" spans="1:11" ht="38.25" x14ac:dyDescent="0.25">
      <c r="A40" s="172" t="s">
        <v>213</v>
      </c>
      <c r="B40" s="73" t="s">
        <v>434</v>
      </c>
      <c r="C40" s="2"/>
      <c r="D40" s="87" t="s">
        <v>15</v>
      </c>
      <c r="F40" s="296"/>
      <c r="G40" s="86"/>
      <c r="H40" s="84">
        <f>IF(C40="Y",0.5*H34,0)</f>
        <v>0</v>
      </c>
      <c r="I40" s="84"/>
      <c r="J40" s="297"/>
      <c r="K40" s="3"/>
    </row>
    <row r="41" spans="1:11" x14ac:dyDescent="0.25">
      <c r="B41" s="74"/>
      <c r="C41" s="87"/>
      <c r="D41" s="87"/>
      <c r="E41" s="88" t="s">
        <v>221</v>
      </c>
      <c r="F41" s="171">
        <f>SUM(F36)</f>
        <v>0</v>
      </c>
      <c r="H41" s="84"/>
      <c r="I41" s="84"/>
    </row>
    <row r="42" spans="1:11" x14ac:dyDescent="0.25">
      <c r="B42" s="75"/>
      <c r="C42" s="87"/>
      <c r="D42" s="87"/>
      <c r="H42" s="84"/>
      <c r="I42" s="84"/>
    </row>
    <row r="43" spans="1:11" ht="25.5" x14ac:dyDescent="0.25">
      <c r="A43" s="69">
        <v>1.4</v>
      </c>
      <c r="B43" s="70" t="s">
        <v>396</v>
      </c>
      <c r="C43" s="143" t="s">
        <v>316</v>
      </c>
      <c r="D43" s="176"/>
      <c r="E43" s="82" t="str">
        <f>IF(D43&lt;15%,"Sub-Section Not Applicable","")</f>
        <v>Sub-Section Not Applicable</v>
      </c>
      <c r="F43" s="102">
        <f>SUM(F49,F54)</f>
        <v>0</v>
      </c>
      <c r="G43" s="69"/>
      <c r="H43" s="140">
        <f>IF(D43&lt;15%,0,D43)</f>
        <v>0</v>
      </c>
      <c r="I43" s="84"/>
      <c r="J43" s="102">
        <f>SUM(J44,J51)</f>
        <v>4</v>
      </c>
      <c r="K43" s="82"/>
    </row>
    <row r="44" spans="1:11" ht="25.5" x14ac:dyDescent="0.25">
      <c r="A44" s="71" t="s">
        <v>216</v>
      </c>
      <c r="B44" s="72" t="s">
        <v>217</v>
      </c>
      <c r="C44" s="72"/>
      <c r="D44" s="72"/>
      <c r="E44" s="85"/>
      <c r="F44" s="71"/>
      <c r="G44" s="71"/>
      <c r="H44" s="141" t="str">
        <f>IF(H21+H33+H43=0,"0",H43/(H21+H33+H43))</f>
        <v>0</v>
      </c>
      <c r="I44" s="84"/>
      <c r="J44" s="71">
        <f>SUM(J47:J48)</f>
        <v>2</v>
      </c>
      <c r="K44" s="85"/>
    </row>
    <row r="45" spans="1:11" ht="25.5" x14ac:dyDescent="0.25">
      <c r="A45" s="172" t="s">
        <v>3</v>
      </c>
      <c r="B45" s="73" t="s">
        <v>435</v>
      </c>
      <c r="C45" s="3"/>
      <c r="D45" s="87" t="s">
        <v>56</v>
      </c>
      <c r="F45" s="171" t="s">
        <v>156</v>
      </c>
      <c r="G45" s="172" t="str">
        <f>IF(C45="Y","OK",(IF(C45="NA","NA","NOK")))</f>
        <v>NOK</v>
      </c>
      <c r="H45" s="84"/>
      <c r="I45" s="84"/>
      <c r="J45" s="172" t="s">
        <v>5</v>
      </c>
      <c r="K45" s="3"/>
    </row>
    <row r="46" spans="1:11" ht="51" x14ac:dyDescent="0.25">
      <c r="A46" s="172" t="s">
        <v>6</v>
      </c>
      <c r="B46" s="73" t="s">
        <v>436</v>
      </c>
      <c r="C46" s="3"/>
      <c r="D46" s="87" t="s">
        <v>56</v>
      </c>
      <c r="F46" s="171" t="s">
        <v>156</v>
      </c>
      <c r="G46" s="172" t="str">
        <f>IF(C46="Y","OK",(IF(C46="NA","NA","NOK")))</f>
        <v>NOK</v>
      </c>
      <c r="H46" s="84"/>
      <c r="I46" s="84"/>
      <c r="J46" s="172" t="s">
        <v>5</v>
      </c>
      <c r="K46" s="3"/>
    </row>
    <row r="47" spans="1:11" ht="63.75" x14ac:dyDescent="0.25">
      <c r="A47" s="172" t="s">
        <v>7</v>
      </c>
      <c r="B47" s="73" t="s">
        <v>397</v>
      </c>
      <c r="C47" s="2"/>
      <c r="D47" s="87" t="s">
        <v>15</v>
      </c>
      <c r="F47" s="171">
        <f>H47</f>
        <v>0</v>
      </c>
      <c r="H47" s="84">
        <f>IF(C47="Y",1*H44,0)</f>
        <v>0</v>
      </c>
      <c r="I47" s="84"/>
      <c r="J47" s="172">
        <v>1</v>
      </c>
      <c r="K47" s="3"/>
    </row>
    <row r="48" spans="1:11" ht="102" x14ac:dyDescent="0.25">
      <c r="A48" s="172" t="s">
        <v>10</v>
      </c>
      <c r="B48" s="73" t="s">
        <v>437</v>
      </c>
      <c r="C48" s="2"/>
      <c r="D48" s="87" t="s">
        <v>15</v>
      </c>
      <c r="F48" s="171">
        <f>H48</f>
        <v>0</v>
      </c>
      <c r="H48" s="84">
        <f>IF(C48="Y",1*H44,0)</f>
        <v>0</v>
      </c>
      <c r="I48" s="84"/>
      <c r="J48" s="172">
        <v>1</v>
      </c>
      <c r="K48" s="3"/>
    </row>
    <row r="49" spans="1:11" x14ac:dyDescent="0.25">
      <c r="E49" s="88" t="s">
        <v>220</v>
      </c>
      <c r="F49" s="171">
        <f>SUM(F45:F48)</f>
        <v>0</v>
      </c>
      <c r="H49" s="84"/>
      <c r="I49" s="84"/>
    </row>
    <row r="50" spans="1:11" x14ac:dyDescent="0.25">
      <c r="H50" s="84"/>
      <c r="I50" s="84"/>
    </row>
    <row r="51" spans="1:11" ht="25.5" x14ac:dyDescent="0.25">
      <c r="A51" s="71" t="s">
        <v>218</v>
      </c>
      <c r="B51" s="72" t="s">
        <v>438</v>
      </c>
      <c r="C51" s="233" t="s">
        <v>317</v>
      </c>
      <c r="D51" s="72"/>
      <c r="E51" s="85" t="str">
        <f>IF(AND(C52="",C53=""),"Please input % coverage",IF(C52+C53&gt;100%,"Please Check % Coverage",""))</f>
        <v>Please input % coverage</v>
      </c>
      <c r="F51" s="71"/>
      <c r="G51" s="71"/>
      <c r="H51" s="84"/>
      <c r="I51" s="84"/>
      <c r="J51" s="71">
        <f>SUM(J52)</f>
        <v>2</v>
      </c>
      <c r="K51" s="71"/>
    </row>
    <row r="52" spans="1:11" ht="63.75" x14ac:dyDescent="0.25">
      <c r="A52" s="172" t="s">
        <v>3</v>
      </c>
      <c r="B52" s="73" t="s">
        <v>496</v>
      </c>
      <c r="C52" s="208"/>
      <c r="D52" s="2"/>
      <c r="E52" s="87" t="s">
        <v>15</v>
      </c>
      <c r="F52" s="296">
        <f>IF(SUM(H52:H53)&gt;2,2,SUM(H52:H53))</f>
        <v>0</v>
      </c>
      <c r="H52" s="84">
        <f>IF(D52="Y",IF(2*C52&gt;2,2*H44,IF(C52&lt;0.15,0,IF(C52&gt;0.85,2*H44,C52*2*H44))),0)</f>
        <v>0</v>
      </c>
      <c r="I52" s="84"/>
      <c r="J52" s="297">
        <v>2</v>
      </c>
      <c r="K52" s="3"/>
    </row>
    <row r="53" spans="1:11" ht="76.5" x14ac:dyDescent="0.25">
      <c r="A53" s="172" t="s">
        <v>6</v>
      </c>
      <c r="B53" s="73" t="s">
        <v>439</v>
      </c>
      <c r="C53" s="208"/>
      <c r="D53" s="2"/>
      <c r="E53" s="87" t="s">
        <v>15</v>
      </c>
      <c r="F53" s="296"/>
      <c r="H53" s="84">
        <f>IF(D53="Y",IF(1*C53&gt;1,1*H44,IF(C53&lt;0.15,0,IF(C53&gt;0.85,1*H44,C53*1*H44))),0)</f>
        <v>0</v>
      </c>
      <c r="I53" s="84"/>
      <c r="J53" s="297"/>
      <c r="K53" s="3"/>
    </row>
    <row r="54" spans="1:11" x14ac:dyDescent="0.25">
      <c r="E54" s="88" t="s">
        <v>219</v>
      </c>
      <c r="F54" s="171">
        <f>SUM(F52)</f>
        <v>0</v>
      </c>
      <c r="H54" s="84"/>
      <c r="I54" s="84"/>
    </row>
    <row r="55" spans="1:11" x14ac:dyDescent="0.25">
      <c r="H55" s="84"/>
      <c r="I55" s="84"/>
    </row>
    <row r="56" spans="1:11" x14ac:dyDescent="0.25">
      <c r="A56" s="69">
        <v>1.5</v>
      </c>
      <c r="B56" s="70" t="s">
        <v>222</v>
      </c>
      <c r="C56" s="82"/>
      <c r="D56" s="82"/>
      <c r="E56" s="82"/>
      <c r="F56" s="69">
        <f>SUM(F60,F64,F68,F72)</f>
        <v>0</v>
      </c>
      <c r="G56" s="69"/>
      <c r="H56" s="84"/>
      <c r="I56" s="84"/>
      <c r="J56" s="69">
        <f>SUM(J57,J62,J66,J70)</f>
        <v>3</v>
      </c>
      <c r="K56" s="82"/>
    </row>
    <row r="57" spans="1:11" ht="38.25" x14ac:dyDescent="0.25">
      <c r="A57" s="71" t="s">
        <v>223</v>
      </c>
      <c r="B57" s="72" t="s">
        <v>441</v>
      </c>
      <c r="C57" s="72"/>
      <c r="D57" s="72"/>
      <c r="E57" s="85"/>
      <c r="F57" s="71"/>
      <c r="G57" s="71"/>
      <c r="H57" s="84"/>
      <c r="I57" s="84"/>
      <c r="J57" s="98" t="s">
        <v>156</v>
      </c>
      <c r="K57" s="85"/>
    </row>
    <row r="58" spans="1:11" ht="25.5" x14ac:dyDescent="0.25">
      <c r="A58" s="172" t="s">
        <v>3</v>
      </c>
      <c r="B58" s="73" t="s">
        <v>224</v>
      </c>
      <c r="C58" s="3"/>
      <c r="D58" s="87" t="s">
        <v>56</v>
      </c>
      <c r="F58" s="171" t="s">
        <v>156</v>
      </c>
      <c r="G58" s="172" t="str">
        <f>IF(C58="Y","OK",(IF(C58="NA","NA","NOK")))</f>
        <v>NOK</v>
      </c>
      <c r="H58" s="84"/>
      <c r="I58" s="84"/>
      <c r="J58" s="172" t="s">
        <v>5</v>
      </c>
      <c r="K58" s="3"/>
    </row>
    <row r="59" spans="1:11" ht="38.25" x14ac:dyDescent="0.25">
      <c r="A59" s="172" t="s">
        <v>6</v>
      </c>
      <c r="B59" s="73" t="s">
        <v>440</v>
      </c>
      <c r="C59" s="3"/>
      <c r="D59" s="87" t="s">
        <v>56</v>
      </c>
      <c r="F59" s="171" t="s">
        <v>156</v>
      </c>
      <c r="G59" s="172" t="str">
        <f>IF(C59="Y","OK",(IF(C59="NA","NA","NOK")))</f>
        <v>NOK</v>
      </c>
      <c r="H59" s="84"/>
      <c r="I59" s="84"/>
      <c r="J59" s="172" t="s">
        <v>5</v>
      </c>
      <c r="K59" s="3"/>
    </row>
    <row r="60" spans="1:11" x14ac:dyDescent="0.25">
      <c r="E60" s="88" t="s">
        <v>225</v>
      </c>
      <c r="F60" s="171" t="s">
        <v>156</v>
      </c>
      <c r="H60" s="84"/>
      <c r="I60" s="84"/>
    </row>
    <row r="61" spans="1:11" x14ac:dyDescent="0.25">
      <c r="H61" s="84"/>
      <c r="I61" s="84"/>
    </row>
    <row r="62" spans="1:11" ht="25.5" x14ac:dyDescent="0.25">
      <c r="A62" s="71" t="s">
        <v>226</v>
      </c>
      <c r="B62" s="72" t="s">
        <v>442</v>
      </c>
      <c r="C62" s="138" t="s">
        <v>295</v>
      </c>
      <c r="D62" s="72"/>
      <c r="E62" s="85" t="str">
        <f>IF(C63="","Please input % coverage",IF(C63&gt;100%,"Please Check % Coverage",""))</f>
        <v>Please input % coverage</v>
      </c>
      <c r="F62" s="71"/>
      <c r="G62" s="71"/>
      <c r="H62" s="84"/>
      <c r="I62" s="84"/>
      <c r="J62" s="71">
        <f>SUM(J63:J63)</f>
        <v>1</v>
      </c>
      <c r="K62" s="85"/>
    </row>
    <row r="63" spans="1:11" ht="38.25" x14ac:dyDescent="0.25">
      <c r="A63" s="172" t="s">
        <v>3</v>
      </c>
      <c r="B63" s="73" t="s">
        <v>443</v>
      </c>
      <c r="C63" s="208"/>
      <c r="D63" s="3"/>
      <c r="E63" s="87" t="s">
        <v>56</v>
      </c>
      <c r="F63" s="91">
        <f>IF(D63="Y",IF(1*C63&gt;1,1,IF(C63&lt;0.15,0,IF(C63&gt;0.85,1,C63*1))),0)</f>
        <v>0</v>
      </c>
      <c r="H63" s="84">
        <f>IF(D63="Y",IF(1*C63&gt;1,1,IF(C63&lt;0.15,0,IF(C63&gt;0.85,1,C63*1))),0)</f>
        <v>0</v>
      </c>
      <c r="I63" s="84">
        <f>IF(D63="NA",J63,0)</f>
        <v>0</v>
      </c>
      <c r="J63" s="172">
        <v>1</v>
      </c>
      <c r="K63" s="3"/>
    </row>
    <row r="64" spans="1:11" x14ac:dyDescent="0.25">
      <c r="E64" s="88" t="s">
        <v>230</v>
      </c>
      <c r="F64" s="172">
        <f>SUM(F63)</f>
        <v>0</v>
      </c>
      <c r="H64" s="84"/>
      <c r="I64" s="84"/>
    </row>
    <row r="65" spans="1:11" x14ac:dyDescent="0.25">
      <c r="H65" s="84"/>
      <c r="I65" s="84"/>
    </row>
    <row r="66" spans="1:11" ht="38.25" x14ac:dyDescent="0.25">
      <c r="A66" s="71" t="s">
        <v>227</v>
      </c>
      <c r="B66" s="72" t="s">
        <v>444</v>
      </c>
      <c r="C66" s="72"/>
      <c r="D66" s="72"/>
      <c r="E66" s="85"/>
      <c r="F66" s="71"/>
      <c r="G66" s="71"/>
      <c r="H66" s="84"/>
      <c r="I66" s="84"/>
      <c r="J66" s="71">
        <f>SUM(J67:J67)</f>
        <v>1</v>
      </c>
      <c r="K66" s="85"/>
    </row>
    <row r="67" spans="1:11" ht="51" x14ac:dyDescent="0.25">
      <c r="A67" s="172" t="s">
        <v>3</v>
      </c>
      <c r="B67" s="73" t="s">
        <v>398</v>
      </c>
      <c r="C67" s="3"/>
      <c r="D67" s="87" t="s">
        <v>56</v>
      </c>
      <c r="F67" s="171">
        <f>IF(C67="Y",1,0)</f>
        <v>0</v>
      </c>
      <c r="H67" s="84"/>
      <c r="I67" s="84">
        <f>IF(C67="NA",J67,0)</f>
        <v>0</v>
      </c>
      <c r="J67" s="172">
        <v>1</v>
      </c>
      <c r="K67" s="3"/>
    </row>
    <row r="68" spans="1:11" x14ac:dyDescent="0.25">
      <c r="E68" s="88" t="s">
        <v>231</v>
      </c>
      <c r="F68" s="172">
        <f>SUM(F67:F67)</f>
        <v>0</v>
      </c>
      <c r="H68" s="84"/>
      <c r="I68" s="84"/>
    </row>
    <row r="69" spans="1:11" x14ac:dyDescent="0.25">
      <c r="H69" s="84"/>
      <c r="I69" s="84"/>
    </row>
    <row r="70" spans="1:11" x14ac:dyDescent="0.25">
      <c r="A70" s="71" t="s">
        <v>228</v>
      </c>
      <c r="B70" s="72" t="s">
        <v>445</v>
      </c>
      <c r="C70" s="72"/>
      <c r="D70" s="72"/>
      <c r="E70" s="85"/>
      <c r="F70" s="71"/>
      <c r="G70" s="71"/>
      <c r="H70" s="84"/>
      <c r="I70" s="84"/>
      <c r="J70" s="71">
        <f>SUM(J71:J71)</f>
        <v>1</v>
      </c>
      <c r="K70" s="85"/>
    </row>
    <row r="71" spans="1:11" ht="25.5" x14ac:dyDescent="0.25">
      <c r="A71" s="172" t="s">
        <v>3</v>
      </c>
      <c r="B71" s="73" t="s">
        <v>229</v>
      </c>
      <c r="C71" s="3"/>
      <c r="D71" s="87" t="s">
        <v>56</v>
      </c>
      <c r="F71" s="171">
        <f>IF(C71="Y",1,0)</f>
        <v>0</v>
      </c>
      <c r="H71" s="84"/>
      <c r="I71" s="84">
        <f>IF(C71="NA",J71,0)</f>
        <v>0</v>
      </c>
      <c r="J71" s="172">
        <v>1</v>
      </c>
      <c r="K71" s="3"/>
    </row>
    <row r="72" spans="1:11" x14ac:dyDescent="0.25">
      <c r="E72" s="88" t="s">
        <v>232</v>
      </c>
      <c r="F72" s="172">
        <f>SUM(F71:F71)</f>
        <v>0</v>
      </c>
      <c r="H72" s="84"/>
      <c r="I72" s="84"/>
    </row>
    <row r="73" spans="1:11" x14ac:dyDescent="0.25">
      <c r="H73" s="84"/>
      <c r="I73" s="84"/>
    </row>
    <row r="74" spans="1:11" ht="25.5" x14ac:dyDescent="0.25">
      <c r="A74" s="69">
        <v>1.6</v>
      </c>
      <c r="B74" s="70" t="s">
        <v>446</v>
      </c>
      <c r="C74" s="82"/>
      <c r="D74" s="82"/>
      <c r="E74" s="82"/>
      <c r="F74" s="69">
        <f>SUM(F79)</f>
        <v>0</v>
      </c>
      <c r="G74" s="69"/>
      <c r="H74" s="84"/>
      <c r="I74" s="84"/>
      <c r="J74" s="69">
        <f>SUM(J75)</f>
        <v>2</v>
      </c>
      <c r="K74" s="82"/>
    </row>
    <row r="75" spans="1:11" ht="25.5" x14ac:dyDescent="0.25">
      <c r="A75" s="71" t="s">
        <v>233</v>
      </c>
      <c r="B75" s="72" t="s">
        <v>234</v>
      </c>
      <c r="C75" s="138" t="s">
        <v>318</v>
      </c>
      <c r="D75" s="72"/>
      <c r="E75" s="85" t="str">
        <f>IF(C77="","Please input % coverage",IF(C77&gt;100%,"Please Check % Coverage",""))</f>
        <v>Please input % coverage</v>
      </c>
      <c r="F75" s="71"/>
      <c r="G75" s="71"/>
      <c r="H75" s="84"/>
      <c r="I75" s="84"/>
      <c r="J75" s="98">
        <f>SUM(J77)</f>
        <v>2</v>
      </c>
      <c r="K75" s="85"/>
    </row>
    <row r="76" spans="1:11" ht="25.5" x14ac:dyDescent="0.25">
      <c r="A76" s="172" t="s">
        <v>3</v>
      </c>
      <c r="B76" s="73" t="s">
        <v>447</v>
      </c>
      <c r="C76" s="3"/>
      <c r="D76" s="87" t="s">
        <v>56</v>
      </c>
      <c r="F76" s="171" t="s">
        <v>156</v>
      </c>
      <c r="G76" s="172" t="str">
        <f>IF(C76="Y","OK",(IF(C76="NA","NA","NOK")))</f>
        <v>NOK</v>
      </c>
      <c r="H76" s="84"/>
      <c r="I76" s="84"/>
      <c r="J76" s="172" t="s">
        <v>5</v>
      </c>
      <c r="K76" s="3"/>
    </row>
    <row r="77" spans="1:11" ht="63.75" x14ac:dyDescent="0.25">
      <c r="A77" s="172" t="s">
        <v>6</v>
      </c>
      <c r="B77" s="73" t="s">
        <v>448</v>
      </c>
      <c r="C77" s="208"/>
      <c r="D77" s="3"/>
      <c r="E77" s="87" t="s">
        <v>15</v>
      </c>
      <c r="F77" s="171">
        <f>H77</f>
        <v>0</v>
      </c>
      <c r="H77" s="84">
        <f>IF(D77="Y",IF(2*C77&gt;2,2,IF(C77&lt;0.15,0,IF(C77&gt;0.85,2,C77*2))),0)</f>
        <v>0</v>
      </c>
      <c r="I77" s="84"/>
      <c r="J77" s="172">
        <v>2</v>
      </c>
      <c r="K77" s="3"/>
    </row>
    <row r="78" spans="1:11" ht="51" x14ac:dyDescent="0.25">
      <c r="B78" s="97" t="s">
        <v>399</v>
      </c>
      <c r="C78" s="3"/>
      <c r="D78" s="87" t="s">
        <v>15</v>
      </c>
      <c r="F78" s="100">
        <f>IF(C78="Y",1,0)</f>
        <v>0</v>
      </c>
      <c r="H78" s="84"/>
      <c r="I78" s="84"/>
      <c r="J78" s="101">
        <v>1</v>
      </c>
      <c r="K78" s="3"/>
    </row>
    <row r="79" spans="1:11" x14ac:dyDescent="0.25">
      <c r="E79" s="88" t="s">
        <v>237</v>
      </c>
      <c r="F79" s="171">
        <f>SUM(F77)</f>
        <v>0</v>
      </c>
      <c r="G79" s="172" t="s">
        <v>242</v>
      </c>
      <c r="H79" s="84"/>
      <c r="I79" s="84"/>
    </row>
    <row r="80" spans="1:11" x14ac:dyDescent="0.25">
      <c r="E80" s="88"/>
      <c r="F80" s="171"/>
      <c r="H80" s="84"/>
      <c r="I80" s="84"/>
    </row>
    <row r="81" spans="1:11" ht="25.5" x14ac:dyDescent="0.25">
      <c r="A81" s="69">
        <v>1.7</v>
      </c>
      <c r="B81" s="70" t="s">
        <v>449</v>
      </c>
      <c r="C81" s="82"/>
      <c r="D81" s="82"/>
      <c r="E81" s="82"/>
      <c r="F81" s="69">
        <f>SUM(F90)</f>
        <v>0</v>
      </c>
      <c r="G81" s="69"/>
      <c r="H81" s="84"/>
      <c r="I81" s="84"/>
      <c r="J81" s="69">
        <v>2</v>
      </c>
      <c r="K81" s="82"/>
    </row>
    <row r="82" spans="1:11" ht="25.5" x14ac:dyDescent="0.25">
      <c r="A82" s="71" t="s">
        <v>235</v>
      </c>
      <c r="B82" s="72" t="s">
        <v>450</v>
      </c>
      <c r="C82" s="72"/>
      <c r="D82" s="72"/>
      <c r="E82" s="85"/>
      <c r="F82" s="71"/>
      <c r="G82" s="71"/>
      <c r="H82" s="84"/>
      <c r="I82" s="84"/>
      <c r="J82" s="98">
        <f>SUM(J84)</f>
        <v>1.5</v>
      </c>
      <c r="K82" s="85"/>
    </row>
    <row r="83" spans="1:11" ht="25.5" x14ac:dyDescent="0.25">
      <c r="A83" s="172" t="s">
        <v>3</v>
      </c>
      <c r="B83" s="73" t="s">
        <v>451</v>
      </c>
      <c r="C83" s="3"/>
      <c r="D83" s="87" t="s">
        <v>56</v>
      </c>
      <c r="F83" s="171" t="s">
        <v>156</v>
      </c>
      <c r="G83" s="172" t="str">
        <f>IF(C83="Y","OK",(IF(C83="NA","NA","NOK")))</f>
        <v>NOK</v>
      </c>
      <c r="H83" s="84"/>
      <c r="I83" s="84"/>
      <c r="J83" s="172" t="s">
        <v>5</v>
      </c>
      <c r="K83" s="3"/>
    </row>
    <row r="84" spans="1:11" ht="25.5" x14ac:dyDescent="0.25">
      <c r="A84" s="172" t="s">
        <v>6</v>
      </c>
      <c r="B84" s="73" t="s">
        <v>419</v>
      </c>
      <c r="C84" s="3"/>
      <c r="D84" s="87" t="s">
        <v>56</v>
      </c>
      <c r="F84" s="153">
        <f>IF(C84="Y",1.5,0)</f>
        <v>0</v>
      </c>
      <c r="H84" s="216"/>
      <c r="I84" s="84"/>
      <c r="J84" s="86">
        <v>1.5</v>
      </c>
      <c r="K84" s="3"/>
    </row>
    <row r="85" spans="1:11" ht="38.25" x14ac:dyDescent="0.25">
      <c r="B85" s="97" t="s">
        <v>335</v>
      </c>
      <c r="C85" s="3"/>
      <c r="D85" s="87" t="s">
        <v>15</v>
      </c>
      <c r="F85" s="100">
        <f>IF(C85="Y",1,0)</f>
        <v>0</v>
      </c>
      <c r="H85" s="84"/>
      <c r="I85" s="84"/>
      <c r="J85" s="101">
        <v>1</v>
      </c>
      <c r="K85" s="3"/>
    </row>
    <row r="86" spans="1:11" x14ac:dyDescent="0.25">
      <c r="E86" s="88"/>
      <c r="F86" s="171"/>
      <c r="H86" s="84"/>
      <c r="I86" s="84"/>
    </row>
    <row r="87" spans="1:11" x14ac:dyDescent="0.25">
      <c r="E87" s="88"/>
      <c r="F87" s="171"/>
      <c r="H87" s="84"/>
      <c r="I87" s="84"/>
    </row>
    <row r="88" spans="1:11" x14ac:dyDescent="0.25">
      <c r="A88" s="71" t="s">
        <v>238</v>
      </c>
      <c r="B88" s="72" t="s">
        <v>336</v>
      </c>
      <c r="C88" s="72"/>
      <c r="D88" s="72"/>
      <c r="E88" s="85"/>
      <c r="F88" s="71"/>
      <c r="G88" s="71"/>
      <c r="H88" s="84"/>
      <c r="I88" s="84"/>
      <c r="J88" s="98"/>
      <c r="K88" s="85"/>
    </row>
    <row r="89" spans="1:11" ht="25.5" x14ac:dyDescent="0.25">
      <c r="A89" s="172" t="s">
        <v>3</v>
      </c>
      <c r="B89" s="73" t="s">
        <v>452</v>
      </c>
      <c r="C89" s="3"/>
      <c r="D89" s="87" t="s">
        <v>15</v>
      </c>
      <c r="F89" s="153">
        <f>IF(C89="Y",0.5,0)</f>
        <v>0</v>
      </c>
      <c r="H89" s="84"/>
      <c r="I89" s="84"/>
      <c r="J89" s="147">
        <v>0.5</v>
      </c>
      <c r="K89" s="3"/>
    </row>
    <row r="90" spans="1:11" x14ac:dyDescent="0.25">
      <c r="D90" s="294" t="s">
        <v>337</v>
      </c>
      <c r="E90" s="294"/>
      <c r="F90" s="171">
        <f>SUM(F89,F84)</f>
        <v>0</v>
      </c>
      <c r="H90" s="84"/>
      <c r="I90" s="84"/>
    </row>
    <row r="91" spans="1:11" x14ac:dyDescent="0.25">
      <c r="H91" s="172"/>
      <c r="I91" s="172"/>
    </row>
    <row r="92" spans="1:11" x14ac:dyDescent="0.25">
      <c r="A92" s="69">
        <v>1.8</v>
      </c>
      <c r="B92" s="70" t="s">
        <v>135</v>
      </c>
      <c r="C92" s="82"/>
      <c r="D92" s="82"/>
      <c r="E92" s="82"/>
      <c r="F92" s="69">
        <f>SUM(F96,F100,F104)</f>
        <v>0</v>
      </c>
      <c r="G92" s="69"/>
      <c r="H92" s="84"/>
      <c r="I92" s="84"/>
      <c r="J92" s="69">
        <f>SUM(J93,J98,J102)</f>
        <v>0</v>
      </c>
      <c r="K92" s="82"/>
    </row>
    <row r="93" spans="1:11" x14ac:dyDescent="0.25">
      <c r="A93" s="71" t="s">
        <v>338</v>
      </c>
      <c r="B93" s="72" t="s">
        <v>236</v>
      </c>
      <c r="C93" s="72"/>
      <c r="D93" s="72"/>
      <c r="E93" s="85"/>
      <c r="F93" s="71"/>
      <c r="G93" s="71"/>
      <c r="H93" s="84"/>
      <c r="I93" s="84"/>
      <c r="J93" s="98" t="s">
        <v>156</v>
      </c>
      <c r="K93" s="85"/>
    </row>
    <row r="94" spans="1:11" ht="25.5" x14ac:dyDescent="0.25">
      <c r="A94" s="172" t="s">
        <v>3</v>
      </c>
      <c r="B94" s="73" t="s">
        <v>453</v>
      </c>
      <c r="C94" s="3"/>
      <c r="D94" s="87" t="s">
        <v>56</v>
      </c>
      <c r="F94" s="171" t="s">
        <v>156</v>
      </c>
      <c r="G94" s="172" t="str">
        <f>IF(C94="Y","OK",(IF(C94="NA","NA","NOK")))</f>
        <v>NOK</v>
      </c>
      <c r="H94" s="84"/>
      <c r="I94" s="84"/>
      <c r="J94" s="172" t="s">
        <v>5</v>
      </c>
      <c r="K94" s="3"/>
    </row>
    <row r="95" spans="1:11" ht="114.75" x14ac:dyDescent="0.25">
      <c r="A95" s="172" t="s">
        <v>6</v>
      </c>
      <c r="B95" s="73" t="s">
        <v>454</v>
      </c>
      <c r="C95" s="3"/>
      <c r="D95" s="87" t="s">
        <v>56</v>
      </c>
      <c r="F95" s="171" t="s">
        <v>156</v>
      </c>
      <c r="G95" s="172" t="str">
        <f>IF(C95="Y","OK",(IF(C95="NA","NA","NOK")))</f>
        <v>NOK</v>
      </c>
      <c r="H95" s="84"/>
      <c r="I95" s="84"/>
      <c r="J95" s="172" t="s">
        <v>5</v>
      </c>
      <c r="K95" s="3"/>
    </row>
    <row r="96" spans="1:11" x14ac:dyDescent="0.25">
      <c r="E96" s="88" t="s">
        <v>341</v>
      </c>
      <c r="F96" s="171" t="s">
        <v>156</v>
      </c>
      <c r="H96" s="84"/>
      <c r="I96" s="84"/>
    </row>
    <row r="97" spans="1:11" x14ac:dyDescent="0.25">
      <c r="H97" s="172"/>
      <c r="I97" s="172"/>
    </row>
    <row r="98" spans="1:11" ht="25.5" x14ac:dyDescent="0.25">
      <c r="A98" s="71" t="s">
        <v>339</v>
      </c>
      <c r="B98" s="72" t="s">
        <v>455</v>
      </c>
      <c r="C98" s="72"/>
      <c r="D98" s="72"/>
      <c r="E98" s="85"/>
      <c r="F98" s="71"/>
      <c r="G98" s="71"/>
      <c r="H98" s="84"/>
      <c r="I98" s="84"/>
      <c r="J98" s="98" t="s">
        <v>156</v>
      </c>
      <c r="K98" s="71"/>
    </row>
    <row r="99" spans="1:11" ht="76.5" x14ac:dyDescent="0.25">
      <c r="A99" s="172" t="s">
        <v>3</v>
      </c>
      <c r="B99" s="73" t="s">
        <v>400</v>
      </c>
      <c r="C99" s="3"/>
      <c r="D99" s="87" t="s">
        <v>56</v>
      </c>
      <c r="F99" s="171" t="s">
        <v>156</v>
      </c>
      <c r="G99" s="172" t="str">
        <f>IF(C99="Y","OK",(IF(C99="NA","NA","NOK")))</f>
        <v>NOK</v>
      </c>
      <c r="H99" s="84"/>
      <c r="I99" s="84"/>
      <c r="J99" s="172" t="s">
        <v>5</v>
      </c>
      <c r="K99" s="3"/>
    </row>
    <row r="100" spans="1:11" x14ac:dyDescent="0.25">
      <c r="E100" s="88" t="s">
        <v>342</v>
      </c>
      <c r="F100" s="171" t="s">
        <v>156</v>
      </c>
      <c r="H100" s="84"/>
      <c r="I100" s="84"/>
    </row>
    <row r="101" spans="1:11" x14ac:dyDescent="0.25">
      <c r="H101" s="172"/>
      <c r="I101" s="172"/>
    </row>
    <row r="102" spans="1:11" x14ac:dyDescent="0.25">
      <c r="A102" s="71" t="s">
        <v>340</v>
      </c>
      <c r="B102" s="72" t="s">
        <v>239</v>
      </c>
      <c r="C102" s="72"/>
      <c r="D102" s="72"/>
      <c r="E102" s="85"/>
      <c r="F102" s="71"/>
      <c r="G102" s="71"/>
      <c r="H102" s="84"/>
      <c r="I102" s="84"/>
      <c r="J102" s="98" t="s">
        <v>156</v>
      </c>
      <c r="K102" s="71"/>
    </row>
    <row r="103" spans="1:11" ht="51" x14ac:dyDescent="0.25">
      <c r="A103" s="172" t="s">
        <v>3</v>
      </c>
      <c r="B103" s="73" t="s">
        <v>240</v>
      </c>
      <c r="C103" s="3"/>
      <c r="D103" s="87" t="s">
        <v>56</v>
      </c>
      <c r="F103" s="171" t="s">
        <v>156</v>
      </c>
      <c r="G103" s="172" t="str">
        <f>IF(C103="Y","OK",(IF(C103="NA","NA","NOK")))</f>
        <v>NOK</v>
      </c>
      <c r="H103" s="84"/>
      <c r="I103" s="84"/>
      <c r="J103" s="172" t="s">
        <v>5</v>
      </c>
      <c r="K103" s="3"/>
    </row>
    <row r="104" spans="1:11" x14ac:dyDescent="0.25">
      <c r="E104" s="88" t="s">
        <v>343</v>
      </c>
      <c r="F104" s="171" t="s">
        <v>156</v>
      </c>
      <c r="H104" s="172"/>
      <c r="I104" s="172"/>
      <c r="J104" s="92" t="s">
        <v>245</v>
      </c>
    </row>
    <row r="105" spans="1:11" x14ac:dyDescent="0.25">
      <c r="H105" s="172"/>
      <c r="I105" s="172"/>
      <c r="J105" s="172">
        <f>SUM(J30,J78,J85)</f>
        <v>3</v>
      </c>
    </row>
    <row r="106" spans="1:11" x14ac:dyDescent="0.25">
      <c r="E106" s="88" t="s">
        <v>161</v>
      </c>
      <c r="F106" s="89">
        <f>SUM(F6,H20,F56,F74,F81,F92)</f>
        <v>0</v>
      </c>
      <c r="G106" s="90" t="s">
        <v>160</v>
      </c>
      <c r="I106" s="90"/>
      <c r="J106" s="92" t="s">
        <v>2</v>
      </c>
    </row>
    <row r="107" spans="1:11" x14ac:dyDescent="0.25">
      <c r="E107" s="88" t="s">
        <v>245</v>
      </c>
      <c r="F107" s="89">
        <f>SUM(F30,F78,F85)</f>
        <v>0</v>
      </c>
      <c r="G107" s="92">
        <f>SUM(I6:I86)</f>
        <v>0</v>
      </c>
      <c r="I107" s="90"/>
      <c r="J107" s="172">
        <f>SUM(J6,J20,J56,J74,J81,J92)</f>
        <v>11.5</v>
      </c>
    </row>
  </sheetData>
  <sheetProtection algorithmName="SHA-512" hashValue="ZBbKq9Mp6lWSrfzZs3Z+aXeCEgLLj7CLNcGMd2raCfIphlLef/Xj5+Mp4vjYe5Jx8/CRaPi62XVyZ4mNygjKgw==" saltValue="07JLB04fOhft9jLvIJjagw==" spinCount="100000" sheet="1" selectLockedCells="1"/>
  <protectedRanges>
    <protectedRange sqref="C9 C26:C30 C36:C40 C47:C48 D52:D53" name="input2_6"/>
    <protectedRange sqref="C71 C45:C46 C35 C58:C59 D63 C67 C103 C8 C13 C17 C23:C24 C94:C95 K99 C76 C78 K8:K9 K103 K17 K23 K25:K30 K35:K40 K45:K48 K58:K59 K63 K67 K71 K76:K78 K94:K95 K13 D77 K83:K85 C89 K89 K52:K53 C83:C85 C99" name="input2_23"/>
  </protectedRanges>
  <mergeCells count="13">
    <mergeCell ref="D90:E90"/>
    <mergeCell ref="K4:K5"/>
    <mergeCell ref="A4:A5"/>
    <mergeCell ref="B4:B5"/>
    <mergeCell ref="E4:E5"/>
    <mergeCell ref="F20:G20"/>
    <mergeCell ref="F25:F29"/>
    <mergeCell ref="J25:J29"/>
    <mergeCell ref="F36:F40"/>
    <mergeCell ref="J36:J40"/>
    <mergeCell ref="J4:J5"/>
    <mergeCell ref="F52:F53"/>
    <mergeCell ref="J52:J53"/>
  </mergeCells>
  <conditionalFormatting sqref="G35">
    <cfRule type="expression" dxfId="162" priority="72">
      <formula>$G$35="OK"</formula>
    </cfRule>
    <cfRule type="expression" dxfId="161" priority="73">
      <formula>$G$35="NOK"</formula>
    </cfRule>
  </conditionalFormatting>
  <conditionalFormatting sqref="G76">
    <cfRule type="expression" dxfId="160" priority="66">
      <formula>$G$76="OK"</formula>
    </cfRule>
    <cfRule type="expression" dxfId="159" priority="67">
      <formula>$G$76="NOK"</formula>
    </cfRule>
  </conditionalFormatting>
  <conditionalFormatting sqref="G103">
    <cfRule type="expression" dxfId="158" priority="52">
      <formula>$G$76="OK"</formula>
    </cfRule>
    <cfRule type="expression" dxfId="157" priority="53">
      <formula>$G$76="NOK"</formula>
    </cfRule>
  </conditionalFormatting>
  <conditionalFormatting sqref="E20">
    <cfRule type="expression" dxfId="156" priority="46">
      <formula>$E$20="Please check % indicated in 1.2 to 1.4 (to add up to 100%)"</formula>
    </cfRule>
  </conditionalFormatting>
  <conditionalFormatting sqref="G8">
    <cfRule type="expression" dxfId="155" priority="43">
      <formula>$G$8="OK"</formula>
    </cfRule>
    <cfRule type="expression" dxfId="154" priority="44">
      <formula>$G$8="NOK"</formula>
    </cfRule>
  </conditionalFormatting>
  <conditionalFormatting sqref="G13">
    <cfRule type="expression" dxfId="153" priority="41">
      <formula>$G$13="OK"</formula>
    </cfRule>
    <cfRule type="expression" dxfId="152" priority="42">
      <formula>$G$13="NOK"</formula>
    </cfRule>
  </conditionalFormatting>
  <conditionalFormatting sqref="G17">
    <cfRule type="expression" dxfId="151" priority="39">
      <formula>$G$17="OK"</formula>
    </cfRule>
    <cfRule type="expression" dxfId="150" priority="40">
      <formula>$G$17="NOK"</formula>
    </cfRule>
  </conditionalFormatting>
  <conditionalFormatting sqref="G23:G24">
    <cfRule type="expression" dxfId="149" priority="37">
      <formula>$G$23="OK"</formula>
    </cfRule>
    <cfRule type="expression" dxfId="148" priority="38">
      <formula>$G$23="NOK"</formula>
    </cfRule>
  </conditionalFormatting>
  <conditionalFormatting sqref="G45">
    <cfRule type="expression" dxfId="147" priority="35">
      <formula>$G$45="OK"</formula>
    </cfRule>
    <cfRule type="expression" dxfId="146" priority="36">
      <formula>$G$45="NOK"</formula>
    </cfRule>
  </conditionalFormatting>
  <conditionalFormatting sqref="G46">
    <cfRule type="expression" dxfId="145" priority="33">
      <formula>$G$46="OK"</formula>
    </cfRule>
    <cfRule type="expression" dxfId="144" priority="34">
      <formula>$G$46="NOK"</formula>
    </cfRule>
  </conditionalFormatting>
  <conditionalFormatting sqref="G59">
    <cfRule type="expression" dxfId="143" priority="68">
      <formula>$G$59="OK"</formula>
    </cfRule>
    <cfRule type="expression" dxfId="142" priority="69">
      <formula>$G$59="NOK"</formula>
    </cfRule>
  </conditionalFormatting>
  <conditionalFormatting sqref="G58">
    <cfRule type="expression" dxfId="141" priority="31">
      <formula>$G$58="OK"</formula>
    </cfRule>
    <cfRule type="expression" dxfId="140" priority="32">
      <formula>$G$58="NOK"</formula>
    </cfRule>
  </conditionalFormatting>
  <conditionalFormatting sqref="G94">
    <cfRule type="expression" dxfId="139" priority="56">
      <formula>$G$94="OK"</formula>
    </cfRule>
    <cfRule type="expression" dxfId="138" priority="57">
      <formula>$G$94="NOK"</formula>
    </cfRule>
  </conditionalFormatting>
  <conditionalFormatting sqref="G95">
    <cfRule type="expression" dxfId="137" priority="29">
      <formula>$G$95="OK"</formula>
    </cfRule>
    <cfRule type="expression" dxfId="136" priority="30">
      <formula>$G$95="NOK"</formula>
    </cfRule>
  </conditionalFormatting>
  <conditionalFormatting sqref="G99">
    <cfRule type="expression" dxfId="135" priority="27">
      <formula>$G$99="OK"</formula>
    </cfRule>
    <cfRule type="expression" dxfId="134" priority="28">
      <formula>$G$99="NOK"</formula>
    </cfRule>
  </conditionalFormatting>
  <conditionalFormatting sqref="D24">
    <cfRule type="cellIs" dxfId="133" priority="22" operator="equal">
      <formula>"C26 should not exceed D26"</formula>
    </cfRule>
  </conditionalFormatting>
  <conditionalFormatting sqref="K20">
    <cfRule type="expression" dxfId="132" priority="20">
      <formula>$E$20="Please check % indicated in 1.2 to 1.4 (to add up to 100%)"</formula>
    </cfRule>
  </conditionalFormatting>
  <conditionalFormatting sqref="G83">
    <cfRule type="expression" dxfId="131" priority="18">
      <formula>$G$76="OK"</formula>
    </cfRule>
    <cfRule type="expression" dxfId="130" priority="19">
      <formula>$G$76="NOK"</formula>
    </cfRule>
  </conditionalFormatting>
  <conditionalFormatting sqref="F20:G20">
    <cfRule type="cellIs" dxfId="129" priority="17" operator="equal">
      <formula>"Please check the % indicated in 1.2 to 1.4 (to add up to 100%)"</formula>
    </cfRule>
  </conditionalFormatting>
  <conditionalFormatting sqref="E51">
    <cfRule type="cellIs" dxfId="128" priority="13" operator="equal">
      <formula>"Please Check % Coverage"</formula>
    </cfRule>
    <cfRule type="cellIs" dxfId="127" priority="14" operator="equal">
      <formula>"Please input % coverage"</formula>
    </cfRule>
  </conditionalFormatting>
  <conditionalFormatting sqref="E51">
    <cfRule type="cellIs" dxfId="126" priority="12" operator="equal">
      <formula>"Please Check % Coverage"</formula>
    </cfRule>
  </conditionalFormatting>
  <conditionalFormatting sqref="E62">
    <cfRule type="cellIs" dxfId="125" priority="9" operator="equal">
      <formula>"Please Check % Coverage"</formula>
    </cfRule>
    <cfRule type="cellIs" dxfId="124" priority="10" operator="equal">
      <formula>"Please Check % Coverage"</formula>
    </cfRule>
    <cfRule type="cellIs" dxfId="123" priority="11" operator="equal">
      <formula>"Please input % coverage"</formula>
    </cfRule>
  </conditionalFormatting>
  <conditionalFormatting sqref="E62">
    <cfRule type="cellIs" dxfId="122" priority="8" operator="equal">
      <formula>"Please Check % Coverage"</formula>
    </cfRule>
  </conditionalFormatting>
  <conditionalFormatting sqref="E75">
    <cfRule type="cellIs" dxfId="121" priority="2" operator="equal">
      <formula>"Please Check % Coverage"</formula>
    </cfRule>
    <cfRule type="cellIs" dxfId="120" priority="3" operator="equal">
      <formula>"Please Check % Coverage"</formula>
    </cfRule>
    <cfRule type="cellIs" dxfId="119" priority="4" operator="equal">
      <formula>"Please input % coverage"</formula>
    </cfRule>
  </conditionalFormatting>
  <conditionalFormatting sqref="E75">
    <cfRule type="cellIs" dxfId="118" priority="1" operator="equal">
      <formula>"Please Check % Coverage"</formula>
    </cfRule>
  </conditionalFormatting>
  <dataValidations count="2">
    <dataValidation type="list" allowBlank="1" showInputMessage="1" showErrorMessage="1" sqref="C9 C36:C40 C47:C48 C25:C30 D77 C78 C85 C89 D52:D53" xr:uid="{ADA822E1-E71C-487C-8D68-62B2A34B1BC8}">
      <formula1>"Y,N"</formula1>
    </dataValidation>
    <dataValidation type="list" allowBlank="1" showInputMessage="1" showErrorMessage="1" sqref="C99 C35 C45:C46 C58:C59 C17 D63 C67 C71 C94:C95 C103 C8 C13 C23 C76 C83:C84" xr:uid="{00AA4F77-B82A-4D7F-8B39-3F406C8810EB}">
      <formula1>"Y,N,NA"</formula1>
    </dataValidation>
  </dataValidation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3991B-5177-48FE-BD52-D161BC2C9FBE}">
  <dimension ref="A1:K81"/>
  <sheetViews>
    <sheetView zoomScaleNormal="100" zoomScaleSheetLayoutView="85" workbookViewId="0">
      <pane ySplit="5" topLeftCell="A6" activePane="bottomLeft" state="frozen"/>
      <selection pane="bottomLeft" activeCell="C8" sqref="C8"/>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136" t="s">
        <v>401</v>
      </c>
      <c r="B1" s="136"/>
      <c r="C1" s="136"/>
      <c r="D1" s="136"/>
      <c r="E1" s="136"/>
      <c r="F1" s="136"/>
      <c r="G1" s="136"/>
      <c r="H1" s="136"/>
      <c r="I1" s="136"/>
      <c r="J1" s="136"/>
      <c r="K1" s="136"/>
    </row>
    <row r="3" spans="1:11" s="77" customFormat="1" ht="15" x14ac:dyDescent="0.25">
      <c r="A3" s="67"/>
      <c r="B3" s="76"/>
      <c r="C3" s="76"/>
      <c r="D3" s="76"/>
      <c r="H3" s="78"/>
      <c r="I3" s="78"/>
    </row>
    <row r="4" spans="1:11" ht="12.75" customHeight="1" x14ac:dyDescent="0.25">
      <c r="A4" s="291"/>
      <c r="B4" s="292"/>
      <c r="C4" s="137"/>
      <c r="D4" s="79"/>
      <c r="E4" s="293" t="s">
        <v>24</v>
      </c>
      <c r="F4" s="169" t="s">
        <v>1</v>
      </c>
      <c r="G4" s="169" t="s">
        <v>55</v>
      </c>
      <c r="H4" s="80" t="s">
        <v>17</v>
      </c>
      <c r="I4" s="80" t="s">
        <v>17</v>
      </c>
      <c r="J4" s="293" t="s">
        <v>319</v>
      </c>
      <c r="K4" s="293" t="s">
        <v>315</v>
      </c>
    </row>
    <row r="5" spans="1:11" x14ac:dyDescent="0.25">
      <c r="A5" s="291"/>
      <c r="B5" s="292"/>
      <c r="C5" s="137"/>
      <c r="D5" s="79"/>
      <c r="E5" s="293"/>
      <c r="F5" s="169"/>
      <c r="G5" s="169"/>
      <c r="H5" s="80"/>
      <c r="I5" s="80" t="s">
        <v>159</v>
      </c>
      <c r="J5" s="293"/>
      <c r="K5" s="293"/>
    </row>
    <row r="6" spans="1:11" x14ac:dyDescent="0.25">
      <c r="A6" s="69">
        <v>2.1</v>
      </c>
      <c r="B6" s="70" t="s">
        <v>162</v>
      </c>
      <c r="C6" s="82"/>
      <c r="D6" s="81"/>
      <c r="E6" s="82"/>
      <c r="F6" s="83">
        <f>SUM(F9,F13)</f>
        <v>0</v>
      </c>
      <c r="G6" s="69"/>
      <c r="H6" s="84"/>
      <c r="I6" s="84"/>
      <c r="J6" s="69">
        <f>SUM(J7,J11)</f>
        <v>2.5</v>
      </c>
      <c r="K6" s="69"/>
    </row>
    <row r="7" spans="1:11" ht="25.5" x14ac:dyDescent="0.25">
      <c r="A7" s="71" t="s">
        <v>163</v>
      </c>
      <c r="B7" s="72" t="s">
        <v>164</v>
      </c>
      <c r="C7" s="138" t="s">
        <v>295</v>
      </c>
      <c r="D7" s="72"/>
      <c r="E7" s="85" t="str">
        <f>IF(C8="","Please input % coverage",IF(C8&gt;100%,"Please Check % Coverage",""))</f>
        <v>Please input % coverage</v>
      </c>
      <c r="F7" s="71"/>
      <c r="G7" s="71"/>
      <c r="H7" s="84"/>
      <c r="I7" s="84"/>
      <c r="J7" s="71">
        <f>SUM(J8)</f>
        <v>1.5</v>
      </c>
      <c r="K7" s="71"/>
    </row>
    <row r="8" spans="1:11" ht="38.25" x14ac:dyDescent="0.25">
      <c r="A8" s="172" t="s">
        <v>3</v>
      </c>
      <c r="B8" s="73" t="s">
        <v>456</v>
      </c>
      <c r="C8" s="144"/>
      <c r="D8" s="2"/>
      <c r="E8" s="87" t="s">
        <v>15</v>
      </c>
      <c r="F8" s="91">
        <f>IF(D8="Y",IF(1.5*C8&gt;1.5,1.5,IF(C8&lt;0.15,0,IF(C8&gt;0.85,1.5,C8*1.5))),0)</f>
        <v>0</v>
      </c>
      <c r="H8" s="84"/>
      <c r="I8" s="84"/>
      <c r="J8" s="172">
        <v>1.5</v>
      </c>
      <c r="K8" s="3"/>
    </row>
    <row r="9" spans="1:11" x14ac:dyDescent="0.25">
      <c r="E9" s="88" t="s">
        <v>166</v>
      </c>
      <c r="F9" s="171">
        <f>SUM(F8)</f>
        <v>0</v>
      </c>
      <c r="H9" s="84"/>
      <c r="I9" s="84"/>
    </row>
    <row r="10" spans="1:11" x14ac:dyDescent="0.25">
      <c r="A10" s="94"/>
      <c r="H10" s="84"/>
      <c r="I10" s="84"/>
    </row>
    <row r="11" spans="1:11" ht="25.5" x14ac:dyDescent="0.25">
      <c r="A11" s="71" t="s">
        <v>165</v>
      </c>
      <c r="B11" s="72" t="s">
        <v>457</v>
      </c>
      <c r="C11" s="138" t="s">
        <v>295</v>
      </c>
      <c r="D11" s="72"/>
      <c r="E11" s="85" t="str">
        <f>IF(C12="","Please input % coverage",IF(C12&gt;100%,"Please Check % Coverage",""))</f>
        <v>Please input % coverage</v>
      </c>
      <c r="F11" s="71"/>
      <c r="G11" s="71"/>
      <c r="H11" s="84"/>
      <c r="I11" s="84"/>
      <c r="J11" s="71">
        <f>SUM(J12:J12)</f>
        <v>1</v>
      </c>
      <c r="K11" s="71"/>
    </row>
    <row r="12" spans="1:11" ht="63.75" x14ac:dyDescent="0.25">
      <c r="A12" s="172" t="s">
        <v>3</v>
      </c>
      <c r="B12" s="73" t="s">
        <v>402</v>
      </c>
      <c r="C12" s="111"/>
      <c r="D12" s="2"/>
      <c r="E12" s="87" t="s">
        <v>15</v>
      </c>
      <c r="F12" s="91">
        <f>IF(D12="Y",IF(1*C12&gt;1,1,IF(C12&lt;0.15,0,IF(C12&gt;0.85,1,C12*1))),0)</f>
        <v>0</v>
      </c>
      <c r="H12" s="84"/>
      <c r="I12" s="84"/>
      <c r="J12" s="172">
        <v>1</v>
      </c>
      <c r="K12" s="3"/>
    </row>
    <row r="13" spans="1:11" x14ac:dyDescent="0.25">
      <c r="E13" s="88" t="s">
        <v>167</v>
      </c>
      <c r="F13" s="172">
        <f>SUM(F12:F12)</f>
        <v>0</v>
      </c>
      <c r="H13" s="84"/>
      <c r="I13" s="84"/>
    </row>
    <row r="14" spans="1:11" x14ac:dyDescent="0.25">
      <c r="H14" s="84"/>
      <c r="I14" s="84"/>
    </row>
    <row r="15" spans="1:11" x14ac:dyDescent="0.25">
      <c r="A15" s="69">
        <v>2.2000000000000002</v>
      </c>
      <c r="B15" s="70" t="s">
        <v>168</v>
      </c>
      <c r="C15" s="81"/>
      <c r="D15" s="81"/>
      <c r="E15" s="82"/>
      <c r="F15" s="69">
        <f>SUM(F19)</f>
        <v>0</v>
      </c>
      <c r="G15" s="69"/>
      <c r="H15" s="84"/>
      <c r="I15" s="84"/>
      <c r="J15" s="69">
        <f>SUM(J16)</f>
        <v>1</v>
      </c>
      <c r="K15" s="69"/>
    </row>
    <row r="16" spans="1:11" ht="25.5" x14ac:dyDescent="0.25">
      <c r="A16" s="71" t="s">
        <v>169</v>
      </c>
      <c r="B16" s="72" t="s">
        <v>170</v>
      </c>
      <c r="C16" s="138" t="s">
        <v>295</v>
      </c>
      <c r="D16" s="72"/>
      <c r="E16" s="85" t="str">
        <f>IF(AND(C17="",C18=""),"Please input % coverage",IF(C17+C18&gt;100%,"Please Check % Coverage",""))</f>
        <v>Please input % coverage</v>
      </c>
      <c r="F16" s="71"/>
      <c r="G16" s="71"/>
      <c r="H16" s="84"/>
      <c r="I16" s="84"/>
      <c r="J16" s="71">
        <f>SUM(J17)</f>
        <v>1</v>
      </c>
      <c r="K16" s="71"/>
    </row>
    <row r="17" spans="1:11" ht="25.5" x14ac:dyDescent="0.25">
      <c r="A17" s="172" t="s">
        <v>3</v>
      </c>
      <c r="B17" s="73" t="s">
        <v>403</v>
      </c>
      <c r="C17" s="173"/>
      <c r="D17" s="2"/>
      <c r="E17" s="87" t="s">
        <v>15</v>
      </c>
      <c r="F17" s="296">
        <f>IF(SUM(H17:H18)&gt;1,1,SUM(H17:H18))</f>
        <v>0</v>
      </c>
      <c r="G17" s="86"/>
      <c r="H17" s="84">
        <f>IF(D17="Y",IF(1*C17&gt;1,1,IF(C17&lt;0.15,0,IF(C17&gt;0.85,1,C17*1))),0)</f>
        <v>0</v>
      </c>
      <c r="I17" s="84"/>
      <c r="J17" s="297">
        <v>1</v>
      </c>
      <c r="K17" s="3"/>
    </row>
    <row r="18" spans="1:11" ht="25.5" x14ac:dyDescent="0.25">
      <c r="A18" s="172" t="s">
        <v>6</v>
      </c>
      <c r="B18" s="73" t="s">
        <v>458</v>
      </c>
      <c r="C18" s="214"/>
      <c r="D18" s="212"/>
      <c r="E18" s="213" t="s">
        <v>15</v>
      </c>
      <c r="F18" s="296"/>
      <c r="G18" s="86"/>
      <c r="H18" s="84">
        <f>IF(D18="Y",IF(0.5*C18&gt;0.5,0.5,IF(C18&lt;0.15,0,IF(C18&gt;0.85,0.5,C18*0.5))),0)</f>
        <v>0</v>
      </c>
      <c r="I18" s="84"/>
      <c r="J18" s="297"/>
      <c r="K18" s="3"/>
    </row>
    <row r="19" spans="1:11" x14ac:dyDescent="0.25">
      <c r="E19" s="88" t="s">
        <v>174</v>
      </c>
      <c r="F19" s="171">
        <f>SUM(F17)</f>
        <v>0</v>
      </c>
      <c r="H19" s="84"/>
      <c r="I19" s="84"/>
    </row>
    <row r="20" spans="1:11" x14ac:dyDescent="0.25">
      <c r="H20" s="84"/>
      <c r="I20" s="84"/>
    </row>
    <row r="21" spans="1:11" x14ac:dyDescent="0.25">
      <c r="A21" s="69">
        <v>2.2999999999999998</v>
      </c>
      <c r="B21" s="70" t="s">
        <v>171</v>
      </c>
      <c r="C21" s="82"/>
      <c r="D21" s="82"/>
      <c r="E21" s="82"/>
      <c r="F21" s="69">
        <f>SUM(F25,F30,F34,F40)</f>
        <v>0</v>
      </c>
      <c r="G21" s="69"/>
      <c r="H21" s="84"/>
      <c r="I21" s="84"/>
      <c r="J21" s="69">
        <f>SUM(J22,J27,J32,J36)</f>
        <v>4</v>
      </c>
      <c r="K21" s="69"/>
    </row>
    <row r="22" spans="1:11" ht="25.5" x14ac:dyDescent="0.25">
      <c r="A22" s="71" t="s">
        <v>172</v>
      </c>
      <c r="B22" s="72" t="s">
        <v>459</v>
      </c>
      <c r="C22" s="138" t="s">
        <v>295</v>
      </c>
      <c r="D22" s="72"/>
      <c r="E22" s="85" t="str">
        <f>IF(AND(C23="",C24=""),"Please input % coverage",IF(C23+C24&gt;100%,"Please Check % Coverage",""))</f>
        <v>Please input % coverage</v>
      </c>
      <c r="F22" s="71"/>
      <c r="G22" s="71"/>
      <c r="H22" s="84"/>
      <c r="I22" s="84"/>
      <c r="J22" s="71">
        <f>SUM(J23:J24)</f>
        <v>2</v>
      </c>
      <c r="K22" s="71"/>
    </row>
    <row r="23" spans="1:11" ht="25.5" x14ac:dyDescent="0.25">
      <c r="A23" s="172" t="s">
        <v>3</v>
      </c>
      <c r="B23" s="73" t="s">
        <v>460</v>
      </c>
      <c r="C23" s="185"/>
      <c r="D23" s="2"/>
      <c r="E23" s="87" t="s">
        <v>56</v>
      </c>
      <c r="F23" s="171" t="s">
        <v>156</v>
      </c>
      <c r="G23" s="172" t="str">
        <f>IF(D23="Y","OK",(IF(D23="NA","NA","NOK")))</f>
        <v>NOK</v>
      </c>
      <c r="H23" s="84"/>
      <c r="I23" s="84"/>
      <c r="J23" s="172" t="s">
        <v>5</v>
      </c>
      <c r="K23" s="3"/>
    </row>
    <row r="24" spans="1:11" ht="25.5" x14ac:dyDescent="0.25">
      <c r="A24" s="172" t="s">
        <v>14</v>
      </c>
      <c r="B24" s="73" t="s">
        <v>173</v>
      </c>
      <c r="C24" s="112"/>
      <c r="D24" s="2"/>
      <c r="E24" s="87" t="s">
        <v>56</v>
      </c>
      <c r="F24" s="171">
        <f>H24</f>
        <v>0</v>
      </c>
      <c r="G24" s="86"/>
      <c r="H24" s="84">
        <f>IF(D24="Y",IF(2*C24&gt;2,2,IF(C24&lt;0.15,0,IF(C24&gt;0.85,2,C24*2))),0)</f>
        <v>0</v>
      </c>
      <c r="I24" s="84">
        <f>IF(D24="NA",J24,0)</f>
        <v>0</v>
      </c>
      <c r="J24" s="172">
        <v>2</v>
      </c>
      <c r="K24" s="3"/>
    </row>
    <row r="25" spans="1:11" x14ac:dyDescent="0.25">
      <c r="B25" s="74"/>
      <c r="C25" s="87"/>
      <c r="D25" s="87"/>
      <c r="E25" s="88" t="s">
        <v>175</v>
      </c>
      <c r="F25" s="171">
        <f>SUM(F24)</f>
        <v>0</v>
      </c>
      <c r="H25" s="84"/>
      <c r="I25" s="84"/>
    </row>
    <row r="26" spans="1:11" x14ac:dyDescent="0.25">
      <c r="B26" s="75"/>
      <c r="C26" s="87"/>
      <c r="D26" s="87"/>
      <c r="H26" s="84"/>
      <c r="I26" s="84"/>
    </row>
    <row r="27" spans="1:11" ht="38.25" x14ac:dyDescent="0.25">
      <c r="A27" s="71" t="s">
        <v>176</v>
      </c>
      <c r="B27" s="72" t="s">
        <v>461</v>
      </c>
      <c r="C27" s="138" t="s">
        <v>295</v>
      </c>
      <c r="D27" s="72"/>
      <c r="E27" s="85" t="str">
        <f>IF(AND(C28="",C29=""),"Please input % coverage",IF(C28+C29&gt;100%,"Please Check % Coverage",""))</f>
        <v>Please input % coverage</v>
      </c>
      <c r="F27" s="71"/>
      <c r="G27" s="71"/>
      <c r="H27" s="84"/>
      <c r="I27" s="84"/>
      <c r="J27" s="71">
        <f>SUM(J28:J29)</f>
        <v>1</v>
      </c>
      <c r="K27" s="71"/>
    </row>
    <row r="28" spans="1:11" ht="25.5" x14ac:dyDescent="0.25">
      <c r="A28" s="172" t="s">
        <v>3</v>
      </c>
      <c r="B28" s="73" t="s">
        <v>320</v>
      </c>
      <c r="C28" s="111"/>
      <c r="D28" s="3"/>
      <c r="E28" s="87" t="s">
        <v>15</v>
      </c>
      <c r="F28" s="296">
        <f>IF(SUM(H28:H29)&gt;1,1,SUM(H28:H29))</f>
        <v>0</v>
      </c>
      <c r="G28" s="86"/>
      <c r="H28" s="84">
        <f>IF(D28="Y",IF(1*C28&gt;1,1,IF(C28&lt;0.15,0,IF(C28&gt;0.85,1,C28*1))),0)</f>
        <v>0</v>
      </c>
      <c r="I28" s="84"/>
      <c r="J28" s="297">
        <v>1</v>
      </c>
      <c r="K28" s="3"/>
    </row>
    <row r="29" spans="1:11" ht="38.25" x14ac:dyDescent="0.25">
      <c r="A29" s="172" t="s">
        <v>6</v>
      </c>
      <c r="B29" s="73" t="s">
        <v>462</v>
      </c>
      <c r="C29" s="111"/>
      <c r="D29" s="3"/>
      <c r="E29" s="87" t="s">
        <v>15</v>
      </c>
      <c r="F29" s="296"/>
      <c r="H29" s="84">
        <f>IF(D29="Y",IF(0.5*C29&gt;0.5,0.5,IF(C29&lt;0.15,0,IF(C29&gt;0.85,0.5,C29*0.5))),0)</f>
        <v>0</v>
      </c>
      <c r="I29" s="84"/>
      <c r="J29" s="297"/>
      <c r="K29" s="3"/>
    </row>
    <row r="30" spans="1:11" x14ac:dyDescent="0.25">
      <c r="E30" s="88" t="s">
        <v>177</v>
      </c>
      <c r="F30" s="171">
        <f>SUM(F28)</f>
        <v>0</v>
      </c>
      <c r="H30" s="84"/>
      <c r="I30" s="84"/>
    </row>
    <row r="31" spans="1:11" x14ac:dyDescent="0.25">
      <c r="H31" s="84"/>
      <c r="I31" s="84"/>
    </row>
    <row r="32" spans="1:11" x14ac:dyDescent="0.25">
      <c r="A32" s="71" t="s">
        <v>178</v>
      </c>
      <c r="B32" s="72" t="s">
        <v>179</v>
      </c>
      <c r="C32" s="72"/>
      <c r="D32" s="72"/>
      <c r="E32" s="85"/>
      <c r="F32" s="71"/>
      <c r="G32" s="71"/>
      <c r="H32" s="84"/>
      <c r="I32" s="84"/>
      <c r="J32" s="98" t="s">
        <v>156</v>
      </c>
      <c r="K32" s="71"/>
    </row>
    <row r="33" spans="1:11" ht="25.5" x14ac:dyDescent="0.25">
      <c r="A33" s="172" t="s">
        <v>3</v>
      </c>
      <c r="B33" s="186" t="s">
        <v>404</v>
      </c>
      <c r="C33" s="3"/>
      <c r="D33" s="87" t="s">
        <v>15</v>
      </c>
      <c r="F33" s="171" t="s">
        <v>156</v>
      </c>
      <c r="G33" s="86" t="str">
        <f>IF(C33="Y","OK",(IF(C33="NA","NA","NOK")))</f>
        <v>NOK</v>
      </c>
      <c r="H33" s="84"/>
      <c r="I33" s="84"/>
      <c r="J33" s="172" t="s">
        <v>5</v>
      </c>
      <c r="K33" s="3"/>
    </row>
    <row r="34" spans="1:11" x14ac:dyDescent="0.25">
      <c r="E34" s="88" t="s">
        <v>181</v>
      </c>
      <c r="F34" s="171" t="s">
        <v>156</v>
      </c>
      <c r="H34" s="84"/>
      <c r="I34" s="84"/>
    </row>
    <row r="35" spans="1:11" x14ac:dyDescent="0.25">
      <c r="H35" s="84"/>
      <c r="I35" s="84"/>
    </row>
    <row r="36" spans="1:11" ht="51" x14ac:dyDescent="0.25">
      <c r="A36" s="71" t="s">
        <v>180</v>
      </c>
      <c r="B36" s="72" t="s">
        <v>463</v>
      </c>
      <c r="C36" s="138" t="s">
        <v>295</v>
      </c>
      <c r="D36" s="72"/>
      <c r="E36" s="85" t="str">
        <f>IF(AND(C37="",C38="",C39=""),"Please input % coverage",IF(C37+C38+C39&gt;100%,"Please Check % Coverage",""))</f>
        <v>Please input % coverage</v>
      </c>
      <c r="F36" s="71"/>
      <c r="G36" s="71"/>
      <c r="H36" s="84"/>
      <c r="I36" s="84"/>
      <c r="J36" s="71">
        <f>SUM(J37:J38)</f>
        <v>1</v>
      </c>
      <c r="K36" s="71"/>
    </row>
    <row r="37" spans="1:11" ht="51" x14ac:dyDescent="0.25">
      <c r="A37" s="172" t="s">
        <v>3</v>
      </c>
      <c r="B37" s="73" t="s">
        <v>464</v>
      </c>
      <c r="C37" s="111"/>
      <c r="D37" s="3"/>
      <c r="E37" s="87" t="s">
        <v>15</v>
      </c>
      <c r="F37" s="296">
        <f>IF(SUM(H37:H39)&gt;1,1,SUM(H37:H39))</f>
        <v>0</v>
      </c>
      <c r="G37" s="298"/>
      <c r="H37" s="84">
        <f>IF(D37="Y",IF(1*C37&gt;1,1,IF(C37&lt;0.15,0,IF(C37&gt;0.85,1,C37*1))),0)</f>
        <v>0</v>
      </c>
      <c r="I37" s="84"/>
      <c r="J37" s="297">
        <v>1</v>
      </c>
      <c r="K37" s="3"/>
    </row>
    <row r="38" spans="1:11" ht="51" x14ac:dyDescent="0.25">
      <c r="A38" s="172" t="s">
        <v>14</v>
      </c>
      <c r="B38" s="187" t="s">
        <v>321</v>
      </c>
      <c r="C38" s="111"/>
      <c r="D38" s="3"/>
      <c r="E38" s="87" t="s">
        <v>15</v>
      </c>
      <c r="F38" s="296"/>
      <c r="G38" s="298"/>
      <c r="H38" s="84">
        <f>IF(D38="Y",IF(1*C38&gt;1,1,IF(C38&lt;0.15,0,IF(C38&gt;0.85,1,C38*1))),0)</f>
        <v>0</v>
      </c>
      <c r="I38" s="84"/>
      <c r="J38" s="297"/>
      <c r="K38" s="3"/>
    </row>
    <row r="39" spans="1:11" ht="25.5" x14ac:dyDescent="0.25">
      <c r="A39" s="172" t="s">
        <v>7</v>
      </c>
      <c r="B39" s="187" t="s">
        <v>320</v>
      </c>
      <c r="C39" s="111"/>
      <c r="D39" s="3"/>
      <c r="E39" s="87" t="s">
        <v>15</v>
      </c>
      <c r="F39" s="296"/>
      <c r="G39" s="298"/>
      <c r="H39" s="84">
        <f>IF(D39="Y",IF(1*C39&gt;1,1,IF(C39&lt;0.15,0,IF(C39&gt;0.85,1,C39*1))),0)</f>
        <v>0</v>
      </c>
      <c r="I39" s="84"/>
      <c r="J39" s="297"/>
      <c r="K39" s="3"/>
    </row>
    <row r="40" spans="1:11" x14ac:dyDescent="0.25">
      <c r="E40" s="88" t="s">
        <v>182</v>
      </c>
      <c r="F40" s="172">
        <f>SUM(F37:F38)</f>
        <v>0</v>
      </c>
      <c r="H40" s="84"/>
      <c r="I40" s="84"/>
    </row>
    <row r="41" spans="1:11" x14ac:dyDescent="0.25">
      <c r="H41" s="84"/>
      <c r="I41" s="84"/>
    </row>
    <row r="42" spans="1:11" x14ac:dyDescent="0.25">
      <c r="A42" s="69">
        <v>2.4</v>
      </c>
      <c r="B42" s="70" t="s">
        <v>326</v>
      </c>
      <c r="C42" s="82"/>
      <c r="D42" s="82"/>
      <c r="E42" s="82"/>
      <c r="F42" s="102">
        <f>SUM(F47,F52,F59,F63,F68)</f>
        <v>0</v>
      </c>
      <c r="G42" s="69"/>
      <c r="H42" s="84"/>
      <c r="I42" s="84"/>
      <c r="J42" s="102">
        <f>SUM(J43,J49,J54,J61,J65)</f>
        <v>7</v>
      </c>
      <c r="K42" s="69"/>
    </row>
    <row r="43" spans="1:11" ht="25.5" x14ac:dyDescent="0.25">
      <c r="A43" s="71" t="s">
        <v>183</v>
      </c>
      <c r="B43" s="72" t="s">
        <v>344</v>
      </c>
      <c r="C43" s="72"/>
      <c r="D43" s="72"/>
      <c r="E43" s="85" t="str">
        <f>IF(AND(C46="",C45=""),"Please input % coverage",IF(C46+C45&gt;100%,"Please Check % Coverage",""))</f>
        <v>Please input % coverage</v>
      </c>
      <c r="F43" s="71"/>
      <c r="G43" s="71"/>
      <c r="H43" s="84"/>
      <c r="I43" s="84"/>
      <c r="J43" s="71">
        <f>SUM(J45)</f>
        <v>1</v>
      </c>
      <c r="K43" s="71"/>
    </row>
    <row r="44" spans="1:11" s="194" customFormat="1" x14ac:dyDescent="0.25">
      <c r="A44" s="218"/>
      <c r="B44" s="148" t="s">
        <v>405</v>
      </c>
      <c r="C44" s="201"/>
      <c r="D44" s="222"/>
      <c r="E44" s="223"/>
      <c r="F44" s="218"/>
      <c r="G44" s="218"/>
      <c r="H44" s="216"/>
      <c r="I44" s="216"/>
      <c r="J44" s="218"/>
      <c r="K44" s="222"/>
    </row>
    <row r="45" spans="1:11" ht="25.5" x14ac:dyDescent="0.25">
      <c r="A45" s="172" t="s">
        <v>3</v>
      </c>
      <c r="B45" s="73" t="s">
        <v>465</v>
      </c>
      <c r="C45" s="111"/>
      <c r="D45" s="3"/>
      <c r="E45" s="87" t="s">
        <v>56</v>
      </c>
      <c r="F45" s="296">
        <f>IF(SUM(H45:H46)&gt;1,1,SUM(H45:H46))</f>
        <v>0</v>
      </c>
      <c r="G45" s="297"/>
      <c r="H45" s="84">
        <f>IF(D45="Y",IF(1*C45&gt;1,1,IF(C45&lt;0.15,0,IF(C45&gt;0.85,1,C45*1))),0)</f>
        <v>0</v>
      </c>
      <c r="I45" s="299">
        <f>IF(AND(D45="NA",D46="NA"),J45,0)</f>
        <v>0</v>
      </c>
      <c r="J45" s="297">
        <v>1</v>
      </c>
      <c r="K45" s="3"/>
    </row>
    <row r="46" spans="1:11" ht="25.5" x14ac:dyDescent="0.25">
      <c r="A46" s="172" t="s">
        <v>6</v>
      </c>
      <c r="B46" s="73" t="s">
        <v>406</v>
      </c>
      <c r="C46" s="111"/>
      <c r="D46" s="3"/>
      <c r="E46" s="87" t="s">
        <v>56</v>
      </c>
      <c r="F46" s="296"/>
      <c r="G46" s="297"/>
      <c r="H46" s="84">
        <f>IF(D46="Y",IF(0.5*C46&gt;0.5,0.5,IF(C46&lt;0.15,0,IF(C46&gt;0.85,0.5,C46*0.5))),0)</f>
        <v>0</v>
      </c>
      <c r="I46" s="299"/>
      <c r="J46" s="297"/>
      <c r="K46" s="3"/>
    </row>
    <row r="47" spans="1:11" x14ac:dyDescent="0.25">
      <c r="E47" s="88" t="s">
        <v>184</v>
      </c>
      <c r="F47" s="171">
        <f>SUM(F45)</f>
        <v>0</v>
      </c>
      <c r="H47" s="84"/>
      <c r="I47" s="84"/>
    </row>
    <row r="48" spans="1:11" x14ac:dyDescent="0.25">
      <c r="H48" s="84"/>
      <c r="I48" s="84"/>
    </row>
    <row r="49" spans="1:11" ht="25.5" x14ac:dyDescent="0.25">
      <c r="A49" s="71" t="s">
        <v>185</v>
      </c>
      <c r="B49" s="72" t="s">
        <v>345</v>
      </c>
      <c r="C49" s="72"/>
      <c r="D49" s="72"/>
      <c r="E49" s="85"/>
      <c r="F49" s="71"/>
      <c r="G49" s="71"/>
      <c r="H49" s="84"/>
      <c r="I49" s="84"/>
      <c r="J49" s="71">
        <f>SUM(J50:J51)</f>
        <v>1</v>
      </c>
      <c r="K49" s="71"/>
    </row>
    <row r="50" spans="1:11" ht="38.25" x14ac:dyDescent="0.25">
      <c r="A50" s="172" t="s">
        <v>3</v>
      </c>
      <c r="B50" s="73" t="s">
        <v>188</v>
      </c>
      <c r="C50" s="3"/>
      <c r="D50" s="87" t="s">
        <v>56</v>
      </c>
      <c r="F50" s="171">
        <f>IF(C50="Y",0.5,0)</f>
        <v>0</v>
      </c>
      <c r="H50" s="84"/>
      <c r="I50" s="84">
        <f>IF(C50="NA",J50,0)</f>
        <v>0</v>
      </c>
      <c r="J50" s="172">
        <v>0.5</v>
      </c>
      <c r="K50" s="3"/>
    </row>
    <row r="51" spans="1:11" ht="25.5" x14ac:dyDescent="0.25">
      <c r="A51" s="172" t="s">
        <v>6</v>
      </c>
      <c r="B51" s="73" t="s">
        <v>346</v>
      </c>
      <c r="C51" s="3"/>
      <c r="D51" s="87" t="s">
        <v>56</v>
      </c>
      <c r="F51" s="171">
        <f>IF(C51="Y",0.5,0)</f>
        <v>0</v>
      </c>
      <c r="H51" s="84"/>
      <c r="I51" s="84">
        <f>IF(C51="NA",J51,0)</f>
        <v>0</v>
      </c>
      <c r="J51" s="172">
        <v>0.5</v>
      </c>
      <c r="K51" s="3"/>
    </row>
    <row r="52" spans="1:11" x14ac:dyDescent="0.25">
      <c r="E52" s="88" t="s">
        <v>186</v>
      </c>
      <c r="F52" s="171">
        <f>SUM(F50:F51)</f>
        <v>0</v>
      </c>
      <c r="H52" s="84"/>
      <c r="I52" s="84"/>
    </row>
    <row r="53" spans="1:11" x14ac:dyDescent="0.25">
      <c r="H53" s="84"/>
      <c r="I53" s="84"/>
    </row>
    <row r="54" spans="1:11" ht="25.5" x14ac:dyDescent="0.25">
      <c r="A54" s="71" t="s">
        <v>187</v>
      </c>
      <c r="B54" s="72" t="s">
        <v>466</v>
      </c>
      <c r="C54" s="72"/>
      <c r="D54" s="72"/>
      <c r="E54" s="85"/>
      <c r="F54" s="71"/>
      <c r="G54" s="71"/>
      <c r="H54" s="84"/>
      <c r="I54" s="84"/>
      <c r="J54" s="71">
        <f>SUM(J55:J58)</f>
        <v>3.5</v>
      </c>
      <c r="K54" s="71"/>
    </row>
    <row r="55" spans="1:11" ht="25.5" x14ac:dyDescent="0.25">
      <c r="A55" s="172" t="s">
        <v>3</v>
      </c>
      <c r="B55" s="73" t="s">
        <v>191</v>
      </c>
      <c r="C55" s="3"/>
      <c r="D55" s="87" t="s">
        <v>56</v>
      </c>
      <c r="F55" s="171">
        <f>IF(C55="Y",1.5,0)</f>
        <v>0</v>
      </c>
      <c r="H55" s="84"/>
      <c r="I55" s="84">
        <f>IF(C55="NA",J55,0)</f>
        <v>0</v>
      </c>
      <c r="J55" s="172">
        <v>1.5</v>
      </c>
      <c r="K55" s="3"/>
    </row>
    <row r="56" spans="1:11" ht="38.25" x14ac:dyDescent="0.25">
      <c r="A56" s="172" t="s">
        <v>6</v>
      </c>
      <c r="B56" s="73" t="s">
        <v>467</v>
      </c>
      <c r="C56" s="3"/>
      <c r="D56" s="87" t="s">
        <v>56</v>
      </c>
      <c r="F56" s="172">
        <f>IF(AND(C55="Y",C56="Y"),0.5,0)</f>
        <v>0</v>
      </c>
      <c r="H56" s="84"/>
      <c r="I56" s="84">
        <f t="shared" ref="I56:I58" si="0">IF(C56="NA",J56,0)</f>
        <v>0</v>
      </c>
      <c r="J56" s="172">
        <v>0.5</v>
      </c>
      <c r="K56" s="3"/>
    </row>
    <row r="57" spans="1:11" ht="38.25" x14ac:dyDescent="0.25">
      <c r="A57" s="172" t="s">
        <v>7</v>
      </c>
      <c r="B57" s="73" t="s">
        <v>192</v>
      </c>
      <c r="C57" s="3"/>
      <c r="D57" s="87" t="s">
        <v>56</v>
      </c>
      <c r="F57" s="172">
        <f>IF(C57="Y",1,0)</f>
        <v>0</v>
      </c>
      <c r="H57" s="84"/>
      <c r="I57" s="84">
        <f t="shared" si="0"/>
        <v>0</v>
      </c>
      <c r="J57" s="172">
        <v>1</v>
      </c>
      <c r="K57" s="3"/>
    </row>
    <row r="58" spans="1:11" ht="38.25" x14ac:dyDescent="0.25">
      <c r="A58" s="172" t="s">
        <v>10</v>
      </c>
      <c r="B58" s="73" t="s">
        <v>193</v>
      </c>
      <c r="C58" s="3"/>
      <c r="D58" s="87" t="s">
        <v>56</v>
      </c>
      <c r="F58" s="172">
        <f>IF(C58="Y",0.5,0)</f>
        <v>0</v>
      </c>
      <c r="H58" s="84"/>
      <c r="I58" s="84">
        <f t="shared" si="0"/>
        <v>0</v>
      </c>
      <c r="J58" s="172">
        <v>0.5</v>
      </c>
      <c r="K58" s="3"/>
    </row>
    <row r="59" spans="1:11" x14ac:dyDescent="0.25">
      <c r="E59" s="88" t="s">
        <v>189</v>
      </c>
      <c r="F59" s="171">
        <f>SUM(F55:F58)</f>
        <v>0</v>
      </c>
      <c r="H59" s="84"/>
      <c r="I59" s="84"/>
    </row>
    <row r="60" spans="1:11" x14ac:dyDescent="0.25">
      <c r="F60" s="172" t="s">
        <v>200</v>
      </c>
      <c r="H60" s="84"/>
      <c r="I60" s="84"/>
    </row>
    <row r="61" spans="1:11" ht="25.5" x14ac:dyDescent="0.25">
      <c r="A61" s="71" t="s">
        <v>190</v>
      </c>
      <c r="B61" s="72" t="s">
        <v>468</v>
      </c>
      <c r="C61" s="72"/>
      <c r="D61" s="72"/>
      <c r="E61" s="85"/>
      <c r="F61" s="71"/>
      <c r="G61" s="71"/>
      <c r="H61" s="84"/>
      <c r="I61" s="84"/>
      <c r="J61" s="71">
        <f>SUM(J62)</f>
        <v>0.5</v>
      </c>
      <c r="K61" s="71"/>
    </row>
    <row r="62" spans="1:11" ht="25.5" x14ac:dyDescent="0.25">
      <c r="A62" s="172" t="s">
        <v>3</v>
      </c>
      <c r="B62" s="73" t="s">
        <v>196</v>
      </c>
      <c r="C62" s="3"/>
      <c r="D62" s="87" t="s">
        <v>56</v>
      </c>
      <c r="F62" s="171">
        <f>IF(C62="Y",0.5,0)</f>
        <v>0</v>
      </c>
      <c r="H62" s="84"/>
      <c r="I62" s="84">
        <f>IF(C62="NA",J62,0)</f>
        <v>0</v>
      </c>
      <c r="J62" s="172">
        <v>0.5</v>
      </c>
      <c r="K62" s="3"/>
    </row>
    <row r="63" spans="1:11" x14ac:dyDescent="0.25">
      <c r="E63" s="88" t="s">
        <v>385</v>
      </c>
      <c r="F63" s="171">
        <f>SUM(F62)</f>
        <v>0</v>
      </c>
      <c r="H63" s="84"/>
      <c r="I63" s="84"/>
    </row>
    <row r="64" spans="1:11" x14ac:dyDescent="0.25">
      <c r="H64" s="84"/>
      <c r="I64" s="84"/>
    </row>
    <row r="65" spans="1:11" ht="25.5" x14ac:dyDescent="0.25">
      <c r="A65" s="71" t="s">
        <v>194</v>
      </c>
      <c r="B65" s="72" t="s">
        <v>469</v>
      </c>
      <c r="C65" s="138" t="s">
        <v>295</v>
      </c>
      <c r="D65" s="72"/>
      <c r="E65" s="85" t="str">
        <f>IF(AND(C66="",C67=""),"Please input % coverage",IF(C66+C67&gt;100%,"Please Check % Coverage",""))</f>
        <v>Please input % coverage</v>
      </c>
      <c r="F65" s="71"/>
      <c r="G65" s="71"/>
      <c r="H65" s="84"/>
      <c r="I65" s="84"/>
      <c r="J65" s="71">
        <f>SUM(J66)</f>
        <v>1</v>
      </c>
      <c r="K65" s="71"/>
    </row>
    <row r="66" spans="1:11" ht="51" x14ac:dyDescent="0.25">
      <c r="A66" s="172" t="s">
        <v>3</v>
      </c>
      <c r="B66" s="73" t="s">
        <v>470</v>
      </c>
      <c r="C66" s="111"/>
      <c r="D66" s="3"/>
      <c r="E66" s="87" t="s">
        <v>56</v>
      </c>
      <c r="F66" s="296">
        <f>IF(SUM(H66:H67)&gt;1,1,SUM(H66:H67))</f>
        <v>0</v>
      </c>
      <c r="H66" s="84">
        <f>IF(D66="Y",IF(1*C66&gt;1,1,IF(C66&lt;0.15,0,IF(C66&gt;0.85,1,C66*1))),0)</f>
        <v>0</v>
      </c>
      <c r="I66" s="299">
        <f>IF(AND(D66="NA",D67="NA"),J66,0)</f>
        <v>0</v>
      </c>
      <c r="J66" s="297">
        <v>1</v>
      </c>
      <c r="K66" s="3"/>
    </row>
    <row r="67" spans="1:11" ht="51" x14ac:dyDescent="0.25">
      <c r="A67" s="172" t="s">
        <v>6</v>
      </c>
      <c r="B67" s="73" t="s">
        <v>407</v>
      </c>
      <c r="C67" s="111"/>
      <c r="D67" s="3"/>
      <c r="E67" s="87" t="s">
        <v>56</v>
      </c>
      <c r="F67" s="296"/>
      <c r="H67" s="84">
        <f>IF(D67="Y",IF(1*C67&gt;1,1,IF(C67&lt;0.15,0,IF(C67&gt;0.85,1,C67*1))),0)</f>
        <v>0</v>
      </c>
      <c r="I67" s="299"/>
      <c r="J67" s="297"/>
      <c r="K67" s="3"/>
    </row>
    <row r="68" spans="1:11" x14ac:dyDescent="0.25">
      <c r="E68" s="88" t="s">
        <v>195</v>
      </c>
      <c r="F68" s="171">
        <f>SUM(F66)</f>
        <v>0</v>
      </c>
      <c r="H68" s="84"/>
      <c r="I68" s="84"/>
    </row>
    <row r="69" spans="1:11" x14ac:dyDescent="0.25">
      <c r="H69" s="84"/>
      <c r="I69" s="84"/>
    </row>
    <row r="70" spans="1:11" x14ac:dyDescent="0.25">
      <c r="A70" s="69">
        <v>2.5</v>
      </c>
      <c r="B70" s="70" t="s">
        <v>498</v>
      </c>
      <c r="C70" s="82"/>
      <c r="D70" s="82"/>
      <c r="E70" s="82"/>
      <c r="F70" s="69">
        <f>SUM(F77)</f>
        <v>0</v>
      </c>
      <c r="G70" s="69"/>
      <c r="H70" s="84"/>
      <c r="I70" s="84"/>
      <c r="J70" s="69">
        <v>4</v>
      </c>
      <c r="K70" s="69"/>
    </row>
    <row r="71" spans="1:11" x14ac:dyDescent="0.25">
      <c r="A71" s="71" t="s">
        <v>197</v>
      </c>
      <c r="B71" s="72" t="s">
        <v>198</v>
      </c>
      <c r="C71" s="72"/>
      <c r="D71" s="72"/>
      <c r="E71" s="85"/>
      <c r="F71" s="71"/>
      <c r="G71" s="71"/>
      <c r="H71" s="84"/>
      <c r="I71" s="84"/>
      <c r="J71" s="71">
        <v>4</v>
      </c>
      <c r="K71" s="71"/>
    </row>
    <row r="72" spans="1:11" ht="38.25" x14ac:dyDescent="0.25">
      <c r="A72" s="172" t="s">
        <v>3</v>
      </c>
      <c r="B72" s="73" t="s">
        <v>474</v>
      </c>
      <c r="C72" s="3"/>
      <c r="D72" s="87" t="s">
        <v>56</v>
      </c>
      <c r="F72" s="171" t="s">
        <v>156</v>
      </c>
      <c r="G72" s="172" t="str">
        <f>IF(C72="Y","OK",(IF(C72="NA","NA","NOK")))</f>
        <v>NOK</v>
      </c>
      <c r="H72" s="84"/>
      <c r="I72" s="84"/>
      <c r="J72" s="172" t="s">
        <v>5</v>
      </c>
      <c r="K72" s="3"/>
    </row>
    <row r="73" spans="1:11" ht="51" x14ac:dyDescent="0.25">
      <c r="A73" s="172" t="s">
        <v>6</v>
      </c>
      <c r="B73" s="73" t="s">
        <v>408</v>
      </c>
      <c r="C73" s="3"/>
      <c r="D73" s="87" t="s">
        <v>56</v>
      </c>
      <c r="F73" s="297">
        <f>IF(SUM(H73:H76)&gt;4,4,SUM(H73:H76))</f>
        <v>0</v>
      </c>
      <c r="H73" s="84">
        <f>IF(C73="Y",2,0)</f>
        <v>0</v>
      </c>
      <c r="I73" s="299">
        <f>IF((IF(C73="NA",J73,0)+IF(C74="NA",J74,0)+IF(C75="NA",J75,0)+IF(C76="NA",J76,0))&gt;4,4,IF(C73="NA",J73,0)+IF(C74="NA",J74,0)+IF(C75="NA",J75,0)+IF(C76="NA",J76,0))</f>
        <v>0</v>
      </c>
      <c r="J73" s="172">
        <v>2</v>
      </c>
      <c r="K73" s="3"/>
    </row>
    <row r="74" spans="1:11" ht="25.5" x14ac:dyDescent="0.25">
      <c r="A74" s="172" t="s">
        <v>7</v>
      </c>
      <c r="B74" s="73" t="s">
        <v>473</v>
      </c>
      <c r="C74" s="3"/>
      <c r="D74" s="87" t="s">
        <v>56</v>
      </c>
      <c r="F74" s="297"/>
      <c r="H74" s="84">
        <f>IF(C74="Y",1,0)</f>
        <v>0</v>
      </c>
      <c r="I74" s="299"/>
      <c r="J74" s="172">
        <v>1</v>
      </c>
      <c r="K74" s="3"/>
    </row>
    <row r="75" spans="1:11" x14ac:dyDescent="0.25">
      <c r="A75" s="172" t="s">
        <v>10</v>
      </c>
      <c r="B75" s="73" t="s">
        <v>472</v>
      </c>
      <c r="C75" s="3"/>
      <c r="D75" s="87" t="s">
        <v>56</v>
      </c>
      <c r="F75" s="297"/>
      <c r="H75" s="84">
        <f>IF(C75="Y",1,0)</f>
        <v>0</v>
      </c>
      <c r="I75" s="299"/>
      <c r="J75" s="172">
        <v>1</v>
      </c>
      <c r="K75" s="3"/>
    </row>
    <row r="76" spans="1:11" ht="25.5" x14ac:dyDescent="0.25">
      <c r="A76" s="172" t="s">
        <v>11</v>
      </c>
      <c r="B76" s="73" t="s">
        <v>471</v>
      </c>
      <c r="C76" s="3"/>
      <c r="D76" s="87" t="s">
        <v>56</v>
      </c>
      <c r="F76" s="297"/>
      <c r="H76" s="84">
        <f>IF(C76="Y",1,0)</f>
        <v>0</v>
      </c>
      <c r="I76" s="299"/>
      <c r="J76" s="172">
        <v>1</v>
      </c>
      <c r="K76" s="3"/>
    </row>
    <row r="77" spans="1:11" x14ac:dyDescent="0.25">
      <c r="E77" s="88" t="s">
        <v>199</v>
      </c>
      <c r="F77" s="172">
        <f>SUM(F72:F76)</f>
        <v>0</v>
      </c>
      <c r="H77" s="84"/>
      <c r="I77" s="84"/>
    </row>
    <row r="78" spans="1:11" x14ac:dyDescent="0.25">
      <c r="H78" s="84"/>
      <c r="I78" s="84"/>
    </row>
    <row r="79" spans="1:11" x14ac:dyDescent="0.25">
      <c r="H79" s="172"/>
      <c r="I79" s="172"/>
      <c r="J79" s="172">
        <v>0</v>
      </c>
    </row>
    <row r="80" spans="1:11" x14ac:dyDescent="0.25">
      <c r="E80" s="88" t="s">
        <v>161</v>
      </c>
      <c r="F80" s="89">
        <f>SUM(F6,F15,F21,F42,F70)</f>
        <v>0</v>
      </c>
      <c r="G80" s="90" t="s">
        <v>160</v>
      </c>
      <c r="I80" s="90"/>
      <c r="J80" s="92" t="s">
        <v>2</v>
      </c>
    </row>
    <row r="81" spans="5:10" x14ac:dyDescent="0.25">
      <c r="E81" s="88" t="s">
        <v>245</v>
      </c>
      <c r="F81" s="92">
        <v>0</v>
      </c>
      <c r="G81" s="92">
        <f>SUM(I6:I78)</f>
        <v>0</v>
      </c>
      <c r="I81" s="90"/>
      <c r="J81" s="172">
        <f>SUM(J6,J15,J21,J42,J70)</f>
        <v>18.5</v>
      </c>
    </row>
  </sheetData>
  <sheetProtection algorithmName="SHA-512" hashValue="jOQJwv2Cv7zTPpTp6hsd2ExPOTGtSyKycI7fw4bLdXrEO+GSHnKVtQSZJNesr3Cxb9C3SLrvPhIlgU1gOvTODg==" saltValue="eMlf2/v06nSY/v5ctxxeZQ==" spinCount="100000" sheet="1" selectLockedCells="1"/>
  <protectedRanges>
    <protectedRange sqref="D12 D8" name="input2_6"/>
    <protectedRange sqref="D17 D37:D39 C33 D23:D24 D28:D29 D45:D46 C72:C76 C50:C51 C55:C58 C62 D66:D67" name="input2_23"/>
    <protectedRange sqref="K8" name="input2_23_1"/>
    <protectedRange sqref="K12" name="input2_23_2"/>
    <protectedRange sqref="K17:K18" name="input2_23_3"/>
    <protectedRange sqref="K23:K24" name="input2_23_4"/>
    <protectedRange sqref="K28:K29" name="input2_23_5"/>
    <protectedRange sqref="K33" name="input2_23_6"/>
    <protectedRange sqref="K37:K38" name="input2_23_7"/>
    <protectedRange sqref="K39" name="input2_23_8"/>
    <protectedRange sqref="K45:K46" name="input2_23_9"/>
    <protectedRange sqref="K50:K51" name="input2_23_10"/>
    <protectedRange sqref="K55:K58" name="input2_23_12"/>
    <protectedRange sqref="K62" name="input2_23_13"/>
    <protectedRange sqref="K66:K67" name="input2_23_14"/>
    <protectedRange sqref="K72:K76" name="input2_23_15"/>
  </protectedRanges>
  <mergeCells count="21">
    <mergeCell ref="F73:F76"/>
    <mergeCell ref="G45:G46"/>
    <mergeCell ref="G37:G39"/>
    <mergeCell ref="F66:F67"/>
    <mergeCell ref="J66:J67"/>
    <mergeCell ref="J45:J46"/>
    <mergeCell ref="F45:F46"/>
    <mergeCell ref="I73:I76"/>
    <mergeCell ref="I66:I67"/>
    <mergeCell ref="I45:I46"/>
    <mergeCell ref="F17:F18"/>
    <mergeCell ref="J17:J18"/>
    <mergeCell ref="J37:J39"/>
    <mergeCell ref="F37:F39"/>
    <mergeCell ref="J28:J29"/>
    <mergeCell ref="F28:F29"/>
    <mergeCell ref="J4:J5"/>
    <mergeCell ref="K4:K5"/>
    <mergeCell ref="A4:A5"/>
    <mergeCell ref="B4:B5"/>
    <mergeCell ref="E4:E5"/>
  </mergeCells>
  <conditionalFormatting sqref="G23">
    <cfRule type="expression" dxfId="117" priority="37">
      <formula>$G$23="OK"</formula>
    </cfRule>
    <cfRule type="expression" dxfId="116" priority="38">
      <formula>$G$23="NOK"</formula>
    </cfRule>
  </conditionalFormatting>
  <conditionalFormatting sqref="G33">
    <cfRule type="expression" dxfId="115" priority="35">
      <formula>$G$33="OK"</formula>
    </cfRule>
    <cfRule type="expression" dxfId="114" priority="36">
      <formula>$G$33="NOK"</formula>
    </cfRule>
  </conditionalFormatting>
  <conditionalFormatting sqref="G72">
    <cfRule type="expression" dxfId="113" priority="33">
      <formula>$G$72="OK"</formula>
    </cfRule>
    <cfRule type="expression" dxfId="112" priority="34">
      <formula>$G$72="NOK"</formula>
    </cfRule>
  </conditionalFormatting>
  <conditionalFormatting sqref="E27">
    <cfRule type="cellIs" dxfId="111" priority="20" operator="equal">
      <formula>"Please Check % Coverage"</formula>
    </cfRule>
    <cfRule type="cellIs" dxfId="110" priority="26" operator="equal">
      <formula>"Please input % coverage"</formula>
    </cfRule>
    <cfRule type="cellIs" dxfId="109" priority="6" operator="equal">
      <formula>"Please Check % Coverage"</formula>
    </cfRule>
  </conditionalFormatting>
  <conditionalFormatting sqref="E22">
    <cfRule type="cellIs" dxfId="108" priority="18" operator="equal">
      <formula>"Please Check % Coverage"</formula>
    </cfRule>
    <cfRule type="cellIs" dxfId="107" priority="19" operator="equal">
      <formula>"Please input % coverage"</formula>
    </cfRule>
  </conditionalFormatting>
  <conditionalFormatting sqref="E16">
    <cfRule type="cellIs" dxfId="106" priority="16" operator="equal">
      <formula>"Please Check % Coverage"</formula>
    </cfRule>
    <cfRule type="cellIs" dxfId="105" priority="17" operator="equal">
      <formula>"Please input % coverage"</formula>
    </cfRule>
  </conditionalFormatting>
  <conditionalFormatting sqref="E11">
    <cfRule type="cellIs" dxfId="104" priority="14" operator="equal">
      <formula>"Please Check % Coverage"</formula>
    </cfRule>
    <cfRule type="cellIs" dxfId="103" priority="15" operator="equal">
      <formula>"Please input % coverage"</formula>
    </cfRule>
  </conditionalFormatting>
  <conditionalFormatting sqref="E7">
    <cfRule type="cellIs" dxfId="102" priority="12" operator="equal">
      <formula>"Please Check % Coverage"</formula>
    </cfRule>
    <cfRule type="cellIs" dxfId="101" priority="13" operator="equal">
      <formula>"Please input % coverage"</formula>
    </cfRule>
  </conditionalFormatting>
  <conditionalFormatting sqref="E36">
    <cfRule type="cellIs" dxfId="100" priority="10" operator="equal">
      <formula>"Please Check % Coverage"</formula>
    </cfRule>
    <cfRule type="cellIs" dxfId="99" priority="11" operator="equal">
      <formula>"Please input % coverage"</formula>
    </cfRule>
    <cfRule type="cellIs" dxfId="98" priority="7" operator="equal">
      <formula>"Please Check % Coverage"</formula>
    </cfRule>
  </conditionalFormatting>
  <conditionalFormatting sqref="E65">
    <cfRule type="cellIs" dxfId="97" priority="8" operator="equal">
      <formula>"Please Check % Coverage"</formula>
    </cfRule>
    <cfRule type="cellIs" dxfId="96" priority="9" operator="equal">
      <formula>"Please input % coverage"</formula>
    </cfRule>
  </conditionalFormatting>
  <conditionalFormatting sqref="E7 E11 E16 E22 E27 E36 E65">
    <cfRule type="cellIs" dxfId="95" priority="5" operator="equal">
      <formula>"Please Check % Coverage"</formula>
    </cfRule>
  </conditionalFormatting>
  <conditionalFormatting sqref="E43">
    <cfRule type="cellIs" dxfId="94" priority="2" operator="equal">
      <formula>"Please Check % Coverage"</formula>
    </cfRule>
    <cfRule type="cellIs" dxfId="93" priority="3" operator="equal">
      <formula>"Please Check % Coverage"</formula>
    </cfRule>
    <cfRule type="cellIs" dxfId="92" priority="4" operator="equal">
      <formula>"Please input % coverage"</formula>
    </cfRule>
  </conditionalFormatting>
  <conditionalFormatting sqref="E43">
    <cfRule type="cellIs" dxfId="91" priority="1" operator="equal">
      <formula>"Please Check % Coverage"</formula>
    </cfRule>
  </conditionalFormatting>
  <dataValidations count="3">
    <dataValidation type="list" allowBlank="1" showInputMessage="1" showErrorMessage="1" sqref="C72:C76 D23:D24 D45:D46 C50:C51 C55:C58 C62 D66:D67" xr:uid="{F26E80A4-D25D-4D74-ABAC-89E359DBF0A7}">
      <formula1>"Y,N,NA"</formula1>
    </dataValidation>
    <dataValidation type="list" allowBlank="1" showInputMessage="1" showErrorMessage="1" sqref="D17:D18 D12 D8 D28:D29 C33" xr:uid="{2C772809-D6E3-43C4-AB34-7A92A696A15B}">
      <formula1>"Y,N"</formula1>
    </dataValidation>
    <dataValidation type="list" allowBlank="1" showInputMessage="1" showErrorMessage="1" sqref="D37:D39" xr:uid="{C96C824E-8A66-4B03-A3FA-83EDC24D304A}">
      <formula1>"Y,N,"</formula1>
    </dataValidation>
  </dataValidation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FC19F-B430-4D9C-92C5-138EFD9F5404}">
  <dimension ref="A1:K81"/>
  <sheetViews>
    <sheetView zoomScaleNormal="100" zoomScaleSheetLayoutView="100" workbookViewId="0">
      <pane ySplit="5" topLeftCell="A6" activePane="bottomLeft" state="frozen"/>
      <selection pane="bottomLeft" activeCell="C9" sqref="C9"/>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188" t="s">
        <v>141</v>
      </c>
      <c r="B1" s="188"/>
      <c r="C1" s="188"/>
      <c r="D1" s="188"/>
      <c r="E1" s="188"/>
      <c r="F1" s="188"/>
      <c r="G1" s="188"/>
      <c r="H1" s="188"/>
      <c r="I1" s="188"/>
      <c r="J1" s="188"/>
      <c r="K1" s="188"/>
    </row>
    <row r="3" spans="1:11" s="77" customFormat="1" ht="15" x14ac:dyDescent="0.25">
      <c r="A3" s="67"/>
      <c r="B3" s="68"/>
      <c r="C3" s="68"/>
      <c r="D3" s="68"/>
      <c r="E3" s="76"/>
      <c r="H3" s="78"/>
      <c r="I3" s="78"/>
    </row>
    <row r="4" spans="1:11" x14ac:dyDescent="0.25">
      <c r="A4" s="291"/>
      <c r="B4" s="292"/>
      <c r="C4" s="137"/>
      <c r="D4" s="79"/>
      <c r="E4" s="293" t="s">
        <v>24</v>
      </c>
      <c r="F4" s="291" t="s">
        <v>1</v>
      </c>
      <c r="G4" s="291" t="s">
        <v>55</v>
      </c>
      <c r="H4" s="80" t="s">
        <v>17</v>
      </c>
      <c r="I4" s="80" t="s">
        <v>17</v>
      </c>
      <c r="J4" s="293" t="s">
        <v>319</v>
      </c>
      <c r="K4" s="293" t="s">
        <v>315</v>
      </c>
    </row>
    <row r="5" spans="1:11" x14ac:dyDescent="0.25">
      <c r="A5" s="291"/>
      <c r="B5" s="292"/>
      <c r="C5" s="137"/>
      <c r="D5" s="79"/>
      <c r="E5" s="293"/>
      <c r="F5" s="291"/>
      <c r="G5" s="291"/>
      <c r="H5" s="80"/>
      <c r="I5" s="80" t="s">
        <v>159</v>
      </c>
      <c r="J5" s="293"/>
      <c r="K5" s="293"/>
    </row>
    <row r="6" spans="1:11" ht="25.5" x14ac:dyDescent="0.25">
      <c r="A6" s="69">
        <v>3.1</v>
      </c>
      <c r="B6" s="70" t="s">
        <v>347</v>
      </c>
      <c r="C6" s="82"/>
      <c r="D6" s="81"/>
      <c r="E6" s="82"/>
      <c r="F6" s="83">
        <f>SUM(F11,F17,F22)</f>
        <v>0</v>
      </c>
      <c r="G6" s="69"/>
      <c r="H6" s="84"/>
      <c r="I6" s="84"/>
      <c r="J6" s="69">
        <f>SUM(J7,J13,J19)</f>
        <v>2</v>
      </c>
      <c r="K6" s="69"/>
    </row>
    <row r="7" spans="1:11" ht="25.5" x14ac:dyDescent="0.25">
      <c r="A7" s="71" t="s">
        <v>0</v>
      </c>
      <c r="B7" s="72" t="s">
        <v>348</v>
      </c>
      <c r="C7" s="72"/>
      <c r="D7" s="72"/>
      <c r="E7" s="85"/>
      <c r="F7" s="71"/>
      <c r="G7" s="71"/>
      <c r="H7" s="84"/>
      <c r="I7" s="84"/>
      <c r="J7" s="71">
        <v>0</v>
      </c>
      <c r="K7" s="71"/>
    </row>
    <row r="8" spans="1:11" x14ac:dyDescent="0.25">
      <c r="H8" s="84"/>
      <c r="I8" s="84"/>
    </row>
    <row r="9" spans="1:11" ht="25.5" x14ac:dyDescent="0.25">
      <c r="A9" s="172" t="s">
        <v>3</v>
      </c>
      <c r="B9" s="74" t="s">
        <v>349</v>
      </c>
      <c r="C9" s="2"/>
      <c r="D9" s="87" t="s">
        <v>15</v>
      </c>
      <c r="F9" s="171" t="s">
        <v>156</v>
      </c>
      <c r="G9" s="172" t="str">
        <f>IF(C9="Y","OK",(IF(C9="NA","NA","NOK")))</f>
        <v>NOK</v>
      </c>
      <c r="H9" s="84"/>
      <c r="I9" s="84"/>
      <c r="J9" s="172" t="s">
        <v>5</v>
      </c>
      <c r="K9" s="3"/>
    </row>
    <row r="10" spans="1:11" ht="38.25" x14ac:dyDescent="0.25">
      <c r="A10" s="172" t="s">
        <v>6</v>
      </c>
      <c r="B10" s="74" t="s">
        <v>409</v>
      </c>
      <c r="C10" s="2"/>
      <c r="D10" s="87" t="s">
        <v>15</v>
      </c>
      <c r="F10" s="171" t="s">
        <v>156</v>
      </c>
      <c r="G10" s="172" t="str">
        <f>IF(C10="Y","OK",(IF(C10="NA","NA","NOK")))</f>
        <v>NOK</v>
      </c>
      <c r="H10" s="84"/>
      <c r="I10" s="84"/>
      <c r="J10" s="172" t="s">
        <v>5</v>
      </c>
      <c r="K10" s="3"/>
    </row>
    <row r="11" spans="1:11" x14ac:dyDescent="0.25">
      <c r="E11" s="88" t="s">
        <v>9</v>
      </c>
      <c r="F11" s="171" t="s">
        <v>156</v>
      </c>
      <c r="H11" s="84"/>
      <c r="I11" s="84"/>
    </row>
    <row r="12" spans="1:11" x14ac:dyDescent="0.25">
      <c r="A12" s="94"/>
      <c r="H12" s="84"/>
      <c r="I12" s="84"/>
    </row>
    <row r="13" spans="1:11" ht="25.5" x14ac:dyDescent="0.25">
      <c r="A13" s="71" t="s">
        <v>8</v>
      </c>
      <c r="B13" s="72" t="s">
        <v>351</v>
      </c>
      <c r="C13" s="72"/>
      <c r="D13" s="72"/>
      <c r="E13" s="85"/>
      <c r="F13" s="71"/>
      <c r="G13" s="71"/>
      <c r="H13" s="84"/>
      <c r="I13" s="84"/>
      <c r="J13" s="71">
        <f>J16</f>
        <v>1</v>
      </c>
      <c r="K13" s="71"/>
    </row>
    <row r="14" spans="1:11" ht="38.25" x14ac:dyDescent="0.25">
      <c r="A14" s="172" t="s">
        <v>3</v>
      </c>
      <c r="B14" s="73" t="s">
        <v>350</v>
      </c>
      <c r="C14" s="2"/>
      <c r="D14" s="87" t="s">
        <v>15</v>
      </c>
      <c r="F14" s="171" t="s">
        <v>156</v>
      </c>
      <c r="G14" s="172" t="str">
        <f t="shared" ref="G14:G15" si="0">IF(C14="Y","OK",(IF(C14="NA","NA","NOK")))</f>
        <v>NOK</v>
      </c>
      <c r="H14" s="84"/>
      <c r="I14" s="84"/>
      <c r="J14" s="172" t="s">
        <v>5</v>
      </c>
      <c r="K14" s="3"/>
    </row>
    <row r="15" spans="1:11" ht="114.75" x14ac:dyDescent="0.25">
      <c r="A15" s="172" t="s">
        <v>6</v>
      </c>
      <c r="B15" s="73" t="s">
        <v>390</v>
      </c>
      <c r="C15" s="2"/>
      <c r="D15" s="87" t="s">
        <v>15</v>
      </c>
      <c r="F15" s="171" t="s">
        <v>156</v>
      </c>
      <c r="G15" s="172" t="str">
        <f t="shared" si="0"/>
        <v>NOK</v>
      </c>
      <c r="H15" s="84"/>
      <c r="I15" s="84"/>
      <c r="J15" s="172" t="s">
        <v>5</v>
      </c>
      <c r="K15" s="3"/>
    </row>
    <row r="16" spans="1:11" ht="25.5" x14ac:dyDescent="0.25">
      <c r="A16" s="172" t="s">
        <v>7</v>
      </c>
      <c r="B16" s="73" t="s">
        <v>391</v>
      </c>
      <c r="C16" s="2"/>
      <c r="D16" s="87" t="s">
        <v>15</v>
      </c>
      <c r="F16" s="172">
        <f>IF(C16="Y",1,0)</f>
        <v>0</v>
      </c>
      <c r="H16" s="84"/>
      <c r="I16" s="84"/>
      <c r="J16" s="172">
        <v>1</v>
      </c>
      <c r="K16" s="3"/>
    </row>
    <row r="17" spans="1:11" x14ac:dyDescent="0.25">
      <c r="E17" s="88" t="s">
        <v>12</v>
      </c>
      <c r="F17" s="171">
        <f>SUM(F16)</f>
        <v>0</v>
      </c>
      <c r="H17" s="84"/>
      <c r="I17" s="84"/>
    </row>
    <row r="18" spans="1:11" x14ac:dyDescent="0.25">
      <c r="E18" s="88"/>
      <c r="F18" s="171"/>
      <c r="H18" s="84"/>
      <c r="I18" s="84"/>
    </row>
    <row r="19" spans="1:11" ht="25.5" x14ac:dyDescent="0.25">
      <c r="A19" s="71" t="s">
        <v>13</v>
      </c>
      <c r="B19" s="72" t="s">
        <v>355</v>
      </c>
      <c r="C19" s="72"/>
      <c r="D19" s="72"/>
      <c r="E19" s="85"/>
      <c r="F19" s="71"/>
      <c r="G19" s="71"/>
      <c r="H19" s="84"/>
      <c r="I19" s="84"/>
      <c r="J19" s="71">
        <v>1</v>
      </c>
      <c r="K19" s="71"/>
    </row>
    <row r="20" spans="1:11" ht="38.25" x14ac:dyDescent="0.25">
      <c r="A20" s="172" t="s">
        <v>3</v>
      </c>
      <c r="B20" s="73" t="s">
        <v>352</v>
      </c>
      <c r="C20" s="2"/>
      <c r="D20" s="87" t="s">
        <v>15</v>
      </c>
      <c r="E20" s="88"/>
      <c r="F20" s="171" t="s">
        <v>156</v>
      </c>
      <c r="G20" s="172" t="str">
        <f>IF(C20="Y","OK",(IF(C20="NA","NA","NOK")))</f>
        <v>NOK</v>
      </c>
      <c r="H20" s="84"/>
      <c r="I20" s="84"/>
      <c r="J20" s="172" t="s">
        <v>5</v>
      </c>
      <c r="K20" s="3"/>
    </row>
    <row r="21" spans="1:11" ht="38.25" x14ac:dyDescent="0.25">
      <c r="A21" s="172" t="s">
        <v>6</v>
      </c>
      <c r="B21" s="73" t="s">
        <v>475</v>
      </c>
      <c r="C21" s="2"/>
      <c r="D21" s="87" t="s">
        <v>15</v>
      </c>
      <c r="E21" s="88"/>
      <c r="F21" s="172">
        <f>IF(C21="Y",1,0)</f>
        <v>0</v>
      </c>
      <c r="H21" s="84"/>
      <c r="I21" s="84"/>
      <c r="J21" s="172">
        <v>1</v>
      </c>
      <c r="K21" s="3"/>
    </row>
    <row r="22" spans="1:11" x14ac:dyDescent="0.25">
      <c r="E22" s="88" t="s">
        <v>16</v>
      </c>
      <c r="F22" s="171">
        <f>SUM(F20:F21)</f>
        <v>0</v>
      </c>
      <c r="H22" s="84"/>
      <c r="I22" s="84"/>
    </row>
    <row r="23" spans="1:11" x14ac:dyDescent="0.25">
      <c r="H23" s="84"/>
      <c r="I23" s="84"/>
    </row>
    <row r="24" spans="1:11" x14ac:dyDescent="0.25">
      <c r="H24" s="84"/>
      <c r="I24" s="84"/>
    </row>
    <row r="25" spans="1:11" ht="25.5" x14ac:dyDescent="0.25">
      <c r="A25" s="69">
        <v>3.2</v>
      </c>
      <c r="B25" s="70" t="s">
        <v>353</v>
      </c>
      <c r="C25" s="81"/>
      <c r="D25" s="81"/>
      <c r="E25" s="82"/>
      <c r="F25" s="69">
        <f>SUM(F30)</f>
        <v>0</v>
      </c>
      <c r="G25" s="69"/>
      <c r="H25" s="84"/>
      <c r="I25" s="84"/>
      <c r="J25" s="69">
        <v>0</v>
      </c>
      <c r="K25" s="69"/>
    </row>
    <row r="26" spans="1:11" x14ac:dyDescent="0.25">
      <c r="A26" s="71" t="s">
        <v>18</v>
      </c>
      <c r="B26" s="72" t="s">
        <v>19</v>
      </c>
      <c r="C26" s="72"/>
      <c r="D26" s="72"/>
      <c r="E26" s="85"/>
      <c r="F26" s="71"/>
      <c r="G26" s="71"/>
      <c r="H26" s="84"/>
      <c r="I26" s="84"/>
      <c r="J26" s="71" t="s">
        <v>5</v>
      </c>
      <c r="K26" s="71"/>
    </row>
    <row r="27" spans="1:11" ht="38.25" x14ac:dyDescent="0.25">
      <c r="A27" s="172" t="s">
        <v>3</v>
      </c>
      <c r="B27" s="73" t="s">
        <v>20</v>
      </c>
      <c r="C27" s="2"/>
      <c r="D27" s="87" t="s">
        <v>56</v>
      </c>
      <c r="F27" s="171" t="s">
        <v>156</v>
      </c>
      <c r="G27" s="172" t="str">
        <f t="shared" ref="G27:G29" si="1">IF(C27="Y","OK",(IF(C27="NA","NA","NOK")))</f>
        <v>NOK</v>
      </c>
      <c r="H27" s="84"/>
      <c r="I27" s="84"/>
      <c r="J27" s="172" t="s">
        <v>5</v>
      </c>
      <c r="K27" s="3"/>
    </row>
    <row r="28" spans="1:11" ht="38.25" x14ac:dyDescent="0.25">
      <c r="A28" s="172" t="s">
        <v>6</v>
      </c>
      <c r="B28" s="73" t="s">
        <v>21</v>
      </c>
      <c r="C28" s="2"/>
      <c r="D28" s="87" t="s">
        <v>56</v>
      </c>
      <c r="F28" s="171" t="s">
        <v>156</v>
      </c>
      <c r="G28" s="172" t="str">
        <f t="shared" si="1"/>
        <v>NOK</v>
      </c>
      <c r="H28" s="84"/>
      <c r="I28" s="84"/>
      <c r="J28" s="172" t="s">
        <v>5</v>
      </c>
      <c r="K28" s="3"/>
    </row>
    <row r="29" spans="1:11" ht="38.25" x14ac:dyDescent="0.25">
      <c r="A29" s="172" t="s">
        <v>7</v>
      </c>
      <c r="B29" s="73" t="s">
        <v>22</v>
      </c>
      <c r="C29" s="2"/>
      <c r="D29" s="87" t="s">
        <v>56</v>
      </c>
      <c r="F29" s="171" t="s">
        <v>156</v>
      </c>
      <c r="G29" s="172" t="str">
        <f t="shared" si="1"/>
        <v>NOK</v>
      </c>
      <c r="H29" s="84"/>
      <c r="I29" s="84"/>
      <c r="J29" s="172" t="s">
        <v>5</v>
      </c>
      <c r="K29" s="3"/>
    </row>
    <row r="30" spans="1:11" x14ac:dyDescent="0.25">
      <c r="E30" s="88" t="s">
        <v>23</v>
      </c>
      <c r="F30" s="171" t="s">
        <v>156</v>
      </c>
      <c r="H30" s="84"/>
      <c r="I30" s="84"/>
    </row>
    <row r="31" spans="1:11" x14ac:dyDescent="0.25">
      <c r="H31" s="84"/>
      <c r="I31" s="84"/>
    </row>
    <row r="32" spans="1:11" x14ac:dyDescent="0.25">
      <c r="H32" s="84"/>
      <c r="I32" s="84"/>
    </row>
    <row r="33" spans="1:11" x14ac:dyDescent="0.25">
      <c r="A33" s="69">
        <v>3.3</v>
      </c>
      <c r="B33" s="70" t="s">
        <v>158</v>
      </c>
      <c r="C33" s="82"/>
      <c r="D33" s="82"/>
      <c r="E33" s="82"/>
      <c r="F33" s="69">
        <f>SUM(F36,F46)</f>
        <v>0</v>
      </c>
      <c r="G33" s="69"/>
      <c r="H33" s="84"/>
      <c r="I33" s="84"/>
      <c r="J33" s="69">
        <f>SUM(J35)</f>
        <v>1</v>
      </c>
      <c r="K33" s="69"/>
    </row>
    <row r="34" spans="1:11" ht="25.5" x14ac:dyDescent="0.25">
      <c r="A34" s="71" t="s">
        <v>25</v>
      </c>
      <c r="B34" s="72" t="s">
        <v>476</v>
      </c>
      <c r="C34" s="72"/>
      <c r="D34" s="72"/>
      <c r="E34" s="85"/>
      <c r="F34" s="71"/>
      <c r="G34" s="71"/>
      <c r="H34" s="84"/>
      <c r="I34" s="84"/>
      <c r="J34" s="71"/>
      <c r="K34" s="71"/>
    </row>
    <row r="35" spans="1:11" ht="280.5" x14ac:dyDescent="0.25">
      <c r="A35" s="172" t="s">
        <v>3</v>
      </c>
      <c r="B35" s="73" t="s">
        <v>354</v>
      </c>
      <c r="C35" s="2"/>
      <c r="D35" s="189" t="s">
        <v>56</v>
      </c>
      <c r="E35" s="88"/>
      <c r="F35" s="172">
        <f>IF(C35="Y",0.5,0)</f>
        <v>0</v>
      </c>
      <c r="H35" s="84"/>
      <c r="I35" s="84">
        <f>IF(C35="NA",J35,0)</f>
        <v>0</v>
      </c>
      <c r="J35" s="172">
        <v>1</v>
      </c>
      <c r="K35" s="3"/>
    </row>
    <row r="36" spans="1:11" x14ac:dyDescent="0.25">
      <c r="B36" s="74"/>
      <c r="C36" s="87"/>
      <c r="D36" s="87"/>
      <c r="E36" s="88" t="s">
        <v>26</v>
      </c>
      <c r="F36" s="171">
        <f>SUM(F35)</f>
        <v>0</v>
      </c>
      <c r="H36" s="84"/>
      <c r="I36" s="84"/>
    </row>
    <row r="37" spans="1:11" x14ac:dyDescent="0.25">
      <c r="B37" s="75"/>
      <c r="C37" s="87"/>
      <c r="D37" s="87"/>
      <c r="H37" s="84"/>
      <c r="I37" s="84"/>
    </row>
    <row r="38" spans="1:11" x14ac:dyDescent="0.25">
      <c r="H38" s="84"/>
      <c r="I38" s="84"/>
    </row>
    <row r="39" spans="1:11" x14ac:dyDescent="0.25">
      <c r="A39" s="69">
        <v>3.4</v>
      </c>
      <c r="B39" s="70" t="s">
        <v>27</v>
      </c>
      <c r="C39" s="82"/>
      <c r="D39" s="82"/>
      <c r="E39" s="82"/>
      <c r="F39" s="102" t="s">
        <v>156</v>
      </c>
      <c r="G39" s="69"/>
      <c r="H39" s="84"/>
      <c r="I39" s="84"/>
      <c r="J39" s="102">
        <v>0</v>
      </c>
      <c r="K39" s="69"/>
    </row>
    <row r="40" spans="1:11" x14ac:dyDescent="0.25">
      <c r="A40" s="71" t="s">
        <v>28</v>
      </c>
      <c r="B40" s="72" t="s">
        <v>29</v>
      </c>
      <c r="C40" s="72"/>
      <c r="D40" s="72"/>
      <c r="E40" s="85"/>
      <c r="F40" s="71"/>
      <c r="G40" s="71"/>
      <c r="H40" s="84"/>
      <c r="I40" s="84"/>
      <c r="J40" s="71" t="s">
        <v>5</v>
      </c>
      <c r="K40" s="71"/>
    </row>
    <row r="41" spans="1:11" ht="25.5" x14ac:dyDescent="0.25">
      <c r="A41" s="172" t="s">
        <v>3</v>
      </c>
      <c r="B41" s="73" t="s">
        <v>30</v>
      </c>
      <c r="C41" s="3"/>
      <c r="D41" s="87" t="s">
        <v>15</v>
      </c>
      <c r="F41" s="171" t="s">
        <v>156</v>
      </c>
      <c r="G41" s="172" t="str">
        <f>IF(C41="Y","OK","NOK")</f>
        <v>NOK</v>
      </c>
      <c r="H41" s="84"/>
      <c r="I41" s="84"/>
      <c r="J41" s="172" t="s">
        <v>5</v>
      </c>
      <c r="K41" s="3"/>
    </row>
    <row r="42" spans="1:11" ht="25.5" x14ac:dyDescent="0.25">
      <c r="A42" s="172" t="s">
        <v>6</v>
      </c>
      <c r="B42" s="73" t="s">
        <v>31</v>
      </c>
      <c r="H42" s="84"/>
      <c r="I42" s="84"/>
    </row>
    <row r="43" spans="1:11" ht="25.5" x14ac:dyDescent="0.25">
      <c r="B43" s="74" t="s">
        <v>32</v>
      </c>
      <c r="C43" s="3"/>
      <c r="D43" s="87" t="s">
        <v>56</v>
      </c>
      <c r="F43" s="296" t="s">
        <v>156</v>
      </c>
      <c r="G43" s="297" t="str">
        <f>IF(OR(C43="Y",C44="Y"),"OK",(IF(AND(C43="NA",C44="NA"),"NA","NOK")))</f>
        <v>NOK</v>
      </c>
      <c r="H43" s="84"/>
      <c r="I43" s="84"/>
      <c r="J43" s="172" t="s">
        <v>5</v>
      </c>
      <c r="K43" s="3"/>
    </row>
    <row r="44" spans="1:11" ht="25.5" x14ac:dyDescent="0.25">
      <c r="B44" s="74" t="s">
        <v>33</v>
      </c>
      <c r="C44" s="3"/>
      <c r="D44" s="87" t="s">
        <v>56</v>
      </c>
      <c r="F44" s="296"/>
      <c r="G44" s="297"/>
      <c r="H44" s="84"/>
      <c r="I44" s="84"/>
      <c r="J44" s="172" t="s">
        <v>5</v>
      </c>
      <c r="K44" s="3"/>
    </row>
    <row r="45" spans="1:11" ht="25.5" x14ac:dyDescent="0.25">
      <c r="A45" s="172" t="s">
        <v>7</v>
      </c>
      <c r="B45" s="73" t="s">
        <v>34</v>
      </c>
      <c r="C45" s="3"/>
      <c r="D45" s="87" t="s">
        <v>56</v>
      </c>
      <c r="F45" s="171" t="s">
        <v>156</v>
      </c>
      <c r="G45" s="172" t="str">
        <f t="shared" ref="G45" si="2">IF(C45="Y","OK",(IF(C45="NA","NA","NOK")))</f>
        <v>NOK</v>
      </c>
      <c r="H45" s="84"/>
      <c r="I45" s="84"/>
      <c r="J45" s="172" t="s">
        <v>5</v>
      </c>
      <c r="K45" s="3"/>
    </row>
    <row r="46" spans="1:11" x14ac:dyDescent="0.25">
      <c r="E46" s="88" t="s">
        <v>35</v>
      </c>
      <c r="F46" s="171" t="s">
        <v>156</v>
      </c>
      <c r="H46" s="84"/>
      <c r="I46" s="84"/>
    </row>
    <row r="47" spans="1:11" x14ac:dyDescent="0.25">
      <c r="H47" s="84"/>
      <c r="I47" s="84"/>
    </row>
    <row r="48" spans="1:11" x14ac:dyDescent="0.25">
      <c r="A48" s="69">
        <v>3.5</v>
      </c>
      <c r="B48" s="70" t="s">
        <v>36</v>
      </c>
      <c r="C48" s="82"/>
      <c r="D48" s="82"/>
      <c r="E48" s="82"/>
      <c r="F48" s="69">
        <f>SUM(F52,F61)</f>
        <v>0</v>
      </c>
      <c r="G48" s="69"/>
      <c r="H48" s="84"/>
      <c r="I48" s="84"/>
      <c r="J48" s="69">
        <f>SUM(J49,J54,J59)</f>
        <v>3</v>
      </c>
      <c r="K48" s="69"/>
    </row>
    <row r="49" spans="1:11" ht="25.5" x14ac:dyDescent="0.25">
      <c r="A49" s="71" t="s">
        <v>37</v>
      </c>
      <c r="B49" s="72" t="s">
        <v>38</v>
      </c>
      <c r="C49" s="72"/>
      <c r="D49" s="72"/>
      <c r="E49" s="85"/>
      <c r="F49" s="71"/>
      <c r="G49" s="71"/>
      <c r="H49" s="84"/>
      <c r="I49" s="84"/>
      <c r="J49" s="71">
        <v>2</v>
      </c>
      <c r="K49" s="71"/>
    </row>
    <row r="50" spans="1:11" ht="25.5" x14ac:dyDescent="0.25">
      <c r="A50" s="172" t="s">
        <v>3</v>
      </c>
      <c r="B50" s="73" t="s">
        <v>39</v>
      </c>
      <c r="C50" s="3"/>
      <c r="D50" s="87" t="s">
        <v>15</v>
      </c>
      <c r="F50" s="172">
        <f>IF(C50="Y",1,0)</f>
        <v>0</v>
      </c>
      <c r="H50" s="84"/>
      <c r="I50" s="84"/>
      <c r="J50" s="172">
        <v>1</v>
      </c>
      <c r="K50" s="3"/>
    </row>
    <row r="51" spans="1:11" ht="25.5" x14ac:dyDescent="0.25">
      <c r="A51" s="172" t="s">
        <v>6</v>
      </c>
      <c r="B51" s="73" t="s">
        <v>157</v>
      </c>
      <c r="C51" s="3"/>
      <c r="D51" s="87" t="s">
        <v>15</v>
      </c>
      <c r="F51" s="172">
        <f>IF(C51="Y",1,0)</f>
        <v>0</v>
      </c>
      <c r="H51" s="84"/>
      <c r="I51" s="84"/>
      <c r="J51" s="172">
        <v>1</v>
      </c>
      <c r="K51" s="3"/>
    </row>
    <row r="52" spans="1:11" x14ac:dyDescent="0.25">
      <c r="E52" s="88" t="s">
        <v>40</v>
      </c>
      <c r="F52" s="172">
        <f>SUM(F50:F51)</f>
        <v>0</v>
      </c>
      <c r="H52" s="84"/>
      <c r="I52" s="84"/>
    </row>
    <row r="53" spans="1:11" x14ac:dyDescent="0.25">
      <c r="E53" s="88"/>
      <c r="H53" s="84"/>
      <c r="I53" s="84"/>
    </row>
    <row r="54" spans="1:11" ht="25.5" x14ac:dyDescent="0.25">
      <c r="A54" s="71" t="s">
        <v>41</v>
      </c>
      <c r="B54" s="72" t="s">
        <v>358</v>
      </c>
      <c r="C54" s="72"/>
      <c r="D54" s="72"/>
      <c r="E54" s="85"/>
      <c r="F54" s="71"/>
      <c r="G54" s="71"/>
      <c r="H54" s="84"/>
      <c r="I54" s="84"/>
      <c r="J54" s="71" t="s">
        <v>5</v>
      </c>
      <c r="K54" s="71"/>
    </row>
    <row r="55" spans="1:11" ht="25.5" x14ac:dyDescent="0.25">
      <c r="A55" s="172" t="s">
        <v>3</v>
      </c>
      <c r="B55" s="73" t="s">
        <v>359</v>
      </c>
      <c r="C55" s="3"/>
      <c r="D55" s="87" t="s">
        <v>56</v>
      </c>
      <c r="F55" s="171" t="s">
        <v>156</v>
      </c>
      <c r="G55" s="172" t="str">
        <f t="shared" ref="G55:G56" si="3">IF(C55="Y","OK",(IF(C55="NA","NA","NOK")))</f>
        <v>NOK</v>
      </c>
      <c r="H55" s="84"/>
      <c r="I55" s="84"/>
      <c r="J55" s="172" t="s">
        <v>5</v>
      </c>
      <c r="K55" s="3"/>
    </row>
    <row r="56" spans="1:11" ht="38.25" x14ac:dyDescent="0.25">
      <c r="A56" s="172" t="s">
        <v>6</v>
      </c>
      <c r="B56" s="73" t="s">
        <v>360</v>
      </c>
      <c r="C56" s="3"/>
      <c r="D56" s="87" t="s">
        <v>56</v>
      </c>
      <c r="F56" s="171" t="s">
        <v>156</v>
      </c>
      <c r="G56" s="172" t="str">
        <f t="shared" si="3"/>
        <v>NOK</v>
      </c>
      <c r="H56" s="84"/>
      <c r="I56" s="84"/>
      <c r="J56" s="172" t="s">
        <v>5</v>
      </c>
      <c r="K56" s="3"/>
    </row>
    <row r="57" spans="1:11" x14ac:dyDescent="0.25">
      <c r="E57" s="88" t="s">
        <v>44</v>
      </c>
      <c r="F57" s="172">
        <f>SUM(F55:F56)</f>
        <v>0</v>
      </c>
      <c r="H57" s="84"/>
      <c r="I57" s="84"/>
    </row>
    <row r="58" spans="1:11" x14ac:dyDescent="0.25">
      <c r="H58" s="84"/>
      <c r="I58" s="84"/>
    </row>
    <row r="59" spans="1:11" x14ac:dyDescent="0.25">
      <c r="A59" s="71" t="s">
        <v>356</v>
      </c>
      <c r="B59" s="72" t="s">
        <v>42</v>
      </c>
      <c r="C59" s="72"/>
      <c r="D59" s="72"/>
      <c r="E59" s="85"/>
      <c r="F59" s="71"/>
      <c r="G59" s="71"/>
      <c r="H59" s="84"/>
      <c r="I59" s="84"/>
      <c r="J59" s="71">
        <v>1</v>
      </c>
      <c r="K59" s="71"/>
    </row>
    <row r="60" spans="1:11" ht="51" x14ac:dyDescent="0.25">
      <c r="A60" s="172" t="s">
        <v>3</v>
      </c>
      <c r="B60" s="73" t="s">
        <v>43</v>
      </c>
      <c r="C60" s="4"/>
      <c r="D60" s="87" t="s">
        <v>15</v>
      </c>
      <c r="F60" s="172">
        <f>IF(C60="Y",1,0)</f>
        <v>0</v>
      </c>
      <c r="H60" s="84"/>
      <c r="I60" s="84"/>
      <c r="J60" s="172">
        <v>1</v>
      </c>
      <c r="K60" s="3"/>
    </row>
    <row r="61" spans="1:11" x14ac:dyDescent="0.25">
      <c r="E61" s="88" t="s">
        <v>357</v>
      </c>
      <c r="F61" s="172">
        <f>SUM(F60:F60)</f>
        <v>0</v>
      </c>
      <c r="H61" s="84"/>
      <c r="I61" s="84"/>
    </row>
    <row r="62" spans="1:11" x14ac:dyDescent="0.25">
      <c r="H62" s="84"/>
      <c r="I62" s="84"/>
    </row>
    <row r="63" spans="1:11" x14ac:dyDescent="0.25">
      <c r="A63" s="69">
        <v>3.6</v>
      </c>
      <c r="B63" s="70" t="s">
        <v>45</v>
      </c>
      <c r="C63" s="82"/>
      <c r="D63" s="82"/>
      <c r="E63" s="82"/>
      <c r="F63" s="69">
        <f>SUM(F66,F70)</f>
        <v>0</v>
      </c>
      <c r="G63" s="69"/>
      <c r="H63" s="84"/>
      <c r="I63" s="84"/>
      <c r="J63" s="69">
        <v>1</v>
      </c>
      <c r="K63" s="69"/>
    </row>
    <row r="64" spans="1:11" x14ac:dyDescent="0.25">
      <c r="A64" s="71" t="s">
        <v>46</v>
      </c>
      <c r="B64" s="72" t="s">
        <v>47</v>
      </c>
      <c r="C64" s="72"/>
      <c r="D64" s="72"/>
      <c r="E64" s="85"/>
      <c r="F64" s="71"/>
      <c r="G64" s="71"/>
      <c r="H64" s="84"/>
      <c r="I64" s="84"/>
      <c r="J64" s="71">
        <v>1</v>
      </c>
      <c r="K64" s="71"/>
    </row>
    <row r="65" spans="1:11" ht="204" x14ac:dyDescent="0.25">
      <c r="A65" s="172" t="s">
        <v>3</v>
      </c>
      <c r="B65" s="73" t="s">
        <v>410</v>
      </c>
      <c r="C65" s="4"/>
      <c r="D65" s="87" t="s">
        <v>15</v>
      </c>
      <c r="F65" s="171" t="s">
        <v>156</v>
      </c>
      <c r="G65" s="211" t="str">
        <f t="shared" ref="G65" si="4">IF(C65="Y","OK",(IF(C65="NA","NA","NOK")))</f>
        <v>NOK</v>
      </c>
      <c r="H65" s="84"/>
      <c r="I65" s="84"/>
      <c r="J65" s="211" t="s">
        <v>5</v>
      </c>
      <c r="K65" s="3"/>
    </row>
    <row r="66" spans="1:11" x14ac:dyDescent="0.25">
      <c r="E66" s="88" t="s">
        <v>48</v>
      </c>
      <c r="F66" s="171" t="s">
        <v>156</v>
      </c>
      <c r="H66" s="84"/>
      <c r="I66" s="84"/>
    </row>
    <row r="67" spans="1:11" x14ac:dyDescent="0.25">
      <c r="H67" s="84"/>
      <c r="I67" s="84"/>
    </row>
    <row r="68" spans="1:11" ht="38.25" x14ac:dyDescent="0.25">
      <c r="A68" s="71" t="s">
        <v>49</v>
      </c>
      <c r="B68" s="72" t="s">
        <v>51</v>
      </c>
      <c r="C68" s="72"/>
      <c r="D68" s="72"/>
      <c r="E68" s="85"/>
      <c r="F68" s="71"/>
      <c r="G68" s="71"/>
      <c r="H68" s="84"/>
      <c r="I68" s="84"/>
      <c r="J68" s="71">
        <v>1</v>
      </c>
      <c r="K68" s="71"/>
    </row>
    <row r="69" spans="1:11" ht="38.25" x14ac:dyDescent="0.25">
      <c r="A69" s="172" t="s">
        <v>3</v>
      </c>
      <c r="B69" s="73" t="s">
        <v>52</v>
      </c>
      <c r="C69" s="4"/>
      <c r="D69" s="87" t="s">
        <v>56</v>
      </c>
      <c r="F69" s="172">
        <f>IF(C69="Y",1,0)</f>
        <v>0</v>
      </c>
      <c r="H69" s="84"/>
      <c r="I69" s="84">
        <f>IF(C69="NA",J69,0)</f>
        <v>0</v>
      </c>
      <c r="J69" s="172">
        <v>1</v>
      </c>
      <c r="K69" s="3"/>
    </row>
    <row r="70" spans="1:11" x14ac:dyDescent="0.25">
      <c r="E70" s="88" t="s">
        <v>50</v>
      </c>
      <c r="F70" s="172">
        <f>SUM(F69)</f>
        <v>0</v>
      </c>
      <c r="H70" s="84"/>
      <c r="I70" s="84"/>
    </row>
    <row r="71" spans="1:11" x14ac:dyDescent="0.25">
      <c r="H71" s="84"/>
      <c r="I71" s="84"/>
    </row>
    <row r="72" spans="1:11" x14ac:dyDescent="0.25">
      <c r="A72" s="69">
        <v>3.7</v>
      </c>
      <c r="B72" s="70" t="s">
        <v>329</v>
      </c>
      <c r="C72" s="82"/>
      <c r="D72" s="82"/>
      <c r="E72" s="82"/>
      <c r="F72" s="69">
        <f>SUM(F77)</f>
        <v>0</v>
      </c>
      <c r="G72" s="69"/>
      <c r="H72" s="84"/>
      <c r="I72" s="84"/>
      <c r="J72" s="69">
        <v>3</v>
      </c>
      <c r="K72" s="69"/>
    </row>
    <row r="73" spans="1:11" ht="25.5" x14ac:dyDescent="0.25">
      <c r="A73" s="71" t="s">
        <v>53</v>
      </c>
      <c r="B73" s="72" t="s">
        <v>361</v>
      </c>
      <c r="C73" s="72"/>
      <c r="D73" s="72"/>
      <c r="E73" s="85"/>
      <c r="F73" s="71"/>
      <c r="G73" s="71"/>
      <c r="H73" s="84"/>
      <c r="I73" s="84"/>
      <c r="J73" s="71">
        <v>3</v>
      </c>
      <c r="K73" s="71"/>
    </row>
    <row r="74" spans="1:11" ht="63.75" x14ac:dyDescent="0.25">
      <c r="A74" s="172" t="s">
        <v>3</v>
      </c>
      <c r="B74" s="73" t="s">
        <v>362</v>
      </c>
      <c r="C74" s="4"/>
      <c r="D74" s="87" t="s">
        <v>56</v>
      </c>
      <c r="F74" s="171" t="s">
        <v>156</v>
      </c>
      <c r="G74" s="172" t="str">
        <f t="shared" ref="G74" si="5">IF(C74="Y","OK",(IF(C74="NA","NA","NOK")))</f>
        <v>NOK</v>
      </c>
      <c r="H74" s="84"/>
      <c r="I74" s="84"/>
      <c r="J74" s="172" t="s">
        <v>5</v>
      </c>
      <c r="K74" s="3"/>
    </row>
    <row r="75" spans="1:11" ht="25.5" x14ac:dyDescent="0.25">
      <c r="A75" s="172" t="s">
        <v>6</v>
      </c>
      <c r="B75" s="73" t="s">
        <v>363</v>
      </c>
      <c r="C75" s="4"/>
      <c r="D75" s="87" t="s">
        <v>56</v>
      </c>
      <c r="F75" s="172">
        <f>IF(C75="Y",2,0)</f>
        <v>0</v>
      </c>
      <c r="H75" s="84"/>
      <c r="I75" s="84">
        <f>IF(C75="NA",J75,0)</f>
        <v>0</v>
      </c>
      <c r="J75" s="172">
        <v>2</v>
      </c>
      <c r="K75" s="3"/>
    </row>
    <row r="76" spans="1:11" ht="38.25" x14ac:dyDescent="0.25">
      <c r="A76" s="172" t="s">
        <v>7</v>
      </c>
      <c r="B76" s="73" t="s">
        <v>411</v>
      </c>
      <c r="C76" s="4"/>
      <c r="D76" s="87" t="s">
        <v>56</v>
      </c>
      <c r="F76" s="172">
        <f>IF(C76="Y",1,0)</f>
        <v>0</v>
      </c>
      <c r="H76" s="84"/>
      <c r="I76" s="84">
        <f>IF(C76="NA",J76,0)</f>
        <v>0</v>
      </c>
      <c r="J76" s="172">
        <v>1</v>
      </c>
      <c r="K76" s="3"/>
    </row>
    <row r="77" spans="1:11" x14ac:dyDescent="0.25">
      <c r="E77" s="88" t="s">
        <v>54</v>
      </c>
      <c r="F77" s="172">
        <f>SUM(F74:F76)</f>
        <v>0</v>
      </c>
      <c r="H77" s="84"/>
      <c r="I77" s="84"/>
    </row>
    <row r="78" spans="1:11" x14ac:dyDescent="0.25">
      <c r="H78" s="84"/>
      <c r="I78" s="84"/>
    </row>
    <row r="79" spans="1:11" x14ac:dyDescent="0.25">
      <c r="H79" s="172"/>
      <c r="I79" s="172"/>
      <c r="J79" s="172">
        <v>0</v>
      </c>
    </row>
    <row r="80" spans="1:11" x14ac:dyDescent="0.25">
      <c r="E80" s="88" t="s">
        <v>161</v>
      </c>
      <c r="F80" s="89">
        <f>SUM(F6,F25,F33,F39,F48,F63,F72)</f>
        <v>0</v>
      </c>
      <c r="G80" s="90" t="s">
        <v>160</v>
      </c>
      <c r="I80" s="90"/>
      <c r="J80" s="92" t="s">
        <v>2</v>
      </c>
    </row>
    <row r="81" spans="5:10" x14ac:dyDescent="0.25">
      <c r="E81" s="88" t="s">
        <v>245</v>
      </c>
      <c r="F81" s="92">
        <v>0</v>
      </c>
      <c r="G81" s="92">
        <f>SUM(I9:I78)</f>
        <v>0</v>
      </c>
      <c r="I81" s="90"/>
      <c r="J81" s="172">
        <f>SUM(J6,J25,J33,J39,J48,J63,J72)</f>
        <v>10</v>
      </c>
    </row>
  </sheetData>
  <sheetProtection algorithmName="SHA-512" hashValue="PmAui0KQOLIakPd+a3UhOLG8mn5FS6pT5V4hGgfyqDXhoIX3pjaxgi6lRUkwW/zOUkYflY/mFlvT/9/KuWRMdg==" saltValue="WmM+WxWkyoZlcIp0UECHFw==" spinCount="100000" sheet="1" selectLockedCells="1"/>
  <protectedRanges>
    <protectedRange sqref="C9:C10 C14:C16 C20:C21" name="input2_6"/>
    <protectedRange sqref="C55:C56 C74:C76 C41 C50:C51 C65 C43:C45 C69 C60 C27:C29" name="input2_23"/>
    <protectedRange sqref="K9" name="input2_23_1"/>
    <protectedRange sqref="K10" name="input2_23_1_1"/>
    <protectedRange sqref="K14:K16 K20:K21" name="input2_23_1_3"/>
    <protectedRange sqref="K27:K29 K35" name="input2_23_1_9"/>
    <protectedRange sqref="K41" name="input2_23_1_19"/>
    <protectedRange sqref="K43:K45 K55:K56" name="input2_23_1_20"/>
    <protectedRange sqref="K50:K51" name="input2_23_1_21"/>
    <protectedRange sqref="K60" name="input2_23_1_22"/>
    <protectedRange sqref="K65" name="input2_23_1_23"/>
    <protectedRange sqref="K69" name="input2_23_1_26"/>
    <protectedRange sqref="K74:K76" name="input2_23_1_27"/>
    <protectedRange sqref="C35" name="input2_6_1"/>
  </protectedRanges>
  <mergeCells count="9">
    <mergeCell ref="K4:K5"/>
    <mergeCell ref="G43:G44"/>
    <mergeCell ref="F4:F5"/>
    <mergeCell ref="G4:G5"/>
    <mergeCell ref="A4:A5"/>
    <mergeCell ref="B4:B5"/>
    <mergeCell ref="E4:E5"/>
    <mergeCell ref="F43:F44"/>
    <mergeCell ref="J4:J5"/>
  </mergeCells>
  <conditionalFormatting sqref="G41">
    <cfRule type="cellIs" dxfId="90" priority="173" operator="equal">
      <formula>"OK"</formula>
    </cfRule>
    <cfRule type="cellIs" dxfId="89" priority="174" operator="equal">
      <formula>"NOK"</formula>
    </cfRule>
  </conditionalFormatting>
  <conditionalFormatting sqref="G45">
    <cfRule type="cellIs" dxfId="88" priority="165" operator="equal">
      <formula>"NOK"</formula>
    </cfRule>
    <cfRule type="cellIs" dxfId="87" priority="166" operator="equal">
      <formula>"OK"</formula>
    </cfRule>
  </conditionalFormatting>
  <conditionalFormatting sqref="C27">
    <cfRule type="expression" dxfId="86" priority="125">
      <formula>AND(#REF!&lt;&gt;"VRF", #REF! &lt;&gt; "prorate")</formula>
    </cfRule>
  </conditionalFormatting>
  <conditionalFormatting sqref="G37">
    <cfRule type="cellIs" dxfId="85" priority="113" operator="equal">
      <formula>"NOK"</formula>
    </cfRule>
    <cfRule type="cellIs" dxfId="84" priority="114" operator="equal">
      <formula>"OK"</formula>
    </cfRule>
  </conditionalFormatting>
  <conditionalFormatting sqref="C9">
    <cfRule type="expression" dxfId="83" priority="87" stopIfTrue="1">
      <formula>AND(#REF!&lt;&gt;"chiller", #REF! &lt;&gt; "prorate")</formula>
    </cfRule>
  </conditionalFormatting>
  <conditionalFormatting sqref="C10">
    <cfRule type="expression" dxfId="82" priority="86" stopIfTrue="1">
      <formula>AND(#REF!&lt;&gt;"chiller", #REF! &lt;&gt; "prorate")</formula>
    </cfRule>
  </conditionalFormatting>
  <conditionalFormatting sqref="C14">
    <cfRule type="expression" dxfId="81" priority="84" stopIfTrue="1">
      <formula>AND(#REF!&lt;&gt;"chiller", #REF! &lt;&gt; "prorate")</formula>
    </cfRule>
  </conditionalFormatting>
  <conditionalFormatting sqref="C15:C16">
    <cfRule type="expression" dxfId="80" priority="83" stopIfTrue="1">
      <formula>AND(#REF!&lt;&gt;"chiller", #REF! &lt;&gt; "prorate")</formula>
    </cfRule>
  </conditionalFormatting>
  <conditionalFormatting sqref="C28:C29">
    <cfRule type="expression" dxfId="79" priority="75">
      <formula>AND(#REF!&lt;&gt;"VRF", #REF! &lt;&gt; "prorate")</formula>
    </cfRule>
  </conditionalFormatting>
  <conditionalFormatting sqref="C20">
    <cfRule type="expression" dxfId="78" priority="20" stopIfTrue="1">
      <formula>AND(#REF!&lt;&gt;"chiller", #REF! &lt;&gt; "prorate")</formula>
    </cfRule>
  </conditionalFormatting>
  <conditionalFormatting sqref="C21">
    <cfRule type="expression" dxfId="77" priority="19" stopIfTrue="1">
      <formula>AND(#REF!&lt;&gt;"chiller", #REF! &lt;&gt; "prorate")</formula>
    </cfRule>
  </conditionalFormatting>
  <conditionalFormatting sqref="G9:G10 G14:G16 G27:G29 G20 G35">
    <cfRule type="cellIs" dxfId="76" priority="197" operator="equal">
      <formula>"NOK"</formula>
    </cfRule>
    <cfRule type="expression" dxfId="75" priority="198">
      <formula>#REF!="OK"</formula>
    </cfRule>
    <cfRule type="expression" dxfId="74" priority="199">
      <formula>#REF!="NOK"</formula>
    </cfRule>
  </conditionalFormatting>
  <conditionalFormatting sqref="G55">
    <cfRule type="cellIs" dxfId="73" priority="10" operator="equal">
      <formula>"NOK"</formula>
    </cfRule>
    <cfRule type="cellIs" dxfId="72" priority="11" operator="equal">
      <formula>"OK"</formula>
    </cfRule>
  </conditionalFormatting>
  <conditionalFormatting sqref="G56">
    <cfRule type="cellIs" dxfId="71" priority="8" operator="equal">
      <formula>"NOK"</formula>
    </cfRule>
    <cfRule type="cellIs" dxfId="70" priority="9" operator="equal">
      <formula>"OK"</formula>
    </cfRule>
  </conditionalFormatting>
  <conditionalFormatting sqref="G74">
    <cfRule type="cellIs" dxfId="69" priority="6" operator="equal">
      <formula>"NOK"</formula>
    </cfRule>
    <cfRule type="cellIs" dxfId="68" priority="7" operator="equal">
      <formula>"OK"</formula>
    </cfRule>
  </conditionalFormatting>
  <conditionalFormatting sqref="C35">
    <cfRule type="expression" dxfId="67" priority="5" stopIfTrue="1">
      <formula>AND(#REF!&lt;&gt;"chiller", #REF! &lt;&gt; "prorate")</formula>
    </cfRule>
  </conditionalFormatting>
  <conditionalFormatting sqref="G43">
    <cfRule type="cellIs" dxfId="66" priority="3" operator="equal">
      <formula>"NOK"</formula>
    </cfRule>
    <cfRule type="cellIs" dxfId="65" priority="4" operator="equal">
      <formula>"OK"</formula>
    </cfRule>
  </conditionalFormatting>
  <conditionalFormatting sqref="G65">
    <cfRule type="cellIs" dxfId="64" priority="1" operator="equal">
      <formula>"NOK"</formula>
    </cfRule>
    <cfRule type="cellIs" dxfId="63" priority="2" operator="equal">
      <formula>"OK"</formula>
    </cfRule>
  </conditionalFormatting>
  <dataValidations count="2">
    <dataValidation type="list" allowBlank="1" showInputMessage="1" showErrorMessage="1" sqref="C65 C14:C16 C9:C10 C60 C50:C51 C41 C20:C21" xr:uid="{5DF86C63-7480-473F-B96E-3EF0B74BA986}">
      <formula1>"Y,N"</formula1>
    </dataValidation>
    <dataValidation type="list" allowBlank="1" showInputMessage="1" showErrorMessage="1" sqref="C43:C45 C27:C29 C74:C76 C69 C55:C56 C35" xr:uid="{96DADC48-5CBD-4DF7-82B5-6994AF42E94C}">
      <formula1>"Y,N,NA"</formula1>
    </dataValidation>
  </dataValidations>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0733-8DFF-41C6-B55C-E7A663A303CD}">
  <dimension ref="A1:K86"/>
  <sheetViews>
    <sheetView zoomScaleNormal="100" workbookViewId="0">
      <pane ySplit="5" topLeftCell="A6" activePane="bottomLeft" state="frozen"/>
      <selection pane="bottomLeft" activeCell="C9" sqref="C9"/>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190" t="s">
        <v>118</v>
      </c>
      <c r="B1" s="191"/>
      <c r="C1" s="191"/>
      <c r="D1" s="191"/>
      <c r="E1" s="192"/>
      <c r="F1" s="193"/>
      <c r="G1" s="193"/>
      <c r="H1" s="193"/>
      <c r="I1" s="193"/>
      <c r="J1" s="193"/>
      <c r="K1" s="193"/>
    </row>
    <row r="3" spans="1:11" x14ac:dyDescent="0.25">
      <c r="F3" s="94"/>
      <c r="G3" s="94"/>
      <c r="H3" s="194"/>
      <c r="I3" s="194"/>
      <c r="J3" s="94"/>
    </row>
    <row r="4" spans="1:11" x14ac:dyDescent="0.25">
      <c r="A4" s="291"/>
      <c r="B4" s="292"/>
      <c r="C4" s="137"/>
      <c r="D4" s="79"/>
      <c r="E4" s="293" t="s">
        <v>24</v>
      </c>
      <c r="F4" s="169" t="s">
        <v>1</v>
      </c>
      <c r="G4" s="169" t="s">
        <v>55</v>
      </c>
      <c r="H4" s="80" t="s">
        <v>17</v>
      </c>
      <c r="I4" s="80" t="s">
        <v>17</v>
      </c>
      <c r="J4" s="293" t="s">
        <v>319</v>
      </c>
      <c r="K4" s="293" t="s">
        <v>315</v>
      </c>
    </row>
    <row r="5" spans="1:11" x14ac:dyDescent="0.25">
      <c r="A5" s="291"/>
      <c r="B5" s="292"/>
      <c r="C5" s="137"/>
      <c r="D5" s="79"/>
      <c r="E5" s="293"/>
      <c r="F5" s="169"/>
      <c r="G5" s="169"/>
      <c r="H5" s="80"/>
      <c r="I5" s="80" t="s">
        <v>159</v>
      </c>
      <c r="J5" s="293"/>
      <c r="K5" s="293"/>
    </row>
    <row r="6" spans="1:11" x14ac:dyDescent="0.25">
      <c r="A6" s="69">
        <v>4.0999999999999996</v>
      </c>
      <c r="B6" s="70" t="s">
        <v>57</v>
      </c>
      <c r="C6" s="81"/>
      <c r="D6" s="81"/>
      <c r="E6" s="82"/>
      <c r="F6" s="69">
        <f>SUM(F18,F25,F29)</f>
        <v>0</v>
      </c>
      <c r="G6" s="69"/>
      <c r="H6" s="84"/>
      <c r="I6" s="84"/>
      <c r="J6" s="69">
        <f>SUM(J7,J20,J27)</f>
        <v>1.5</v>
      </c>
      <c r="K6" s="69"/>
    </row>
    <row r="7" spans="1:11" ht="24.75" customHeight="1" x14ac:dyDescent="0.25">
      <c r="A7" s="71" t="s">
        <v>58</v>
      </c>
      <c r="B7" s="72" t="s">
        <v>497</v>
      </c>
      <c r="C7" s="72"/>
      <c r="D7" s="72"/>
      <c r="E7" s="85"/>
      <c r="F7" s="71"/>
      <c r="G7" s="71"/>
      <c r="H7" s="84"/>
      <c r="I7" s="84"/>
      <c r="J7" s="71">
        <f>SUM(J17)</f>
        <v>0.5</v>
      </c>
      <c r="K7" s="71"/>
    </row>
    <row r="8" spans="1:11" ht="25.5" x14ac:dyDescent="0.25">
      <c r="A8" s="172" t="s">
        <v>3</v>
      </c>
      <c r="B8" s="73" t="s">
        <v>59</v>
      </c>
      <c r="H8" s="84"/>
      <c r="I8" s="84"/>
    </row>
    <row r="9" spans="1:11" ht="38.25" x14ac:dyDescent="0.25">
      <c r="B9" s="74" t="s">
        <v>60</v>
      </c>
      <c r="C9" s="175"/>
      <c r="D9" s="87" t="s">
        <v>56</v>
      </c>
      <c r="F9" s="296" t="s">
        <v>156</v>
      </c>
      <c r="G9" s="297" t="str">
        <f>IF((AND(H9=TRUE,H10=FALSE)),"OK",IF(AND(C9="NA",C11="NA",C15="NA"),"NA","NOK"))</f>
        <v>NOK</v>
      </c>
      <c r="H9" s="84" t="b">
        <f>OR(C9="Y",C11="Y",C15="Y")</f>
        <v>0</v>
      </c>
      <c r="I9" s="84"/>
      <c r="J9" s="297" t="s">
        <v>5</v>
      </c>
      <c r="K9" s="3"/>
    </row>
    <row r="10" spans="1:11" x14ac:dyDescent="0.25">
      <c r="B10" s="88" t="s">
        <v>61</v>
      </c>
      <c r="C10" s="88"/>
      <c r="D10" s="88"/>
      <c r="E10" s="88"/>
      <c r="F10" s="297"/>
      <c r="G10" s="297"/>
      <c r="H10" s="84" t="b">
        <f>OR(C9="N",C11="N",C15="N")</f>
        <v>0</v>
      </c>
      <c r="I10" s="84"/>
      <c r="J10" s="297"/>
    </row>
    <row r="11" spans="1:11" ht="38.25" x14ac:dyDescent="0.25">
      <c r="B11" s="74" t="s">
        <v>62</v>
      </c>
      <c r="C11" s="175"/>
      <c r="D11" s="87" t="s">
        <v>56</v>
      </c>
      <c r="F11" s="297"/>
      <c r="G11" s="297"/>
      <c r="H11" s="84"/>
      <c r="I11" s="84"/>
      <c r="J11" s="297"/>
      <c r="K11" s="3"/>
    </row>
    <row r="12" spans="1:11" ht="51" x14ac:dyDescent="0.25">
      <c r="B12" s="231" t="s">
        <v>64</v>
      </c>
      <c r="F12" s="297"/>
      <c r="G12" s="297"/>
      <c r="H12" s="84"/>
      <c r="I12" s="84"/>
      <c r="J12" s="297"/>
    </row>
    <row r="13" spans="1:11" ht="51" x14ac:dyDescent="0.25">
      <c r="B13" s="231" t="s">
        <v>63</v>
      </c>
      <c r="F13" s="297"/>
      <c r="G13" s="297"/>
      <c r="H13" s="84"/>
      <c r="I13" s="84"/>
      <c r="J13" s="297"/>
    </row>
    <row r="14" spans="1:11" x14ac:dyDescent="0.25">
      <c r="B14" s="88" t="s">
        <v>4</v>
      </c>
      <c r="C14" s="88"/>
      <c r="D14" s="88"/>
      <c r="E14" s="88"/>
      <c r="F14" s="297"/>
      <c r="G14" s="297"/>
      <c r="H14" s="84"/>
      <c r="I14" s="84"/>
      <c r="J14" s="297"/>
    </row>
    <row r="15" spans="1:11" ht="38.25" x14ac:dyDescent="0.25">
      <c r="B15" s="74" t="s">
        <v>65</v>
      </c>
      <c r="C15" s="175"/>
      <c r="D15" s="87" t="s">
        <v>56</v>
      </c>
      <c r="F15" s="297"/>
      <c r="G15" s="297"/>
      <c r="H15" s="84"/>
      <c r="I15" s="84"/>
      <c r="J15" s="297"/>
      <c r="K15" s="3"/>
    </row>
    <row r="16" spans="1:11" ht="25.5" x14ac:dyDescent="0.25">
      <c r="B16" s="74"/>
      <c r="C16" s="195" t="s">
        <v>295</v>
      </c>
      <c r="D16" s="87"/>
      <c r="E16" s="85" t="str">
        <f>IF(C17="","Please input % coverage",IF(C17&gt;100%,"Please Check % Coverage",""))</f>
        <v>Please input % coverage</v>
      </c>
      <c r="H16" s="84"/>
      <c r="I16" s="84"/>
    </row>
    <row r="17" spans="1:11" ht="38.25" x14ac:dyDescent="0.25">
      <c r="A17" s="172" t="s">
        <v>6</v>
      </c>
      <c r="B17" s="74" t="s">
        <v>66</v>
      </c>
      <c r="C17" s="142"/>
      <c r="D17" s="175"/>
      <c r="E17" s="87" t="s">
        <v>15</v>
      </c>
      <c r="F17" s="91">
        <f>IF(D17="Y",IF(0.5*C17&gt;0.5,0.5,IF(C17&lt;0.15,0,IF(C17&gt;0.85,0.5,C17*0.5))),0)</f>
        <v>0</v>
      </c>
      <c r="G17" s="91"/>
      <c r="H17" s="84"/>
      <c r="I17" s="84"/>
      <c r="J17" s="172">
        <v>0.5</v>
      </c>
      <c r="K17" s="3"/>
    </row>
    <row r="18" spans="1:11" x14ac:dyDescent="0.25">
      <c r="E18" s="88" t="s">
        <v>67</v>
      </c>
      <c r="F18" s="172">
        <f>SUM(F17)</f>
        <v>0</v>
      </c>
      <c r="H18" s="84"/>
      <c r="I18" s="84"/>
    </row>
    <row r="19" spans="1:11" x14ac:dyDescent="0.25">
      <c r="A19" s="94"/>
      <c r="H19" s="84"/>
      <c r="I19" s="84"/>
    </row>
    <row r="20" spans="1:11" ht="25.5" x14ac:dyDescent="0.25">
      <c r="A20" s="71" t="s">
        <v>68</v>
      </c>
      <c r="B20" s="72" t="s">
        <v>69</v>
      </c>
      <c r="C20" s="138" t="s">
        <v>295</v>
      </c>
      <c r="D20" s="72"/>
      <c r="E20" s="85" t="str">
        <f>IF(C22="","Please input % coverage",IF(C22&gt;100%,"Please Check % Coverage",""))</f>
        <v>Please input % coverage</v>
      </c>
      <c r="F20" s="71"/>
      <c r="G20" s="71"/>
      <c r="H20" s="84"/>
      <c r="I20" s="84"/>
      <c r="J20" s="71">
        <f>SUM(J22)</f>
        <v>0.5</v>
      </c>
      <c r="K20" s="71"/>
    </row>
    <row r="21" spans="1:11" ht="38.25" x14ac:dyDescent="0.25">
      <c r="A21" s="172" t="s">
        <v>3</v>
      </c>
      <c r="B21" s="73" t="s">
        <v>70</v>
      </c>
      <c r="C21" s="195"/>
      <c r="D21" s="87"/>
      <c r="H21" s="84"/>
      <c r="I21" s="84"/>
    </row>
    <row r="22" spans="1:11" x14ac:dyDescent="0.25">
      <c r="B22" s="74" t="s">
        <v>71</v>
      </c>
      <c r="C22" s="300"/>
      <c r="D22" s="301"/>
      <c r="E22" s="303" t="s">
        <v>15</v>
      </c>
      <c r="F22" s="302">
        <f>IF(D22="Y",IF(0.5*C22&gt;0.5,0.5,IF(C22&lt;0.15,0,IF(C22&gt;0.85,0.5,C22*0.5))),0)</f>
        <v>0</v>
      </c>
      <c r="G22" s="297"/>
      <c r="H22" s="84"/>
      <c r="I22" s="84"/>
      <c r="J22" s="297">
        <v>0.5</v>
      </c>
      <c r="K22" s="3"/>
    </row>
    <row r="23" spans="1:11" x14ac:dyDescent="0.25">
      <c r="B23" s="74" t="s">
        <v>72</v>
      </c>
      <c r="C23" s="300"/>
      <c r="D23" s="301"/>
      <c r="E23" s="303"/>
      <c r="F23" s="302">
        <f>IF(D23="Y",IF(1*C23&gt;1.5,1.5,IF(C23&lt;0.15,0,IF(C23&lt;0.85,C23*1.5,1.5))),0)</f>
        <v>0</v>
      </c>
      <c r="G23" s="297"/>
      <c r="H23" s="84"/>
      <c r="I23" s="84"/>
      <c r="J23" s="297"/>
      <c r="K23" s="3"/>
    </row>
    <row r="24" spans="1:11" ht="38.25" x14ac:dyDescent="0.25">
      <c r="A24" s="172" t="s">
        <v>14</v>
      </c>
      <c r="B24" s="73" t="s">
        <v>73</v>
      </c>
      <c r="C24" s="300"/>
      <c r="D24" s="301"/>
      <c r="E24" s="303"/>
      <c r="F24" s="302">
        <f>IF(D24="Y",IF(1*C24&gt;1.5,1.5,IF(C24&lt;0.15,0,IF(C24&lt;0.85,C24*1.5,1.5))),0)</f>
        <v>0</v>
      </c>
      <c r="G24" s="297"/>
      <c r="H24" s="84"/>
      <c r="I24" s="84"/>
      <c r="J24" s="297"/>
      <c r="K24" s="3"/>
    </row>
    <row r="25" spans="1:11" x14ac:dyDescent="0.25">
      <c r="E25" s="88" t="s">
        <v>74</v>
      </c>
      <c r="F25" s="172">
        <f>SUM(F22)</f>
        <v>0</v>
      </c>
      <c r="H25" s="84"/>
      <c r="I25" s="84"/>
    </row>
    <row r="26" spans="1:11" x14ac:dyDescent="0.25">
      <c r="H26" s="84"/>
      <c r="I26" s="84"/>
    </row>
    <row r="27" spans="1:11" ht="25.5" x14ac:dyDescent="0.25">
      <c r="A27" s="71" t="s">
        <v>75</v>
      </c>
      <c r="B27" s="72" t="s">
        <v>76</v>
      </c>
      <c r="C27" s="138" t="s">
        <v>295</v>
      </c>
      <c r="D27" s="72"/>
      <c r="E27" s="85" t="str">
        <f>IF(C28="","Please input % coverage",IF(C28&gt;100%,"Please Check % Coverage",""))</f>
        <v>Please input % coverage</v>
      </c>
      <c r="F27" s="71"/>
      <c r="G27" s="71"/>
      <c r="H27" s="84"/>
      <c r="I27" s="84"/>
      <c r="J27" s="71">
        <f>SUM(J28)</f>
        <v>0.5</v>
      </c>
      <c r="K27" s="71"/>
    </row>
    <row r="28" spans="1:11" ht="25.5" x14ac:dyDescent="0.25">
      <c r="A28" s="172" t="s">
        <v>3</v>
      </c>
      <c r="B28" s="73" t="s">
        <v>477</v>
      </c>
      <c r="C28" s="142"/>
      <c r="D28" s="175"/>
      <c r="E28" s="87" t="s">
        <v>15</v>
      </c>
      <c r="F28" s="91">
        <f>IF(D28="Y",IF(0.5*C28&gt;0.5,0.5,IF(C28&lt;0.15,0,IF(C28&gt;0.85,0.5,C28*0.5))),0)</f>
        <v>0</v>
      </c>
      <c r="H28" s="84"/>
      <c r="I28" s="84"/>
      <c r="J28" s="172">
        <v>0.5</v>
      </c>
      <c r="K28" s="3"/>
    </row>
    <row r="29" spans="1:11" x14ac:dyDescent="0.25">
      <c r="B29" s="74"/>
      <c r="C29" s="74"/>
      <c r="D29" s="87"/>
      <c r="E29" s="88" t="s">
        <v>77</v>
      </c>
      <c r="F29" s="172">
        <f>SUM(F28)</f>
        <v>0</v>
      </c>
      <c r="H29" s="84"/>
      <c r="I29" s="84"/>
    </row>
    <row r="30" spans="1:11" x14ac:dyDescent="0.25">
      <c r="H30" s="84"/>
      <c r="I30" s="84"/>
    </row>
    <row r="31" spans="1:11" x14ac:dyDescent="0.25">
      <c r="A31" s="69">
        <v>4.2</v>
      </c>
      <c r="B31" s="70" t="s">
        <v>78</v>
      </c>
      <c r="C31" s="82"/>
      <c r="D31" s="82"/>
      <c r="E31" s="82"/>
      <c r="F31" s="69">
        <f>SUM(F36,F40,F44,F48)</f>
        <v>0</v>
      </c>
      <c r="G31" s="69"/>
      <c r="H31" s="84"/>
      <c r="I31" s="84"/>
      <c r="J31" s="69">
        <f>SUM(J32,J38,J42,J46)</f>
        <v>3</v>
      </c>
      <c r="K31" s="69"/>
    </row>
    <row r="32" spans="1:11" x14ac:dyDescent="0.25">
      <c r="A32" s="71" t="s">
        <v>79</v>
      </c>
      <c r="B32" s="72" t="s">
        <v>82</v>
      </c>
      <c r="C32" s="72"/>
      <c r="D32" s="72"/>
      <c r="E32" s="85"/>
      <c r="F32" s="71"/>
      <c r="G32" s="71"/>
      <c r="H32" s="84"/>
      <c r="I32" s="84"/>
      <c r="J32" s="98" t="s">
        <v>156</v>
      </c>
      <c r="K32" s="71"/>
    </row>
    <row r="33" spans="1:11" ht="25.5" x14ac:dyDescent="0.25">
      <c r="A33" s="172" t="s">
        <v>3</v>
      </c>
      <c r="B33" s="73" t="s">
        <v>80</v>
      </c>
      <c r="C33" s="175"/>
      <c r="D33" s="87" t="s">
        <v>15</v>
      </c>
      <c r="F33" s="296" t="s">
        <v>156</v>
      </c>
      <c r="G33" s="297" t="str">
        <f>IF((OR(C33="Y",C35="Y")),"OK","NOK")</f>
        <v>NOK</v>
      </c>
      <c r="H33" s="84"/>
      <c r="I33" s="84"/>
      <c r="J33" s="297" t="s">
        <v>5</v>
      </c>
      <c r="K33" s="3"/>
    </row>
    <row r="34" spans="1:11" x14ac:dyDescent="0.25">
      <c r="B34" s="232" t="s">
        <v>4</v>
      </c>
      <c r="C34" s="88"/>
      <c r="D34" s="88"/>
      <c r="E34" s="88"/>
      <c r="F34" s="297"/>
      <c r="G34" s="297"/>
      <c r="H34" s="84"/>
      <c r="I34" s="84"/>
      <c r="J34" s="297"/>
    </row>
    <row r="35" spans="1:11" ht="25.5" x14ac:dyDescent="0.25">
      <c r="A35" s="172" t="s">
        <v>6</v>
      </c>
      <c r="B35" s="73" t="s">
        <v>81</v>
      </c>
      <c r="C35" s="175"/>
      <c r="D35" s="87" t="s">
        <v>15</v>
      </c>
      <c r="F35" s="297"/>
      <c r="G35" s="297"/>
      <c r="H35" s="84"/>
      <c r="I35" s="84"/>
      <c r="J35" s="297"/>
      <c r="K35" s="3"/>
    </row>
    <row r="36" spans="1:11" x14ac:dyDescent="0.25">
      <c r="E36" s="88" t="s">
        <v>83</v>
      </c>
      <c r="F36" s="171" t="s">
        <v>156</v>
      </c>
      <c r="H36" s="84"/>
      <c r="I36" s="84"/>
    </row>
    <row r="37" spans="1:11" x14ac:dyDescent="0.25">
      <c r="H37" s="84"/>
      <c r="I37" s="84"/>
    </row>
    <row r="38" spans="1:11" ht="25.5" x14ac:dyDescent="0.25">
      <c r="A38" s="71" t="s">
        <v>84</v>
      </c>
      <c r="B38" s="72" t="s">
        <v>85</v>
      </c>
      <c r="C38" s="72"/>
      <c r="D38" s="72"/>
      <c r="E38" s="85"/>
      <c r="F38" s="71"/>
      <c r="G38" s="71"/>
      <c r="H38" s="84"/>
      <c r="I38" s="84"/>
      <c r="J38" s="71">
        <f>SUM(J39:J39)</f>
        <v>1</v>
      </c>
      <c r="K38" s="71"/>
    </row>
    <row r="39" spans="1:11" x14ac:dyDescent="0.25">
      <c r="A39" s="172" t="s">
        <v>3</v>
      </c>
      <c r="B39" s="73" t="s">
        <v>87</v>
      </c>
      <c r="C39" s="175"/>
      <c r="D39" s="87" t="s">
        <v>15</v>
      </c>
      <c r="F39" s="172">
        <f>IF(C39="Y",1,0)</f>
        <v>0</v>
      </c>
      <c r="H39" s="84"/>
      <c r="I39" s="84"/>
      <c r="J39" s="172">
        <v>1</v>
      </c>
      <c r="K39" s="3"/>
    </row>
    <row r="40" spans="1:11" x14ac:dyDescent="0.25">
      <c r="E40" s="88" t="s">
        <v>86</v>
      </c>
      <c r="F40" s="172">
        <f>SUM(F39:F39)</f>
        <v>0</v>
      </c>
      <c r="H40" s="84"/>
      <c r="I40" s="84"/>
    </row>
    <row r="41" spans="1:11" x14ac:dyDescent="0.25">
      <c r="H41" s="84"/>
      <c r="I41" s="84"/>
    </row>
    <row r="42" spans="1:11" ht="25.5" x14ac:dyDescent="0.25">
      <c r="A42" s="71" t="s">
        <v>88</v>
      </c>
      <c r="B42" s="72" t="s">
        <v>90</v>
      </c>
      <c r="C42" s="72"/>
      <c r="D42" s="72"/>
      <c r="E42" s="85"/>
      <c r="F42" s="71"/>
      <c r="G42" s="71"/>
      <c r="H42" s="84"/>
      <c r="I42" s="84"/>
      <c r="J42" s="71">
        <f>SUM(J43:J43)</f>
        <v>1</v>
      </c>
      <c r="K42" s="71"/>
    </row>
    <row r="43" spans="1:11" ht="38.25" x14ac:dyDescent="0.25">
      <c r="A43" s="172" t="s">
        <v>3</v>
      </c>
      <c r="B43" s="73" t="s">
        <v>91</v>
      </c>
      <c r="C43" s="175"/>
      <c r="D43" s="87" t="s">
        <v>15</v>
      </c>
      <c r="F43" s="172">
        <f>IF(C43="Y",1,0)</f>
        <v>0</v>
      </c>
      <c r="H43" s="84"/>
      <c r="I43" s="84"/>
      <c r="J43" s="172">
        <v>1</v>
      </c>
      <c r="K43" s="3"/>
    </row>
    <row r="44" spans="1:11" x14ac:dyDescent="0.25">
      <c r="E44" s="88" t="s">
        <v>89</v>
      </c>
      <c r="F44" s="172">
        <f>SUM(F43:F43)</f>
        <v>0</v>
      </c>
      <c r="H44" s="84"/>
      <c r="I44" s="84"/>
    </row>
    <row r="45" spans="1:11" x14ac:dyDescent="0.25">
      <c r="H45" s="84"/>
      <c r="I45" s="84"/>
    </row>
    <row r="46" spans="1:11" x14ac:dyDescent="0.25">
      <c r="A46" s="71" t="s">
        <v>364</v>
      </c>
      <c r="B46" s="72" t="s">
        <v>365</v>
      </c>
      <c r="C46" s="72"/>
      <c r="D46" s="72"/>
      <c r="E46" s="85"/>
      <c r="F46" s="71"/>
      <c r="G46" s="71"/>
      <c r="H46" s="84"/>
      <c r="I46" s="84"/>
      <c r="J46" s="71">
        <f>SUM(J47:J47)</f>
        <v>1</v>
      </c>
      <c r="K46" s="71"/>
    </row>
    <row r="47" spans="1:11" ht="38.25" x14ac:dyDescent="0.25">
      <c r="A47" s="172" t="s">
        <v>3</v>
      </c>
      <c r="B47" s="73" t="s">
        <v>366</v>
      </c>
      <c r="C47" s="175"/>
      <c r="D47" s="189" t="s">
        <v>56</v>
      </c>
      <c r="F47" s="172">
        <f>IF(C47="Y",1,0)</f>
        <v>0</v>
      </c>
      <c r="H47" s="84"/>
      <c r="I47" s="84">
        <f>IF(C47="NA",J47,0)</f>
        <v>0</v>
      </c>
      <c r="J47" s="172">
        <v>1</v>
      </c>
      <c r="K47" s="3"/>
    </row>
    <row r="48" spans="1:11" x14ac:dyDescent="0.25">
      <c r="E48" s="88" t="s">
        <v>367</v>
      </c>
      <c r="F48" s="172">
        <f>SUM(F47:F47)</f>
        <v>0</v>
      </c>
      <c r="H48" s="84"/>
      <c r="I48" s="84"/>
    </row>
    <row r="49" spans="1:11" x14ac:dyDescent="0.25">
      <c r="H49" s="84"/>
      <c r="I49" s="84"/>
    </row>
    <row r="50" spans="1:11" x14ac:dyDescent="0.25">
      <c r="A50" s="69">
        <v>4.3</v>
      </c>
      <c r="B50" s="70" t="s">
        <v>93</v>
      </c>
      <c r="C50" s="82"/>
      <c r="D50" s="82"/>
      <c r="E50" s="82"/>
      <c r="F50" s="69">
        <f>SUM(F53,F58,F62)</f>
        <v>0</v>
      </c>
      <c r="G50" s="69"/>
      <c r="H50" s="84"/>
      <c r="I50" s="84"/>
      <c r="J50" s="69">
        <f>SUM(J51,J55,J60)</f>
        <v>3</v>
      </c>
      <c r="K50" s="69"/>
    </row>
    <row r="51" spans="1:11" x14ac:dyDescent="0.25">
      <c r="A51" s="71" t="s">
        <v>92</v>
      </c>
      <c r="B51" s="239" t="s">
        <v>499</v>
      </c>
      <c r="C51" s="72"/>
      <c r="D51" s="72"/>
      <c r="E51" s="85"/>
      <c r="F51" s="71"/>
      <c r="G51" s="71"/>
      <c r="H51" s="84"/>
      <c r="I51" s="84"/>
      <c r="J51" s="71">
        <f>SUM(J52)</f>
        <v>1</v>
      </c>
      <c r="K51" s="71"/>
    </row>
    <row r="52" spans="1:11" ht="76.5" x14ac:dyDescent="0.25">
      <c r="A52" s="172" t="s">
        <v>3</v>
      </c>
      <c r="B52" s="73" t="s">
        <v>478</v>
      </c>
      <c r="C52" s="175"/>
      <c r="D52" s="87" t="s">
        <v>56</v>
      </c>
      <c r="F52" s="172">
        <f>IF(C52="Y",1,0)</f>
        <v>0</v>
      </c>
      <c r="H52" s="84"/>
      <c r="I52" s="84">
        <f>IF(C52="NA",J52,0)</f>
        <v>0</v>
      </c>
      <c r="J52" s="172">
        <v>1</v>
      </c>
      <c r="K52" s="3"/>
    </row>
    <row r="53" spans="1:11" x14ac:dyDescent="0.25">
      <c r="E53" s="88" t="s">
        <v>94</v>
      </c>
      <c r="F53" s="172">
        <f>SUM(F52)</f>
        <v>0</v>
      </c>
      <c r="H53" s="84"/>
      <c r="I53" s="84"/>
    </row>
    <row r="54" spans="1:11" x14ac:dyDescent="0.25">
      <c r="H54" s="84"/>
      <c r="I54" s="84"/>
    </row>
    <row r="55" spans="1:11" ht="25.5" x14ac:dyDescent="0.25">
      <c r="A55" s="71" t="s">
        <v>95</v>
      </c>
      <c r="B55" s="72" t="s">
        <v>96</v>
      </c>
      <c r="C55" s="72"/>
      <c r="D55" s="72"/>
      <c r="E55" s="85"/>
      <c r="F55" s="71"/>
      <c r="G55" s="71"/>
      <c r="H55" s="84"/>
      <c r="I55" s="84"/>
      <c r="J55" s="71">
        <f>SUM(J57)</f>
        <v>1</v>
      </c>
      <c r="K55" s="71"/>
    </row>
    <row r="56" spans="1:11" ht="25.5" x14ac:dyDescent="0.25">
      <c r="A56" s="172" t="s">
        <v>3</v>
      </c>
      <c r="B56" s="73" t="s">
        <v>97</v>
      </c>
      <c r="C56" s="175"/>
      <c r="D56" s="87" t="s">
        <v>56</v>
      </c>
      <c r="F56" s="171" t="s">
        <v>156</v>
      </c>
      <c r="G56" s="172" t="str">
        <f>IF(C56="Y","OK",(IF(C56="NA","NA","NOK")))</f>
        <v>NOK</v>
      </c>
      <c r="H56" s="84"/>
      <c r="I56" s="84"/>
      <c r="J56" s="172" t="s">
        <v>5</v>
      </c>
      <c r="K56" s="3"/>
    </row>
    <row r="57" spans="1:11" ht="25.5" x14ac:dyDescent="0.25">
      <c r="A57" s="172" t="s">
        <v>6</v>
      </c>
      <c r="B57" s="73" t="s">
        <v>98</v>
      </c>
      <c r="C57" s="175"/>
      <c r="D57" s="87" t="s">
        <v>56</v>
      </c>
      <c r="F57" s="172">
        <f>IF(C57="Y",1,0)</f>
        <v>0</v>
      </c>
      <c r="H57" s="84"/>
      <c r="I57" s="84">
        <f>IF(C57="NA",J57,0)</f>
        <v>0</v>
      </c>
      <c r="J57" s="172">
        <v>1</v>
      </c>
      <c r="K57" s="3"/>
    </row>
    <row r="58" spans="1:11" x14ac:dyDescent="0.25">
      <c r="E58" s="88" t="s">
        <v>102</v>
      </c>
      <c r="F58" s="172">
        <f>SUM(F56:F57)</f>
        <v>0</v>
      </c>
      <c r="H58" s="84"/>
      <c r="I58" s="84"/>
    </row>
    <row r="59" spans="1:11" x14ac:dyDescent="0.25">
      <c r="H59" s="84"/>
      <c r="I59" s="84"/>
    </row>
    <row r="60" spans="1:11" ht="25.5" x14ac:dyDescent="0.25">
      <c r="A60" s="71" t="s">
        <v>99</v>
      </c>
      <c r="B60" s="72" t="s">
        <v>100</v>
      </c>
      <c r="C60" s="72"/>
      <c r="D60" s="72"/>
      <c r="E60" s="85"/>
      <c r="F60" s="71"/>
      <c r="G60" s="71"/>
      <c r="H60" s="84"/>
      <c r="I60" s="84"/>
      <c r="J60" s="71">
        <f>SUM(J61)</f>
        <v>1</v>
      </c>
      <c r="K60" s="71"/>
    </row>
    <row r="61" spans="1:11" ht="38.25" x14ac:dyDescent="0.25">
      <c r="A61" s="172" t="s">
        <v>3</v>
      </c>
      <c r="B61" s="186" t="s">
        <v>101</v>
      </c>
      <c r="C61" s="175"/>
      <c r="D61" s="87" t="s">
        <v>56</v>
      </c>
      <c r="F61" s="172">
        <f>IF(C61="Y",1,0)</f>
        <v>0</v>
      </c>
      <c r="H61" s="84"/>
      <c r="I61" s="84">
        <f>IF(C61="NA",J61,0)</f>
        <v>0</v>
      </c>
      <c r="J61" s="172">
        <v>1</v>
      </c>
      <c r="K61" s="3"/>
    </row>
    <row r="62" spans="1:11" x14ac:dyDescent="0.25">
      <c r="E62" s="88" t="s">
        <v>103</v>
      </c>
      <c r="F62" s="172">
        <f>SUM(F61:F61)</f>
        <v>0</v>
      </c>
      <c r="H62" s="84"/>
      <c r="I62" s="84"/>
    </row>
    <row r="63" spans="1:11" x14ac:dyDescent="0.25">
      <c r="H63" s="84"/>
      <c r="I63" s="84"/>
    </row>
    <row r="64" spans="1:11" x14ac:dyDescent="0.25">
      <c r="H64" s="84"/>
      <c r="I64" s="84"/>
    </row>
    <row r="65" spans="1:11" x14ac:dyDescent="0.25">
      <c r="A65" s="69">
        <v>4.4000000000000004</v>
      </c>
      <c r="B65" s="70" t="s">
        <v>104</v>
      </c>
      <c r="C65" s="82"/>
      <c r="D65" s="82"/>
      <c r="E65" s="82"/>
      <c r="F65" s="69">
        <f>SUM(F68)</f>
        <v>0</v>
      </c>
      <c r="G65" s="69"/>
      <c r="H65" s="84"/>
      <c r="I65" s="84"/>
      <c r="J65" s="69">
        <f>SUM(J66)</f>
        <v>1</v>
      </c>
      <c r="K65" s="69"/>
    </row>
    <row r="66" spans="1:11" ht="38.25" x14ac:dyDescent="0.25">
      <c r="A66" s="71" t="s">
        <v>105</v>
      </c>
      <c r="B66" s="72" t="s">
        <v>106</v>
      </c>
      <c r="C66" s="72"/>
      <c r="D66" s="72"/>
      <c r="E66" s="85"/>
      <c r="F66" s="71"/>
      <c r="G66" s="71"/>
      <c r="H66" s="84"/>
      <c r="I66" s="84"/>
      <c r="J66" s="71">
        <f>SUM(J67)</f>
        <v>1</v>
      </c>
      <c r="K66" s="71"/>
    </row>
    <row r="67" spans="1:11" ht="38.25" x14ac:dyDescent="0.25">
      <c r="A67" s="172" t="s">
        <v>3</v>
      </c>
      <c r="B67" s="73" t="s">
        <v>479</v>
      </c>
      <c r="C67" s="175"/>
      <c r="D67" s="87" t="s">
        <v>15</v>
      </c>
      <c r="F67" s="196">
        <f>IF(C67="Y",1,0)</f>
        <v>0</v>
      </c>
      <c r="H67" s="84"/>
      <c r="I67" s="84"/>
      <c r="J67" s="172">
        <v>1</v>
      </c>
      <c r="K67" s="3"/>
    </row>
    <row r="68" spans="1:11" x14ac:dyDescent="0.25">
      <c r="E68" s="88" t="s">
        <v>107</v>
      </c>
      <c r="F68" s="172">
        <f>SUM(F67:F67)</f>
        <v>0</v>
      </c>
      <c r="H68" s="84"/>
      <c r="I68" s="84"/>
    </row>
    <row r="69" spans="1:11" x14ac:dyDescent="0.25">
      <c r="H69" s="84"/>
      <c r="I69" s="84"/>
    </row>
    <row r="70" spans="1:11" x14ac:dyDescent="0.25">
      <c r="A70" s="69">
        <v>4.5</v>
      </c>
      <c r="B70" s="70" t="s">
        <v>108</v>
      </c>
      <c r="C70" s="82"/>
      <c r="D70" s="82"/>
      <c r="E70" s="82"/>
      <c r="F70" s="69">
        <f>SUM(F73,F78)</f>
        <v>0</v>
      </c>
      <c r="G70" s="69"/>
      <c r="H70" s="84"/>
      <c r="I70" s="84"/>
      <c r="J70" s="69">
        <f>SUM(J71,J76)</f>
        <v>2</v>
      </c>
      <c r="K70" s="69"/>
    </row>
    <row r="71" spans="1:11" x14ac:dyDescent="0.25">
      <c r="A71" s="71" t="s">
        <v>109</v>
      </c>
      <c r="B71" s="72" t="s">
        <v>110</v>
      </c>
      <c r="C71" s="72"/>
      <c r="D71" s="72"/>
      <c r="E71" s="85"/>
      <c r="F71" s="71"/>
      <c r="G71" s="71"/>
      <c r="H71" s="84"/>
      <c r="I71" s="84"/>
      <c r="J71" s="98" t="s">
        <v>156</v>
      </c>
      <c r="K71" s="71"/>
    </row>
    <row r="72" spans="1:11" ht="25.5" x14ac:dyDescent="0.25">
      <c r="A72" s="172" t="s">
        <v>3</v>
      </c>
      <c r="B72" s="73" t="s">
        <v>111</v>
      </c>
      <c r="C72" s="175"/>
      <c r="D72" s="87" t="s">
        <v>56</v>
      </c>
      <c r="F72" s="171" t="s">
        <v>156</v>
      </c>
      <c r="G72" s="172" t="str">
        <f>IF(C72="Y","OK",(IF(C72="NA","NA","NOK")))</f>
        <v>NOK</v>
      </c>
      <c r="H72" s="84"/>
      <c r="I72" s="84"/>
      <c r="J72" s="172" t="s">
        <v>5</v>
      </c>
      <c r="K72" s="3"/>
    </row>
    <row r="73" spans="1:11" x14ac:dyDescent="0.25">
      <c r="E73" s="88" t="s">
        <v>112</v>
      </c>
      <c r="F73" s="172">
        <f>SUM(F72:F72)</f>
        <v>0</v>
      </c>
      <c r="H73" s="84"/>
      <c r="I73" s="84"/>
    </row>
    <row r="74" spans="1:11" x14ac:dyDescent="0.25">
      <c r="H74" s="84"/>
      <c r="I74" s="84"/>
    </row>
    <row r="75" spans="1:11" x14ac:dyDescent="0.25">
      <c r="H75" s="84"/>
      <c r="I75" s="84"/>
    </row>
    <row r="76" spans="1:11" x14ac:dyDescent="0.25">
      <c r="A76" s="71" t="s">
        <v>113</v>
      </c>
      <c r="B76" s="72" t="s">
        <v>114</v>
      </c>
      <c r="C76" s="72"/>
      <c r="D76" s="72"/>
      <c r="E76" s="85"/>
      <c r="F76" s="71"/>
      <c r="G76" s="71"/>
      <c r="H76" s="84"/>
      <c r="I76" s="84"/>
      <c r="J76" s="71">
        <f>SUM(J77)</f>
        <v>2</v>
      </c>
      <c r="K76" s="71"/>
    </row>
    <row r="77" spans="1:11" ht="51" x14ac:dyDescent="0.25">
      <c r="A77" s="172" t="s">
        <v>3</v>
      </c>
      <c r="B77" s="73" t="s">
        <v>500</v>
      </c>
      <c r="C77" s="175"/>
      <c r="D77" s="87" t="s">
        <v>15</v>
      </c>
      <c r="F77" s="172">
        <f>IF(C77="Y",2,0)</f>
        <v>0</v>
      </c>
      <c r="H77" s="84"/>
      <c r="I77" s="84"/>
      <c r="J77" s="172">
        <v>2</v>
      </c>
      <c r="K77" s="3"/>
    </row>
    <row r="78" spans="1:11" x14ac:dyDescent="0.25">
      <c r="E78" s="88" t="s">
        <v>115</v>
      </c>
      <c r="F78" s="172">
        <f>SUM(F77:F77)</f>
        <v>0</v>
      </c>
      <c r="H78" s="84"/>
      <c r="I78" s="84"/>
    </row>
    <row r="79" spans="1:11" x14ac:dyDescent="0.25">
      <c r="H79" s="84"/>
      <c r="I79" s="84"/>
    </row>
    <row r="80" spans="1:11" x14ac:dyDescent="0.25">
      <c r="A80" s="69">
        <v>4.5999999999999996</v>
      </c>
      <c r="B80" s="70" t="s">
        <v>368</v>
      </c>
      <c r="C80" s="82"/>
      <c r="D80" s="82"/>
      <c r="E80" s="82"/>
      <c r="F80" s="69">
        <f>SUM(F83)</f>
        <v>0</v>
      </c>
      <c r="G80" s="69"/>
      <c r="H80" s="84"/>
      <c r="I80" s="84"/>
      <c r="J80" s="69">
        <v>0</v>
      </c>
      <c r="K80" s="69"/>
    </row>
    <row r="81" spans="1:11" ht="25.5" x14ac:dyDescent="0.25">
      <c r="A81" s="71" t="s">
        <v>116</v>
      </c>
      <c r="B81" s="72" t="s">
        <v>369</v>
      </c>
      <c r="C81" s="72"/>
      <c r="D81" s="72"/>
      <c r="E81" s="85"/>
      <c r="F81" s="71"/>
      <c r="G81" s="71"/>
      <c r="H81" s="84"/>
      <c r="I81" s="84"/>
      <c r="J81" s="71">
        <v>0</v>
      </c>
      <c r="K81" s="71"/>
    </row>
    <row r="82" spans="1:11" ht="51" x14ac:dyDescent="0.25">
      <c r="A82" s="172" t="s">
        <v>3</v>
      </c>
      <c r="B82" s="73" t="s">
        <v>370</v>
      </c>
      <c r="C82" s="1"/>
      <c r="D82" s="87" t="s">
        <v>56</v>
      </c>
      <c r="F82" s="171" t="s">
        <v>156</v>
      </c>
      <c r="G82" s="172" t="str">
        <f>IF(C82="Y","OK",(IF(C82="NA","NA","NOK")))</f>
        <v>NOK</v>
      </c>
      <c r="H82" s="84"/>
      <c r="I82" s="84"/>
      <c r="J82" s="172" t="s">
        <v>5</v>
      </c>
      <c r="K82" s="3"/>
    </row>
    <row r="83" spans="1:11" x14ac:dyDescent="0.25">
      <c r="E83" s="88" t="s">
        <v>117</v>
      </c>
      <c r="F83" s="172">
        <f>SUM(F82:F82)</f>
        <v>0</v>
      </c>
      <c r="H83" s="84"/>
      <c r="I83" s="84"/>
      <c r="J83" s="92" t="s">
        <v>288</v>
      </c>
    </row>
    <row r="84" spans="1:11" x14ac:dyDescent="0.25">
      <c r="H84" s="172"/>
      <c r="I84" s="172"/>
      <c r="J84" s="172">
        <v>0</v>
      </c>
    </row>
    <row r="85" spans="1:11" x14ac:dyDescent="0.25">
      <c r="E85" s="88" t="s">
        <v>161</v>
      </c>
      <c r="F85" s="92">
        <f>SUM(F6,F31,F50,F65,F70,F80)</f>
        <v>0</v>
      </c>
      <c r="G85" s="90" t="s">
        <v>160</v>
      </c>
      <c r="I85" s="90"/>
      <c r="J85" s="92" t="s">
        <v>2</v>
      </c>
    </row>
    <row r="86" spans="1:11" x14ac:dyDescent="0.25">
      <c r="E86" s="88" t="s">
        <v>245</v>
      </c>
      <c r="F86" s="92">
        <v>0</v>
      </c>
      <c r="G86" s="92">
        <f>SUM(I8:I83)</f>
        <v>0</v>
      </c>
      <c r="I86" s="90"/>
      <c r="J86" s="172">
        <f>SUM(J6,J31,J50,J65,J70,J80)</f>
        <v>10.5</v>
      </c>
    </row>
  </sheetData>
  <sheetProtection algorithmName="SHA-512" hashValue="5jT9DpWzd/iUD2hqNTVpcYr2FGBb3FvQMimXsbbIu+ah0bv3mJqKE9bez7jec8Qd04QsE0ZKfCw3lO+T5TgYeQ==" saltValue="Nwqrgi6NkjqGNLWHmFowlw==" spinCount="100000" sheet="1" selectLockedCells="1"/>
  <protectedRanges>
    <protectedRange sqref="D28 C77 D22:D24 C33 C35 C27 C39 C67 C72 C9 C11 D17 C82 C52 C61 C43 C15:C16 C21 C56:C57" name="input2_23"/>
    <protectedRange sqref="K9" name="input2_23_1_29"/>
    <protectedRange sqref="K11" name="input2_23_1_29_1"/>
    <protectedRange sqref="K15" name="input2_23_1_29_2"/>
    <protectedRange sqref="K17" name="input2_23_1_29_3"/>
    <protectedRange sqref="K22:K24" name="input2_23_1_29_4"/>
    <protectedRange sqref="K28" name="input2_23_1_29_5"/>
    <protectedRange sqref="K33" name="input2_23_1_29_6"/>
    <protectedRange sqref="K35" name="input2_23_1_29_7"/>
    <protectedRange sqref="K39" name="input2_23_1_29_8"/>
    <protectedRange sqref="K43 K47" name="input2_23_1_29_9"/>
    <protectedRange sqref="K52" name="input2_23_1_29_10"/>
    <protectedRange sqref="K56:K57" name="input2_23_1_29_12"/>
    <protectedRange sqref="K61" name="input2_23_1_29_13"/>
    <protectedRange sqref="K67" name="input2_23_1_29_14"/>
    <protectedRange sqref="K72" name="input2_23_1_29_15"/>
    <protectedRange sqref="K77" name="input2_23_1_29_17"/>
    <protectedRange sqref="K82" name="input2_23_1_29_18"/>
    <protectedRange sqref="C47" name="input2_23_1"/>
  </protectedRanges>
  <mergeCells count="17">
    <mergeCell ref="G33:G35"/>
    <mergeCell ref="F33:F35"/>
    <mergeCell ref="J33:J35"/>
    <mergeCell ref="C22:C24"/>
    <mergeCell ref="J4:J5"/>
    <mergeCell ref="D22:D24"/>
    <mergeCell ref="F22:F24"/>
    <mergeCell ref="G22:G24"/>
    <mergeCell ref="J22:J24"/>
    <mergeCell ref="E22:E24"/>
    <mergeCell ref="K4:K5"/>
    <mergeCell ref="A4:A5"/>
    <mergeCell ref="B4:B5"/>
    <mergeCell ref="E4:E5"/>
    <mergeCell ref="G9:G15"/>
    <mergeCell ref="J9:J15"/>
    <mergeCell ref="F9:F15"/>
  </mergeCells>
  <conditionalFormatting sqref="F17 G9:G16">
    <cfRule type="cellIs" dxfId="62" priority="73" operator="equal">
      <formula>"NOK"</formula>
    </cfRule>
    <cfRule type="cellIs" dxfId="61" priority="74" operator="equal">
      <formula>"OK"</formula>
    </cfRule>
  </conditionalFormatting>
  <conditionalFormatting sqref="G33">
    <cfRule type="cellIs" dxfId="60" priority="69" operator="equal">
      <formula>"NOK"</formula>
    </cfRule>
    <cfRule type="cellIs" dxfId="59" priority="70" operator="equal">
      <formula>"OK"</formula>
    </cfRule>
  </conditionalFormatting>
  <conditionalFormatting sqref="G22">
    <cfRule type="cellIs" dxfId="58" priority="30" operator="equal">
      <formula>"OK"</formula>
    </cfRule>
    <cfRule type="cellIs" dxfId="57" priority="31" operator="equal">
      <formula>"NOK"</formula>
    </cfRule>
  </conditionalFormatting>
  <conditionalFormatting sqref="F28">
    <cfRule type="cellIs" dxfId="56" priority="26" operator="equal">
      <formula>"NOK"</formula>
    </cfRule>
    <cfRule type="cellIs" dxfId="55" priority="27" operator="equal">
      <formula>"OK"</formula>
    </cfRule>
  </conditionalFormatting>
  <conditionalFormatting sqref="G52">
    <cfRule type="cellIs" dxfId="54" priority="22" operator="equal">
      <formula>"NOK"</formula>
    </cfRule>
    <cfRule type="cellIs" dxfId="53" priority="23" operator="equal">
      <formula>"OK"</formula>
    </cfRule>
  </conditionalFormatting>
  <conditionalFormatting sqref="G56">
    <cfRule type="cellIs" dxfId="52" priority="20" operator="equal">
      <formula>"OK"</formula>
    </cfRule>
    <cfRule type="cellIs" dxfId="51" priority="21" operator="equal">
      <formula>"NOK"</formula>
    </cfRule>
  </conditionalFormatting>
  <conditionalFormatting sqref="G72">
    <cfRule type="cellIs" dxfId="50" priority="14" operator="equal">
      <formula>"OK"</formula>
    </cfRule>
    <cfRule type="cellIs" dxfId="49" priority="15" operator="equal">
      <formula>"NOK"</formula>
    </cfRule>
  </conditionalFormatting>
  <conditionalFormatting sqref="G82">
    <cfRule type="cellIs" dxfId="48" priority="10" operator="equal">
      <formula>"OK"</formula>
    </cfRule>
    <cfRule type="cellIs" dxfId="47" priority="11" operator="equal">
      <formula>"NOK"</formula>
    </cfRule>
  </conditionalFormatting>
  <conditionalFormatting sqref="E16">
    <cfRule type="cellIs" dxfId="46" priority="8" operator="equal">
      <formula>"Please Check % Coverage"</formula>
    </cfRule>
    <cfRule type="cellIs" dxfId="45" priority="9" operator="equal">
      <formula>"Please input % coverage"</formula>
    </cfRule>
  </conditionalFormatting>
  <conditionalFormatting sqref="E16">
    <cfRule type="cellIs" dxfId="44" priority="7" operator="equal">
      <formula>"Please Check % Coverage"</formula>
    </cfRule>
  </conditionalFormatting>
  <conditionalFormatting sqref="E20">
    <cfRule type="cellIs" dxfId="43" priority="5" operator="equal">
      <formula>"Please Check % Coverage"</formula>
    </cfRule>
    <cfRule type="cellIs" dxfId="42" priority="6" operator="equal">
      <formula>"Please input % coverage"</formula>
    </cfRule>
  </conditionalFormatting>
  <conditionalFormatting sqref="E20">
    <cfRule type="cellIs" dxfId="41" priority="4" operator="equal">
      <formula>"Please Check % Coverage"</formula>
    </cfRule>
  </conditionalFormatting>
  <conditionalFormatting sqref="E27">
    <cfRule type="cellIs" dxfId="40" priority="2" operator="equal">
      <formula>"Please Check % Coverage"</formula>
    </cfRule>
    <cfRule type="cellIs" dxfId="39" priority="3" operator="equal">
      <formula>"Please input % coverage"</formula>
    </cfRule>
  </conditionalFormatting>
  <conditionalFormatting sqref="E27">
    <cfRule type="cellIs" dxfId="38" priority="1" operator="equal">
      <formula>"Please Check % Coverage"</formula>
    </cfRule>
  </conditionalFormatting>
  <dataValidations count="2">
    <dataValidation type="list" allowBlank="1" showInputMessage="1" showErrorMessage="1" sqref="C9 C82 C56:C57 C11 C72 C52 C61 C15 C47" xr:uid="{EF8397BD-4008-41B9-BF68-60879B5D2853}">
      <formula1>"Y,N,NA"</formula1>
    </dataValidation>
    <dataValidation type="list" allowBlank="1" showInputMessage="1" showErrorMessage="1" sqref="D17 D28 C43 C35 D22:D24 C67 C77 C33 C39" xr:uid="{F7D4B676-ECDA-40D8-92C2-94FBDD15EC43}">
      <formula1>"Y,N"</formula1>
    </dataValidation>
  </dataValidation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95DE-EF55-4126-85F1-3D937899E5A5}">
  <dimension ref="A1:K68"/>
  <sheetViews>
    <sheetView zoomScaleNormal="100" workbookViewId="0">
      <pane ySplit="5" topLeftCell="A6" activePane="bottomLeft" state="frozen"/>
      <selection pane="bottomLeft" activeCell="C8" sqref="C8"/>
    </sheetView>
  </sheetViews>
  <sheetFormatPr defaultRowHeight="12.75" x14ac:dyDescent="0.25"/>
  <cols>
    <col min="1" max="1" width="7.85546875" style="172" customWidth="1"/>
    <col min="2" max="2" width="44.85546875" style="73" customWidth="1"/>
    <col min="3" max="4" width="11.85546875" style="73" customWidth="1"/>
    <col min="5" max="5" width="14.85546875" style="86" customWidth="1"/>
    <col min="6" max="6" width="14.42578125" style="172" customWidth="1"/>
    <col min="7" max="7" width="17.28515625" style="172" customWidth="1"/>
    <col min="8" max="8" width="20.7109375" style="91" hidden="1" customWidth="1"/>
    <col min="9" max="9" width="16.42578125" style="91" hidden="1" customWidth="1"/>
    <col min="10" max="10" width="14.42578125" style="172" customWidth="1"/>
    <col min="11" max="11" width="30.7109375" style="94" customWidth="1"/>
    <col min="12" max="16384" width="9.140625" style="94"/>
  </cols>
  <sheetData>
    <row r="1" spans="1:11" ht="15.75" x14ac:dyDescent="0.25">
      <c r="A1" s="197" t="s">
        <v>253</v>
      </c>
      <c r="B1" s="198"/>
      <c r="C1" s="198"/>
      <c r="D1" s="198"/>
      <c r="E1" s="199"/>
      <c r="F1" s="99"/>
      <c r="G1" s="99"/>
      <c r="H1" s="99"/>
      <c r="I1" s="99"/>
      <c r="J1" s="99"/>
      <c r="K1" s="99"/>
    </row>
    <row r="3" spans="1:11" x14ac:dyDescent="0.25">
      <c r="F3" s="94"/>
      <c r="G3" s="94"/>
      <c r="H3" s="194"/>
      <c r="I3" s="194"/>
      <c r="J3" s="94"/>
    </row>
    <row r="4" spans="1:11" x14ac:dyDescent="0.25">
      <c r="A4" s="291"/>
      <c r="B4" s="292"/>
      <c r="C4" s="137"/>
      <c r="D4" s="79"/>
      <c r="E4" s="293" t="s">
        <v>24</v>
      </c>
      <c r="F4" s="169" t="s">
        <v>1</v>
      </c>
      <c r="G4" s="169" t="s">
        <v>55</v>
      </c>
      <c r="H4" s="80" t="s">
        <v>17</v>
      </c>
      <c r="I4" s="80" t="s">
        <v>17</v>
      </c>
      <c r="J4" s="293" t="s">
        <v>319</v>
      </c>
      <c r="K4" s="293" t="s">
        <v>315</v>
      </c>
    </row>
    <row r="5" spans="1:11" x14ac:dyDescent="0.25">
      <c r="A5" s="291"/>
      <c r="B5" s="292"/>
      <c r="C5" s="137"/>
      <c r="D5" s="79"/>
      <c r="E5" s="293"/>
      <c r="F5" s="169"/>
      <c r="G5" s="169"/>
      <c r="H5" s="80"/>
      <c r="I5" s="80" t="s">
        <v>159</v>
      </c>
      <c r="J5" s="293"/>
      <c r="K5" s="293"/>
    </row>
    <row r="6" spans="1:11" x14ac:dyDescent="0.25">
      <c r="A6" s="69">
        <v>5.0999999999999996</v>
      </c>
      <c r="B6" s="70" t="s">
        <v>150</v>
      </c>
      <c r="C6" s="81"/>
      <c r="D6" s="81"/>
      <c r="E6" s="82"/>
      <c r="F6" s="69">
        <f>SUM(F12)</f>
        <v>0</v>
      </c>
      <c r="G6" s="69"/>
      <c r="H6" s="84"/>
      <c r="I6" s="84"/>
      <c r="J6" s="69">
        <f>SUM(J7)</f>
        <v>1</v>
      </c>
      <c r="K6" s="69"/>
    </row>
    <row r="7" spans="1:11" ht="24.75" customHeight="1" x14ac:dyDescent="0.25">
      <c r="A7" s="71" t="s">
        <v>254</v>
      </c>
      <c r="B7" s="72" t="s">
        <v>255</v>
      </c>
      <c r="C7" s="72"/>
      <c r="D7" s="72"/>
      <c r="E7" s="85" t="str">
        <f>IF(AND(C10="",C9=""),"Please input % coverage",IF(C10+C9&gt;100%,"Please Check % Coverage",""))</f>
        <v>Please input % coverage</v>
      </c>
      <c r="F7" s="71"/>
      <c r="G7" s="71"/>
      <c r="H7" s="84"/>
      <c r="I7" s="84"/>
      <c r="J7" s="71">
        <f>SUM(J8:J10)</f>
        <v>1</v>
      </c>
      <c r="K7" s="71"/>
    </row>
    <row r="8" spans="1:11" ht="25.5" x14ac:dyDescent="0.25">
      <c r="A8" s="172" t="s">
        <v>3</v>
      </c>
      <c r="B8" s="73" t="s">
        <v>256</v>
      </c>
      <c r="C8" s="175"/>
      <c r="D8" s="87" t="s">
        <v>56</v>
      </c>
      <c r="F8" s="171" t="s">
        <v>156</v>
      </c>
      <c r="G8" s="172" t="str">
        <f>IF(C8="Y","OK",(IF(C8="NA","NA","NOK")))</f>
        <v>NOK</v>
      </c>
      <c r="H8" s="84"/>
      <c r="I8" s="84"/>
      <c r="J8" s="172" t="s">
        <v>5</v>
      </c>
      <c r="K8" s="3"/>
    </row>
    <row r="9" spans="1:11" ht="25.5" x14ac:dyDescent="0.25">
      <c r="A9" s="172" t="s">
        <v>6</v>
      </c>
      <c r="B9" s="75" t="s">
        <v>412</v>
      </c>
      <c r="C9" s="142"/>
      <c r="D9" s="175"/>
      <c r="E9" s="87" t="s">
        <v>56</v>
      </c>
      <c r="F9" s="296">
        <f>MAX(H9:H10)</f>
        <v>0</v>
      </c>
      <c r="G9" s="94"/>
      <c r="H9" s="216">
        <f>IF(D9="Y",IF(1*C9&gt;1,1,IF(C9&lt;0.15,0,IF(C9&gt;0.85,1,C9*1))),0)</f>
        <v>0</v>
      </c>
      <c r="I9" s="299">
        <f>IF(AND(D9="NA",D10="NA"),J9,0)</f>
        <v>0</v>
      </c>
      <c r="J9" s="297">
        <v>1</v>
      </c>
      <c r="K9" s="3"/>
    </row>
    <row r="10" spans="1:11" ht="25.5" x14ac:dyDescent="0.25">
      <c r="A10" s="172" t="s">
        <v>7</v>
      </c>
      <c r="B10" s="75" t="s">
        <v>480</v>
      </c>
      <c r="C10" s="142"/>
      <c r="D10" s="175"/>
      <c r="E10" s="87" t="s">
        <v>56</v>
      </c>
      <c r="F10" s="296"/>
      <c r="G10" s="94"/>
      <c r="H10" s="216">
        <f>IF(D10="Y",IF(0.5*C10&gt;0.5,0.5,IF(C10&lt;0.15,0,IF(C10&gt;0.85,0.5,C10*0.5))),0)</f>
        <v>0</v>
      </c>
      <c r="I10" s="299"/>
      <c r="J10" s="297"/>
      <c r="K10" s="3"/>
    </row>
    <row r="11" spans="1:11" ht="38.25" x14ac:dyDescent="0.25">
      <c r="B11" s="200" t="s">
        <v>257</v>
      </c>
      <c r="C11" s="175"/>
      <c r="D11" s="87" t="s">
        <v>56</v>
      </c>
      <c r="F11" s="101">
        <f>IF(C11="Y",1,0)</f>
        <v>0</v>
      </c>
      <c r="G11" s="94"/>
      <c r="H11" s="84"/>
      <c r="I11" s="84"/>
      <c r="J11" s="101">
        <v>1</v>
      </c>
      <c r="K11" s="3"/>
    </row>
    <row r="12" spans="1:11" x14ac:dyDescent="0.25">
      <c r="E12" s="88" t="s">
        <v>258</v>
      </c>
      <c r="F12" s="172">
        <f>SUM(F9)</f>
        <v>0</v>
      </c>
      <c r="G12" s="172" t="s">
        <v>241</v>
      </c>
      <c r="H12" s="84"/>
      <c r="I12" s="84"/>
    </row>
    <row r="13" spans="1:11" x14ac:dyDescent="0.25">
      <c r="A13" s="94"/>
      <c r="H13" s="84"/>
      <c r="I13" s="84"/>
    </row>
    <row r="14" spans="1:11" x14ac:dyDescent="0.25">
      <c r="A14" s="69">
        <v>5.2</v>
      </c>
      <c r="B14" s="70" t="s">
        <v>151</v>
      </c>
      <c r="C14" s="82"/>
      <c r="D14" s="82"/>
      <c r="E14" s="82"/>
      <c r="F14" s="69">
        <f>SUM(F19,F24,F28)</f>
        <v>0</v>
      </c>
      <c r="G14" s="69"/>
      <c r="H14" s="84"/>
      <c r="I14" s="84"/>
      <c r="J14" s="69">
        <f>SUM(J15,J21,J26)</f>
        <v>3.5</v>
      </c>
      <c r="K14" s="69"/>
    </row>
    <row r="15" spans="1:11" ht="25.5" x14ac:dyDescent="0.25">
      <c r="A15" s="71" t="s">
        <v>259</v>
      </c>
      <c r="B15" s="72" t="s">
        <v>260</v>
      </c>
      <c r="C15" s="72"/>
      <c r="D15" s="72"/>
      <c r="E15" s="85"/>
      <c r="F15" s="71"/>
      <c r="G15" s="71"/>
      <c r="H15" s="84"/>
      <c r="I15" s="84"/>
      <c r="J15" s="98">
        <f>SUM(J16:J17)</f>
        <v>2</v>
      </c>
      <c r="K15" s="71"/>
    </row>
    <row r="16" spans="1:11" ht="38.25" x14ac:dyDescent="0.25">
      <c r="A16" s="91" t="s">
        <v>3</v>
      </c>
      <c r="B16" s="73" t="s">
        <v>481</v>
      </c>
      <c r="C16" s="175"/>
      <c r="D16" s="87" t="s">
        <v>56</v>
      </c>
      <c r="F16" s="172">
        <f>H16</f>
        <v>0</v>
      </c>
      <c r="G16" s="91"/>
      <c r="H16" s="84">
        <f>IF(C16="Y",1,0)</f>
        <v>0</v>
      </c>
      <c r="I16" s="84">
        <f>IF(C16="NA",J16,0)</f>
        <v>0</v>
      </c>
      <c r="J16" s="172">
        <v>1</v>
      </c>
      <c r="K16" s="3"/>
    </row>
    <row r="17" spans="1:11" ht="63.75" customHeight="1" x14ac:dyDescent="0.25">
      <c r="A17" s="297" t="s">
        <v>6</v>
      </c>
      <c r="B17" s="304" t="s">
        <v>482</v>
      </c>
      <c r="C17" s="175"/>
      <c r="D17" s="87" t="s">
        <v>287</v>
      </c>
      <c r="F17" s="297">
        <f>SUM(H17:H19)</f>
        <v>0</v>
      </c>
      <c r="H17" s="84">
        <f>IF(AND(C18="Y",C17="Swimming Pools"),1,0)</f>
        <v>0</v>
      </c>
      <c r="I17" s="84"/>
      <c r="J17" s="297">
        <v>1</v>
      </c>
      <c r="K17" s="3"/>
    </row>
    <row r="18" spans="1:11" ht="24.75" customHeight="1" x14ac:dyDescent="0.25">
      <c r="A18" s="297"/>
      <c r="B18" s="304"/>
      <c r="C18" s="175"/>
      <c r="D18" s="87" t="s">
        <v>56</v>
      </c>
      <c r="F18" s="297"/>
      <c r="H18" s="84">
        <f>IF(AND(C18="Y",C17="Shallow Water Bodies"),0.5,0)</f>
        <v>0</v>
      </c>
      <c r="I18" s="84">
        <f>IF(C18="NA",J17,0)</f>
        <v>0</v>
      </c>
      <c r="J18" s="297"/>
      <c r="K18" s="3"/>
    </row>
    <row r="19" spans="1:11" x14ac:dyDescent="0.25">
      <c r="E19" s="88" t="s">
        <v>261</v>
      </c>
      <c r="F19" s="171">
        <f>SUM(F16:F18)</f>
        <v>0</v>
      </c>
      <c r="H19" s="84"/>
      <c r="I19" s="84"/>
    </row>
    <row r="20" spans="1:11" x14ac:dyDescent="0.25">
      <c r="H20" s="84"/>
      <c r="I20" s="84"/>
    </row>
    <row r="21" spans="1:11" ht="25.5" x14ac:dyDescent="0.25">
      <c r="A21" s="71" t="s">
        <v>262</v>
      </c>
      <c r="B21" s="72" t="s">
        <v>263</v>
      </c>
      <c r="C21" s="72"/>
      <c r="D21" s="72"/>
      <c r="E21" s="85" t="str">
        <f>IF(AND(C22="",C23=""),"Please input % coverage",IF(C22+C23&gt;100%,"Please Check % Coverage",""))</f>
        <v>Please input % coverage</v>
      </c>
      <c r="F21" s="71"/>
      <c r="G21" s="71"/>
      <c r="H21" s="84"/>
      <c r="I21" s="84"/>
      <c r="J21" s="71">
        <f>SUM(J22:J22)</f>
        <v>0.5</v>
      </c>
      <c r="K21" s="71"/>
    </row>
    <row r="22" spans="1:11" ht="25.5" x14ac:dyDescent="0.25">
      <c r="A22" s="172" t="s">
        <v>3</v>
      </c>
      <c r="B22" s="73" t="s">
        <v>264</v>
      </c>
      <c r="C22" s="142"/>
      <c r="D22" s="175"/>
      <c r="E22" s="87" t="s">
        <v>56</v>
      </c>
      <c r="F22" s="297">
        <f>IF(H22+H23&gt;0.5,0.5,H22+H23)</f>
        <v>0</v>
      </c>
      <c r="H22" s="84">
        <f>IF(D22="Y",IF(0.5*C22&gt;0.5,0.5,IF(C22&lt;0.15,0,IF(C22&gt;0.85,0.5,C22*0.5))),0)</f>
        <v>0</v>
      </c>
      <c r="I22" s="299">
        <f>IF(AND(D22="NA",D23="NA"),J22,0)</f>
        <v>0</v>
      </c>
      <c r="J22" s="297">
        <v>0.5</v>
      </c>
      <c r="K22" s="3"/>
    </row>
    <row r="23" spans="1:11" ht="25.5" x14ac:dyDescent="0.25">
      <c r="A23" s="172" t="s">
        <v>14</v>
      </c>
      <c r="B23" s="73" t="s">
        <v>413</v>
      </c>
      <c r="C23" s="142"/>
      <c r="D23" s="175"/>
      <c r="E23" s="87" t="s">
        <v>56</v>
      </c>
      <c r="F23" s="297"/>
      <c r="H23" s="84">
        <f>IF(D23="Y",IF(0.5*C23&gt;0.5,0.5,IF(C23&lt;0.15,0,IF(C23&gt;0.85,0.5,C23*0.5))),0)</f>
        <v>0</v>
      </c>
      <c r="I23" s="299"/>
      <c r="J23" s="297"/>
      <c r="K23" s="3"/>
    </row>
    <row r="24" spans="1:11" x14ac:dyDescent="0.25">
      <c r="E24" s="88" t="s">
        <v>266</v>
      </c>
      <c r="F24" s="172">
        <f>SUM(F22:F23)</f>
        <v>0</v>
      </c>
      <c r="H24" s="84"/>
      <c r="I24" s="84"/>
      <c r="K24" s="3"/>
    </row>
    <row r="25" spans="1:11" x14ac:dyDescent="0.25">
      <c r="H25" s="84"/>
      <c r="I25" s="84"/>
    </row>
    <row r="26" spans="1:11" x14ac:dyDescent="0.25">
      <c r="A26" s="71" t="s">
        <v>265</v>
      </c>
      <c r="B26" s="72" t="s">
        <v>483</v>
      </c>
      <c r="C26" s="72"/>
      <c r="D26" s="72"/>
      <c r="E26" s="85"/>
      <c r="F26" s="71"/>
      <c r="G26" s="71"/>
      <c r="H26" s="84"/>
      <c r="I26" s="84"/>
      <c r="J26" s="71">
        <f>SUM(J27:J27)</f>
        <v>1</v>
      </c>
      <c r="K26" s="71"/>
    </row>
    <row r="27" spans="1:11" ht="38.25" x14ac:dyDescent="0.25">
      <c r="A27" s="172" t="s">
        <v>3</v>
      </c>
      <c r="B27" s="73" t="s">
        <v>484</v>
      </c>
      <c r="C27" s="175"/>
      <c r="D27" s="189" t="s">
        <v>56</v>
      </c>
      <c r="F27" s="172">
        <f>H27</f>
        <v>0</v>
      </c>
      <c r="H27" s="84">
        <f>IF(C27="Y",1,0)</f>
        <v>0</v>
      </c>
      <c r="I27" s="84">
        <f>IF(C27="NA",J27,0)</f>
        <v>0</v>
      </c>
      <c r="J27" s="172">
        <v>1</v>
      </c>
      <c r="K27" s="3"/>
    </row>
    <row r="28" spans="1:11" x14ac:dyDescent="0.25">
      <c r="E28" s="88" t="s">
        <v>267</v>
      </c>
      <c r="F28" s="172">
        <f>SUM(F27)</f>
        <v>0</v>
      </c>
      <c r="H28" s="84"/>
      <c r="I28" s="84"/>
    </row>
    <row r="29" spans="1:11" x14ac:dyDescent="0.25">
      <c r="H29" s="84"/>
      <c r="I29" s="84"/>
    </row>
    <row r="30" spans="1:11" x14ac:dyDescent="0.25">
      <c r="A30" s="69">
        <v>5.3</v>
      </c>
      <c r="B30" s="70" t="s">
        <v>268</v>
      </c>
      <c r="C30" s="82"/>
      <c r="D30" s="82"/>
      <c r="E30" s="82"/>
      <c r="F30" s="69">
        <f>SUM(F33)</f>
        <v>0</v>
      </c>
      <c r="G30" s="69"/>
      <c r="H30" s="84"/>
      <c r="I30" s="84"/>
      <c r="J30" s="69">
        <f>SUM(J31)</f>
        <v>0</v>
      </c>
      <c r="K30" s="69"/>
    </row>
    <row r="31" spans="1:11" ht="25.5" x14ac:dyDescent="0.25">
      <c r="A31" s="71" t="s">
        <v>269</v>
      </c>
      <c r="B31" s="72" t="s">
        <v>485</v>
      </c>
      <c r="C31" s="72"/>
      <c r="D31" s="72"/>
      <c r="E31" s="85"/>
      <c r="F31" s="71"/>
      <c r="G31" s="71"/>
      <c r="H31" s="84"/>
      <c r="I31" s="84"/>
      <c r="J31" s="71">
        <f>SUM(J32)</f>
        <v>0</v>
      </c>
      <c r="K31" s="71"/>
    </row>
    <row r="32" spans="1:11" ht="38.25" x14ac:dyDescent="0.25">
      <c r="A32" s="172" t="s">
        <v>3</v>
      </c>
      <c r="B32" s="73" t="s">
        <v>486</v>
      </c>
      <c r="C32" s="175"/>
      <c r="D32" s="87" t="s">
        <v>56</v>
      </c>
      <c r="F32" s="171" t="s">
        <v>156</v>
      </c>
      <c r="G32" s="172" t="str">
        <f>IF(C32="Y","OK",(IF(C32="NA","NA","NOK")))</f>
        <v>NOK</v>
      </c>
      <c r="H32" s="84"/>
      <c r="I32" s="84"/>
      <c r="J32" s="172" t="s">
        <v>5</v>
      </c>
      <c r="K32" s="3"/>
    </row>
    <row r="33" spans="1:11" x14ac:dyDescent="0.25">
      <c r="E33" s="88" t="s">
        <v>279</v>
      </c>
      <c r="F33" s="172">
        <f>SUM(F32)</f>
        <v>0</v>
      </c>
      <c r="H33" s="84"/>
      <c r="I33" s="84"/>
    </row>
    <row r="34" spans="1:11" x14ac:dyDescent="0.25">
      <c r="H34" s="84"/>
      <c r="I34" s="84"/>
    </row>
    <row r="35" spans="1:11" ht="25.5" x14ac:dyDescent="0.25">
      <c r="A35" s="69">
        <v>5.4</v>
      </c>
      <c r="B35" s="70" t="s">
        <v>487</v>
      </c>
      <c r="C35" s="82"/>
      <c r="D35" s="82"/>
      <c r="E35" s="85" t="str">
        <f>IF(AND(C39=""),"Please input % coverage",IF(C39&gt;100%,"Please Check % Coverage",""))</f>
        <v>Please input % coverage</v>
      </c>
      <c r="F35" s="69">
        <f>SUM(F40)</f>
        <v>0</v>
      </c>
      <c r="G35" s="69"/>
      <c r="H35" s="84"/>
      <c r="I35" s="84"/>
      <c r="J35" s="69">
        <f>SUM(J36)</f>
        <v>1</v>
      </c>
      <c r="K35" s="69"/>
    </row>
    <row r="36" spans="1:11" x14ac:dyDescent="0.25">
      <c r="A36" s="71" t="s">
        <v>270</v>
      </c>
      <c r="B36" s="72" t="s">
        <v>488</v>
      </c>
      <c r="C36" s="72"/>
      <c r="D36" s="72"/>
      <c r="E36" s="85"/>
      <c r="F36" s="71"/>
      <c r="G36" s="71"/>
      <c r="H36" s="84"/>
      <c r="I36" s="84"/>
      <c r="J36" s="71">
        <f>SUM(J37:J39)</f>
        <v>1</v>
      </c>
      <c r="K36" s="71"/>
    </row>
    <row r="37" spans="1:11" ht="25.5" x14ac:dyDescent="0.25">
      <c r="A37" s="172" t="s">
        <v>3</v>
      </c>
      <c r="B37" s="73" t="s">
        <v>271</v>
      </c>
      <c r="C37" s="175"/>
      <c r="D37" s="87" t="s">
        <v>56</v>
      </c>
      <c r="F37" s="202" t="s">
        <v>156</v>
      </c>
      <c r="G37" s="172" t="str">
        <f>IF(C37="Y","OK",(IF(C37="NA","NA","NOK")))</f>
        <v>NOK</v>
      </c>
      <c r="H37" s="84"/>
      <c r="I37" s="84"/>
      <c r="J37" s="172" t="s">
        <v>5</v>
      </c>
      <c r="K37" s="3"/>
    </row>
    <row r="38" spans="1:11" ht="38.25" x14ac:dyDescent="0.25">
      <c r="A38" s="172" t="s">
        <v>6</v>
      </c>
      <c r="B38" s="73" t="s">
        <v>414</v>
      </c>
      <c r="C38" s="175"/>
      <c r="D38" s="87" t="s">
        <v>56</v>
      </c>
      <c r="F38" s="196"/>
      <c r="G38" s="172" t="str">
        <f>IF(C38="Y","OK",(IF(C38="NA","NA","NOK")))</f>
        <v>NOK</v>
      </c>
      <c r="H38" s="84"/>
      <c r="I38" s="84"/>
      <c r="J38" s="172" t="s">
        <v>5</v>
      </c>
      <c r="K38" s="3"/>
    </row>
    <row r="39" spans="1:11" ht="25.5" x14ac:dyDescent="0.25">
      <c r="A39" s="172" t="s">
        <v>7</v>
      </c>
      <c r="B39" s="73" t="s">
        <v>272</v>
      </c>
      <c r="C39" s="229"/>
      <c r="D39" s="230"/>
      <c r="E39" s="87" t="s">
        <v>56</v>
      </c>
      <c r="F39" s="196">
        <f>IF(D39="Y",IF(1*C39&gt;1,1,IF(C39&lt;0.15,0,IF(C39&gt;0.85,1,C39*1))),0)</f>
        <v>0</v>
      </c>
      <c r="H39" s="84"/>
      <c r="I39" s="84">
        <f>IF(D39="NA",J39,0)</f>
        <v>0</v>
      </c>
      <c r="J39" s="172">
        <v>1</v>
      </c>
      <c r="K39" s="3"/>
    </row>
    <row r="40" spans="1:11" x14ac:dyDescent="0.25">
      <c r="E40" s="88" t="s">
        <v>280</v>
      </c>
      <c r="F40" s="172">
        <f>SUM(F37:F39)</f>
        <v>0</v>
      </c>
      <c r="H40" s="84"/>
      <c r="I40" s="84"/>
    </row>
    <row r="41" spans="1:11" x14ac:dyDescent="0.25">
      <c r="H41" s="84"/>
      <c r="I41" s="84"/>
    </row>
    <row r="42" spans="1:11" x14ac:dyDescent="0.25">
      <c r="H42" s="84"/>
      <c r="I42" s="84"/>
    </row>
    <row r="43" spans="1:11" x14ac:dyDescent="0.25">
      <c r="A43" s="69">
        <v>5.5</v>
      </c>
      <c r="B43" s="70" t="s">
        <v>273</v>
      </c>
      <c r="C43" s="82"/>
      <c r="D43" s="82"/>
      <c r="E43" s="82"/>
      <c r="F43" s="69">
        <f>SUM(F47,F51)</f>
        <v>0</v>
      </c>
      <c r="G43" s="69"/>
      <c r="H43" s="84"/>
      <c r="I43" s="84"/>
      <c r="J43" s="69">
        <f>SUM(J44,J49)</f>
        <v>3</v>
      </c>
      <c r="K43" s="69"/>
    </row>
    <row r="44" spans="1:11" ht="25.5" x14ac:dyDescent="0.25">
      <c r="A44" s="71" t="s">
        <v>274</v>
      </c>
      <c r="B44" s="72" t="s">
        <v>275</v>
      </c>
      <c r="C44" s="72"/>
      <c r="D44" s="72"/>
      <c r="E44" s="85"/>
      <c r="F44" s="71"/>
      <c r="G44" s="71"/>
      <c r="H44" s="84"/>
      <c r="I44" s="84"/>
      <c r="J44" s="98">
        <f>SUM(J45)</f>
        <v>2</v>
      </c>
      <c r="K44" s="71"/>
    </row>
    <row r="45" spans="1:11" ht="38.25" x14ac:dyDescent="0.25">
      <c r="A45" s="172" t="s">
        <v>3</v>
      </c>
      <c r="B45" s="73" t="s">
        <v>489</v>
      </c>
      <c r="C45" s="175"/>
      <c r="D45" s="87" t="s">
        <v>56</v>
      </c>
      <c r="F45" s="296">
        <f>IF(SUM(H45:H46)=4,2,SUM(H45:H46))</f>
        <v>0</v>
      </c>
      <c r="H45" s="84">
        <f>IF(C45="Y",2,0)</f>
        <v>0</v>
      </c>
      <c r="I45" s="299">
        <f>IF(AND(C45="NA",C46="NA"),J45,0)</f>
        <v>0</v>
      </c>
      <c r="J45" s="297">
        <v>2</v>
      </c>
      <c r="K45" s="3"/>
    </row>
    <row r="46" spans="1:11" ht="63.75" x14ac:dyDescent="0.25">
      <c r="A46" s="172" t="s">
        <v>6</v>
      </c>
      <c r="B46" s="73" t="s">
        <v>490</v>
      </c>
      <c r="C46" s="175"/>
      <c r="D46" s="87" t="s">
        <v>56</v>
      </c>
      <c r="F46" s="296"/>
      <c r="H46" s="84">
        <f>IF(C46="Y",2,0)</f>
        <v>0</v>
      </c>
      <c r="I46" s="299"/>
      <c r="J46" s="297"/>
      <c r="K46" s="3"/>
    </row>
    <row r="47" spans="1:11" x14ac:dyDescent="0.25">
      <c r="E47" s="88" t="s">
        <v>281</v>
      </c>
      <c r="F47" s="172">
        <f>SUM(F45)</f>
        <v>0</v>
      </c>
      <c r="H47" s="84"/>
      <c r="I47" s="84"/>
    </row>
    <row r="48" spans="1:11" x14ac:dyDescent="0.25">
      <c r="H48" s="84"/>
      <c r="I48" s="84"/>
    </row>
    <row r="49" spans="1:11" x14ac:dyDescent="0.25">
      <c r="A49" s="71" t="s">
        <v>371</v>
      </c>
      <c r="B49" s="72" t="s">
        <v>374</v>
      </c>
      <c r="C49" s="72"/>
      <c r="D49" s="72"/>
      <c r="E49" s="85"/>
      <c r="F49" s="71"/>
      <c r="G49" s="71"/>
      <c r="H49" s="84"/>
      <c r="I49" s="84"/>
      <c r="J49" s="98">
        <f>SUM(J50)</f>
        <v>1</v>
      </c>
      <c r="K49" s="71"/>
    </row>
    <row r="50" spans="1:11" ht="25.5" x14ac:dyDescent="0.25">
      <c r="A50" s="172" t="s">
        <v>3</v>
      </c>
      <c r="B50" s="73" t="s">
        <v>372</v>
      </c>
      <c r="C50" s="175"/>
      <c r="D50" s="87" t="s">
        <v>56</v>
      </c>
      <c r="F50" s="172">
        <f>IF(C50="Y",1,0)</f>
        <v>0</v>
      </c>
      <c r="H50" s="84"/>
      <c r="I50" s="84">
        <f>IF(C50="NA",J50,0)</f>
        <v>0</v>
      </c>
      <c r="J50" s="172">
        <v>1</v>
      </c>
      <c r="K50" s="3"/>
    </row>
    <row r="51" spans="1:11" x14ac:dyDescent="0.25">
      <c r="E51" s="88" t="s">
        <v>373</v>
      </c>
      <c r="F51" s="172">
        <f>SUM(F50)</f>
        <v>0</v>
      </c>
      <c r="H51" s="84"/>
      <c r="I51" s="84"/>
    </row>
    <row r="52" spans="1:11" x14ac:dyDescent="0.25">
      <c r="H52" s="84"/>
      <c r="I52" s="84"/>
    </row>
    <row r="53" spans="1:11" x14ac:dyDescent="0.25">
      <c r="H53" s="84"/>
      <c r="I53" s="84"/>
    </row>
    <row r="54" spans="1:11" x14ac:dyDescent="0.25">
      <c r="A54" s="69">
        <v>5.6</v>
      </c>
      <c r="B54" s="70" t="s">
        <v>276</v>
      </c>
      <c r="C54" s="82"/>
      <c r="D54" s="82"/>
      <c r="E54" s="82"/>
      <c r="F54" s="69">
        <f>SUM(F59,F65)</f>
        <v>0</v>
      </c>
      <c r="G54" s="69"/>
      <c r="H54" s="84"/>
      <c r="I54" s="84"/>
      <c r="J54" s="69">
        <f>SUM(J55,J61)</f>
        <v>2</v>
      </c>
      <c r="K54" s="69"/>
    </row>
    <row r="55" spans="1:11" ht="25.5" x14ac:dyDescent="0.25">
      <c r="A55" s="71" t="s">
        <v>277</v>
      </c>
      <c r="B55" s="72" t="s">
        <v>491</v>
      </c>
      <c r="C55" s="72"/>
      <c r="D55" s="72"/>
      <c r="E55" s="85"/>
      <c r="F55" s="71"/>
      <c r="G55" s="71"/>
      <c r="H55" s="84"/>
      <c r="I55" s="84"/>
      <c r="J55" s="71">
        <f>SUM(J56:J58)</f>
        <v>1</v>
      </c>
      <c r="K55" s="71"/>
    </row>
    <row r="56" spans="1:11" ht="38.25" x14ac:dyDescent="0.25">
      <c r="A56" s="172" t="s">
        <v>3</v>
      </c>
      <c r="B56" s="73" t="s">
        <v>492</v>
      </c>
      <c r="C56" s="175"/>
      <c r="D56" s="87" t="s">
        <v>56</v>
      </c>
      <c r="F56" s="171" t="s">
        <v>156</v>
      </c>
      <c r="G56" s="172" t="str">
        <f>IF(C56="Y","OK",(IF(C56="NA","NA","NOK")))</f>
        <v>NOK</v>
      </c>
      <c r="H56" s="84"/>
      <c r="I56" s="84"/>
      <c r="J56" s="172" t="s">
        <v>5</v>
      </c>
      <c r="K56" s="3"/>
    </row>
    <row r="57" spans="1:11" ht="76.5" x14ac:dyDescent="0.25">
      <c r="A57" s="91" t="s">
        <v>6</v>
      </c>
      <c r="B57" s="73" t="s">
        <v>493</v>
      </c>
      <c r="C57" s="175"/>
      <c r="D57" s="87" t="s">
        <v>56</v>
      </c>
      <c r="F57" s="228">
        <f>H57</f>
        <v>0</v>
      </c>
      <c r="G57" s="91"/>
      <c r="H57" s="84">
        <f>IF(C57="Y",0.5,0)</f>
        <v>0</v>
      </c>
      <c r="I57" s="299"/>
      <c r="J57" s="297">
        <v>1</v>
      </c>
      <c r="K57" s="3"/>
    </row>
    <row r="58" spans="1:11" ht="38.25" x14ac:dyDescent="0.25">
      <c r="A58" s="91" t="s">
        <v>7</v>
      </c>
      <c r="B58" s="73" t="s">
        <v>322</v>
      </c>
      <c r="C58" s="175"/>
      <c r="D58" s="87" t="s">
        <v>56</v>
      </c>
      <c r="F58" s="228">
        <f>H58</f>
        <v>0</v>
      </c>
      <c r="G58" s="91"/>
      <c r="H58" s="84">
        <f t="shared" ref="H58" si="0">IF(C58="Y",0.5,0)</f>
        <v>0</v>
      </c>
      <c r="I58" s="299"/>
      <c r="J58" s="297"/>
      <c r="K58" s="3"/>
    </row>
    <row r="59" spans="1:11" x14ac:dyDescent="0.25">
      <c r="A59" s="91"/>
      <c r="E59" s="88" t="s">
        <v>282</v>
      </c>
      <c r="F59" s="172">
        <f>SUM(F56:F58)</f>
        <v>0</v>
      </c>
      <c r="G59" s="91"/>
      <c r="H59" s="84"/>
      <c r="I59" s="84"/>
    </row>
    <row r="60" spans="1:11" x14ac:dyDescent="0.25">
      <c r="A60" s="91"/>
      <c r="G60" s="91"/>
      <c r="H60" s="172"/>
      <c r="I60" s="172"/>
    </row>
    <row r="61" spans="1:11" ht="25.5" x14ac:dyDescent="0.25">
      <c r="A61" s="91" t="s">
        <v>278</v>
      </c>
      <c r="B61" s="72" t="s">
        <v>494</v>
      </c>
      <c r="C61" s="138" t="s">
        <v>295</v>
      </c>
      <c r="D61" s="72"/>
      <c r="E61" s="85" t="str">
        <f>IF(AND(C62="",C63="",C64=""),"Please input % coverage",IF(C62+C63+C64&gt;100%,"Please Check % Coverage",""))</f>
        <v>Please input % coverage</v>
      </c>
      <c r="F61" s="71"/>
      <c r="G61" s="91"/>
      <c r="H61" s="84"/>
      <c r="I61" s="84"/>
      <c r="J61" s="71">
        <f>SUM(J62)</f>
        <v>1</v>
      </c>
      <c r="K61" s="71"/>
    </row>
    <row r="62" spans="1:11" ht="25.5" x14ac:dyDescent="0.25">
      <c r="A62" s="91" t="s">
        <v>3</v>
      </c>
      <c r="B62" s="73" t="s">
        <v>284</v>
      </c>
      <c r="C62" s="174"/>
      <c r="D62" s="175"/>
      <c r="E62" s="189" t="s">
        <v>56</v>
      </c>
      <c r="F62" s="297">
        <f>IF(SUM(H62:H64)&gt;1,1,SUM(H62:H64))</f>
        <v>0</v>
      </c>
      <c r="G62" s="91"/>
      <c r="H62" s="84">
        <f>IF(D62="Y",IF(1*C62&gt;1,1,IF(C62&lt;0.15,0,IF(C62&gt;0.85,1,C62*1))),0)</f>
        <v>0</v>
      </c>
      <c r="I62" s="299">
        <f>IF(AND(D62="NA",D63="NA",D64="NA"),J62,0)</f>
        <v>0</v>
      </c>
      <c r="J62" s="297">
        <v>1</v>
      </c>
      <c r="K62" s="3"/>
    </row>
    <row r="63" spans="1:11" ht="38.25" x14ac:dyDescent="0.25">
      <c r="A63" s="91" t="s">
        <v>6</v>
      </c>
      <c r="B63" s="73" t="s">
        <v>495</v>
      </c>
      <c r="C63" s="174"/>
      <c r="D63" s="175"/>
      <c r="E63" s="189" t="s">
        <v>56</v>
      </c>
      <c r="F63" s="297"/>
      <c r="G63" s="91"/>
      <c r="H63" s="84">
        <f>IF(D63="Y",IF(1*C63&gt;1,1,IF(C63&lt;0.15,0,IF(C63&gt;0.85,1,C63*1))),0)</f>
        <v>0</v>
      </c>
      <c r="I63" s="299"/>
      <c r="J63" s="297"/>
      <c r="K63" s="3"/>
    </row>
    <row r="64" spans="1:11" x14ac:dyDescent="0.25">
      <c r="A64" s="172" t="s">
        <v>7</v>
      </c>
      <c r="B64" s="73" t="s">
        <v>285</v>
      </c>
      <c r="C64" s="174"/>
      <c r="D64" s="175"/>
      <c r="E64" s="189" t="s">
        <v>56</v>
      </c>
      <c r="F64" s="297"/>
      <c r="G64" s="91"/>
      <c r="H64" s="84">
        <f>IF(D64="Y",IF(1*C64&gt;1,1,IF(C64&lt;0.15,0,IF(C64&gt;0.85,1,C64*1))),0)</f>
        <v>0</v>
      </c>
      <c r="I64" s="299"/>
      <c r="J64" s="297"/>
      <c r="K64" s="3"/>
    </row>
    <row r="65" spans="5:10" x14ac:dyDescent="0.25">
      <c r="E65" s="88" t="s">
        <v>283</v>
      </c>
      <c r="F65" s="172">
        <f>SUM(F62:F62)</f>
        <v>0</v>
      </c>
      <c r="H65" s="172"/>
      <c r="I65" s="172"/>
      <c r="J65" s="92" t="s">
        <v>245</v>
      </c>
    </row>
    <row r="66" spans="5:10" x14ac:dyDescent="0.25">
      <c r="H66" s="172"/>
      <c r="I66" s="172"/>
      <c r="J66" s="172">
        <f>SUM(J11)</f>
        <v>1</v>
      </c>
    </row>
    <row r="67" spans="5:10" x14ac:dyDescent="0.25">
      <c r="E67" s="88" t="s">
        <v>161</v>
      </c>
      <c r="F67" s="92">
        <f>SUM(F6,F14,F30,F35,F43,F54)</f>
        <v>0</v>
      </c>
      <c r="G67" s="90" t="s">
        <v>160</v>
      </c>
      <c r="I67" s="90"/>
      <c r="J67" s="92" t="s">
        <v>2</v>
      </c>
    </row>
    <row r="68" spans="5:10" x14ac:dyDescent="0.25">
      <c r="E68" s="88" t="s">
        <v>245</v>
      </c>
      <c r="F68" s="92">
        <f>SUM(F11)</f>
        <v>0</v>
      </c>
      <c r="G68" s="92">
        <f>SUM(I8:I64)</f>
        <v>0</v>
      </c>
      <c r="I68" s="90"/>
      <c r="J68" s="172">
        <f>SUM(J6,J14,J30,J35,J43,J54)</f>
        <v>10.5</v>
      </c>
    </row>
  </sheetData>
  <sheetProtection algorithmName="SHA-512" hashValue="I7f8JIheyZwe6o/Vkw0gTuDuQkggezRxArfGkLYDPmySc6y7/W/m/Bsq3ChC7hfmkUbsCnJIUtPIJ9Zi+eTEMg==" saltValue="EbX4+lUbPGY7FaJjg9/Knw==" spinCount="100000" sheet="1" selectLockedCells="1"/>
  <protectedRanges>
    <protectedRange sqref="C32 D22:D23 D39 C50 C11 D9:D10 C37:C38 C45:C46 C16:C18 C8 C56:C58" name="input2_23"/>
    <protectedRange sqref="K8:K11" name="input2_23_1_29"/>
    <protectedRange sqref="K16" name="input2_23_1_29_1"/>
    <protectedRange sqref="K17:K18" name="input2_23_1_29_2"/>
    <protectedRange sqref="K22:K24" name="input2_23_1_29_3"/>
    <protectedRange sqref="K27" name="input2_23_1_29_4"/>
    <protectedRange sqref="K32" name="input2_23_1_29_5"/>
    <protectedRange sqref="K37:K39" name="input2_23_1_29_6"/>
    <protectedRange sqref="K62:K64 K50 K45:K46 K56:K58" name="input2_23_1_29_7"/>
    <protectedRange sqref="C27" name="input2_23_1"/>
    <protectedRange sqref="D62:D64" name="input2_23_2"/>
  </protectedRanges>
  <mergeCells count="23">
    <mergeCell ref="F62:F64"/>
    <mergeCell ref="J62:J64"/>
    <mergeCell ref="A17:A18"/>
    <mergeCell ref="F17:F18"/>
    <mergeCell ref="F22:F23"/>
    <mergeCell ref="J22:J23"/>
    <mergeCell ref="F45:F46"/>
    <mergeCell ref="J45:J46"/>
    <mergeCell ref="I22:I23"/>
    <mergeCell ref="I45:I46"/>
    <mergeCell ref="I57:I58"/>
    <mergeCell ref="I62:I64"/>
    <mergeCell ref="A4:A5"/>
    <mergeCell ref="B4:B5"/>
    <mergeCell ref="E4:E5"/>
    <mergeCell ref="J4:J5"/>
    <mergeCell ref="J57:J58"/>
    <mergeCell ref="K4:K5"/>
    <mergeCell ref="J17:J18"/>
    <mergeCell ref="F9:F10"/>
    <mergeCell ref="J9:J10"/>
    <mergeCell ref="B17:B18"/>
    <mergeCell ref="I9:I10"/>
  </mergeCells>
  <conditionalFormatting sqref="G9:G11">
    <cfRule type="cellIs" dxfId="37" priority="40" operator="equal">
      <formula>"NOK"</formula>
    </cfRule>
    <cfRule type="cellIs" dxfId="36" priority="41" operator="equal">
      <formula>"OK"</formula>
    </cfRule>
  </conditionalFormatting>
  <conditionalFormatting sqref="G16">
    <cfRule type="cellIs" dxfId="35" priority="38" operator="equal">
      <formula>"NOK"</formula>
    </cfRule>
    <cfRule type="cellIs" dxfId="34" priority="39" operator="equal">
      <formula>"OK"</formula>
    </cfRule>
  </conditionalFormatting>
  <conditionalFormatting sqref="G32">
    <cfRule type="cellIs" dxfId="33" priority="32" operator="equal">
      <formula>"NOK"</formula>
    </cfRule>
    <cfRule type="cellIs" dxfId="32" priority="33" operator="equal">
      <formula>"OK"</formula>
    </cfRule>
  </conditionalFormatting>
  <conditionalFormatting sqref="G45:G46">
    <cfRule type="cellIs" dxfId="31" priority="28" operator="equal">
      <formula>"OK"</formula>
    </cfRule>
    <cfRule type="cellIs" dxfId="30" priority="29" operator="equal">
      <formula>"NOK"</formula>
    </cfRule>
  </conditionalFormatting>
  <conditionalFormatting sqref="G8">
    <cfRule type="expression" dxfId="29" priority="24">
      <formula>$G$8="OK"</formula>
    </cfRule>
    <cfRule type="expression" dxfId="28" priority="25">
      <formula>$G$8="NOK"</formula>
    </cfRule>
  </conditionalFormatting>
  <conditionalFormatting sqref="G37">
    <cfRule type="expression" dxfId="27" priority="21">
      <formula>$G$37="OK"</formula>
    </cfRule>
    <cfRule type="expression" dxfId="26" priority="23">
      <formula>$G$37="NOK"</formula>
    </cfRule>
  </conditionalFormatting>
  <conditionalFormatting sqref="G38">
    <cfRule type="expression" dxfId="25" priority="19">
      <formula>$G$38="OK"</formula>
    </cfRule>
    <cfRule type="expression" dxfId="24" priority="20">
      <formula>$G$38="NOK"</formula>
    </cfRule>
  </conditionalFormatting>
  <conditionalFormatting sqref="G56">
    <cfRule type="expression" dxfId="23" priority="17">
      <formula>$G$56="OK"</formula>
    </cfRule>
    <cfRule type="expression" dxfId="22" priority="18">
      <formula>$G$56="NOK"</formula>
    </cfRule>
  </conditionalFormatting>
  <conditionalFormatting sqref="G50">
    <cfRule type="cellIs" dxfId="21" priority="15" operator="equal">
      <formula>"OK"</formula>
    </cfRule>
    <cfRule type="cellIs" dxfId="20" priority="16" operator="equal">
      <formula>"NOK"</formula>
    </cfRule>
  </conditionalFormatting>
  <conditionalFormatting sqref="E61">
    <cfRule type="cellIs" dxfId="19" priority="13" operator="equal">
      <formula>"Please Check % Coverage"</formula>
    </cfRule>
    <cfRule type="cellIs" dxfId="18" priority="14" operator="equal">
      <formula>"Please input % coverage"</formula>
    </cfRule>
  </conditionalFormatting>
  <conditionalFormatting sqref="E61">
    <cfRule type="cellIs" dxfId="17" priority="12" operator="equal">
      <formula>"Please Check % Coverage"</formula>
    </cfRule>
  </conditionalFormatting>
  <conditionalFormatting sqref="E21">
    <cfRule type="cellIs" dxfId="16" priority="8" operator="equal">
      <formula>"Please Check % Coverage"</formula>
    </cfRule>
    <cfRule type="cellIs" dxfId="15" priority="9" operator="equal">
      <formula>"Please input % coverage"</formula>
    </cfRule>
  </conditionalFormatting>
  <conditionalFormatting sqref="E21">
    <cfRule type="cellIs" dxfId="14" priority="7" operator="equal">
      <formula>"Please Check % Coverage"</formula>
    </cfRule>
  </conditionalFormatting>
  <conditionalFormatting sqref="E7">
    <cfRule type="cellIs" dxfId="13" priority="5" operator="equal">
      <formula>"Please Check % Coverage"</formula>
    </cfRule>
    <cfRule type="cellIs" dxfId="12" priority="6" operator="equal">
      <formula>"Please input % coverage"</formula>
    </cfRule>
  </conditionalFormatting>
  <conditionalFormatting sqref="E7">
    <cfRule type="cellIs" dxfId="11" priority="4" operator="equal">
      <formula>"Please Check % Coverage"</formula>
    </cfRule>
  </conditionalFormatting>
  <conditionalFormatting sqref="E35">
    <cfRule type="cellIs" dxfId="10" priority="2" operator="equal">
      <formula>"Please Check % Coverage"</formula>
    </cfRule>
    <cfRule type="cellIs" dxfId="9" priority="3" operator="equal">
      <formula>"Please input % coverage"</formula>
    </cfRule>
  </conditionalFormatting>
  <conditionalFormatting sqref="E35">
    <cfRule type="cellIs" dxfId="8" priority="1" operator="equal">
      <formula>"Please Check % Coverage"</formula>
    </cfRule>
  </conditionalFormatting>
  <dataValidations count="2">
    <dataValidation type="list" allowBlank="1" showInputMessage="1" showErrorMessage="1" sqref="C37:C38 C32 C50 D22:D23 C16 C18 C27 D39 C45:C46 C56:C58 D62:D64 D9:D10 C8 C11" xr:uid="{1D647C54-E21D-4E4E-8404-9B92AC0DA28D}">
      <formula1>"Y,N,NA"</formula1>
    </dataValidation>
    <dataValidation type="list" allowBlank="1" showInputMessage="1" showErrorMessage="1" sqref="C17" xr:uid="{08A33755-2C53-4F0D-A74F-AA760183970D}">
      <formula1>"Swimming Pools, Shallow Water Bodies"</formula1>
    </dataValidation>
  </dataValidation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981B-14D2-49CA-9366-CA5CC14569CB}">
  <dimension ref="A1:K19"/>
  <sheetViews>
    <sheetView zoomScaleNormal="100" workbookViewId="0">
      <pane ySplit="5" topLeftCell="A6" activePane="bottomLeft" state="frozen"/>
      <selection pane="bottomLeft" activeCell="C8" sqref="C8"/>
    </sheetView>
  </sheetViews>
  <sheetFormatPr defaultRowHeight="12.75" x14ac:dyDescent="0.25"/>
  <cols>
    <col min="1" max="1" width="7.85546875" style="211" customWidth="1"/>
    <col min="2" max="2" width="44.85546875" style="73" customWidth="1"/>
    <col min="3" max="4" width="11.85546875" style="73" customWidth="1"/>
    <col min="5" max="5" width="14.85546875" style="215" customWidth="1"/>
    <col min="6" max="6" width="14.42578125" style="211" customWidth="1"/>
    <col min="7" max="7" width="17.28515625" style="211" customWidth="1"/>
    <col min="8" max="8" width="20.7109375" style="218" hidden="1" customWidth="1"/>
    <col min="9" max="9" width="16.42578125" style="218" hidden="1" customWidth="1"/>
    <col min="10" max="10" width="14.42578125" style="211" customWidth="1"/>
    <col min="11" max="11" width="30.7109375" style="94" customWidth="1"/>
    <col min="12" max="16384" width="9.140625" style="94"/>
  </cols>
  <sheetData>
    <row r="1" spans="1:11" ht="12.75" customHeight="1" x14ac:dyDescent="0.25">
      <c r="A1" s="305" t="s">
        <v>386</v>
      </c>
      <c r="B1" s="306"/>
      <c r="C1" s="306"/>
      <c r="D1" s="306"/>
      <c r="E1" s="306"/>
      <c r="F1" s="306"/>
      <c r="G1" s="306"/>
      <c r="H1" s="306"/>
      <c r="I1" s="306"/>
      <c r="J1" s="306"/>
      <c r="K1" s="306"/>
    </row>
    <row r="3" spans="1:11" x14ac:dyDescent="0.25">
      <c r="F3" s="94"/>
      <c r="G3" s="94"/>
      <c r="H3" s="194"/>
      <c r="I3" s="194"/>
      <c r="J3" s="94"/>
    </row>
    <row r="4" spans="1:11" x14ac:dyDescent="0.25">
      <c r="A4" s="291"/>
      <c r="B4" s="292"/>
      <c r="C4" s="137"/>
      <c r="D4" s="79"/>
      <c r="E4" s="293" t="s">
        <v>24</v>
      </c>
      <c r="F4" s="209" t="s">
        <v>1</v>
      </c>
      <c r="G4" s="209" t="s">
        <v>55</v>
      </c>
      <c r="H4" s="80" t="s">
        <v>17</v>
      </c>
      <c r="I4" s="80" t="s">
        <v>17</v>
      </c>
      <c r="J4" s="293" t="s">
        <v>319</v>
      </c>
      <c r="K4" s="293" t="s">
        <v>315</v>
      </c>
    </row>
    <row r="5" spans="1:11" x14ac:dyDescent="0.25">
      <c r="A5" s="291"/>
      <c r="B5" s="292"/>
      <c r="C5" s="137"/>
      <c r="D5" s="79"/>
      <c r="E5" s="293"/>
      <c r="F5" s="209"/>
      <c r="G5" s="209"/>
      <c r="H5" s="80"/>
      <c r="I5" s="80" t="s">
        <v>159</v>
      </c>
      <c r="J5" s="293"/>
      <c r="K5" s="293"/>
    </row>
    <row r="6" spans="1:11" x14ac:dyDescent="0.25">
      <c r="A6" s="69">
        <v>6.1</v>
      </c>
      <c r="B6" s="70" t="s">
        <v>376</v>
      </c>
      <c r="C6" s="81"/>
      <c r="D6" s="81"/>
      <c r="E6" s="82"/>
      <c r="F6" s="69">
        <f>SUM(F9,F15)</f>
        <v>0</v>
      </c>
      <c r="G6" s="69"/>
      <c r="H6" s="216"/>
      <c r="I6" s="216"/>
      <c r="J6" s="69">
        <f>SUM(J7,J11)</f>
        <v>2</v>
      </c>
      <c r="K6" s="69"/>
    </row>
    <row r="7" spans="1:11" ht="24.75" customHeight="1" x14ac:dyDescent="0.25">
      <c r="A7" s="71" t="s">
        <v>119</v>
      </c>
      <c r="B7" s="72" t="s">
        <v>375</v>
      </c>
      <c r="C7" s="72"/>
      <c r="D7" s="72"/>
      <c r="E7" s="85"/>
      <c r="F7" s="71"/>
      <c r="G7" s="71"/>
      <c r="H7" s="216"/>
      <c r="I7" s="216"/>
      <c r="J7" s="71">
        <f>SUM(J8:J8)</f>
        <v>0</v>
      </c>
      <c r="K7" s="71"/>
    </row>
    <row r="8" spans="1:11" ht="38.25" x14ac:dyDescent="0.25">
      <c r="A8" s="211" t="s">
        <v>3</v>
      </c>
      <c r="B8" s="219" t="s">
        <v>377</v>
      </c>
      <c r="C8" s="217"/>
      <c r="D8" s="213" t="s">
        <v>56</v>
      </c>
      <c r="F8" s="210" t="s">
        <v>156</v>
      </c>
      <c r="G8" s="211" t="str">
        <f>IF(C8="Y","OK",(IF(C8="NA","NA","NOK")))</f>
        <v>NOK</v>
      </c>
      <c r="H8" s="216"/>
      <c r="I8" s="216"/>
      <c r="J8" s="211" t="s">
        <v>5</v>
      </c>
      <c r="K8" s="3"/>
    </row>
    <row r="9" spans="1:11" x14ac:dyDescent="0.25">
      <c r="E9" s="88" t="s">
        <v>286</v>
      </c>
      <c r="F9" s="211">
        <f>SUM(F8:F8)</f>
        <v>0</v>
      </c>
      <c r="H9" s="216"/>
      <c r="I9" s="216"/>
    </row>
    <row r="10" spans="1:11" x14ac:dyDescent="0.25">
      <c r="A10" s="94"/>
      <c r="H10" s="216"/>
      <c r="I10" s="216"/>
    </row>
    <row r="11" spans="1:11" x14ac:dyDescent="0.25">
      <c r="A11" s="71" t="s">
        <v>378</v>
      </c>
      <c r="B11" s="72" t="s">
        <v>379</v>
      </c>
      <c r="C11" s="72"/>
      <c r="D11" s="72"/>
      <c r="E11" s="85"/>
      <c r="F11" s="71"/>
      <c r="G11" s="71"/>
      <c r="H11" s="216"/>
      <c r="I11" s="216"/>
      <c r="J11" s="71">
        <f>SUM(J12:J14)</f>
        <v>2</v>
      </c>
      <c r="K11" s="71"/>
    </row>
    <row r="12" spans="1:11" ht="25.5" x14ac:dyDescent="0.2">
      <c r="A12" s="211" t="s">
        <v>3</v>
      </c>
      <c r="B12" s="203" t="s">
        <v>380</v>
      </c>
      <c r="C12" s="217"/>
      <c r="D12" s="213" t="s">
        <v>56</v>
      </c>
      <c r="F12" s="211">
        <f>IF(C12="Y",1,0)</f>
        <v>0</v>
      </c>
      <c r="H12" s="216"/>
      <c r="I12" s="216">
        <f>IF(C12="NA",J12,0)</f>
        <v>0</v>
      </c>
      <c r="J12" s="211">
        <v>1</v>
      </c>
      <c r="K12" s="3"/>
    </row>
    <row r="13" spans="1:11" ht="25.5" x14ac:dyDescent="0.2">
      <c r="A13" s="211" t="s">
        <v>6</v>
      </c>
      <c r="B13" s="203" t="s">
        <v>381</v>
      </c>
      <c r="C13" s="217"/>
      <c r="D13" s="213" t="s">
        <v>56</v>
      </c>
      <c r="F13" s="211">
        <f>IF(C13="Y",0.5,0)</f>
        <v>0</v>
      </c>
      <c r="H13" s="216"/>
      <c r="I13" s="216">
        <f t="shared" ref="I13:I14" si="0">IF(C13="NA",J13,0)</f>
        <v>0</v>
      </c>
      <c r="J13" s="211">
        <v>0.5</v>
      </c>
      <c r="K13" s="3"/>
    </row>
    <row r="14" spans="1:11" ht="38.25" x14ac:dyDescent="0.2">
      <c r="A14" s="211" t="s">
        <v>7</v>
      </c>
      <c r="B14" s="203" t="s">
        <v>415</v>
      </c>
      <c r="C14" s="217"/>
      <c r="D14" s="213" t="s">
        <v>56</v>
      </c>
      <c r="F14" s="211">
        <f>IF(C14="Y",0.5,0)</f>
        <v>0</v>
      </c>
      <c r="H14" s="216"/>
      <c r="I14" s="216">
        <f t="shared" si="0"/>
        <v>0</v>
      </c>
      <c r="J14" s="211">
        <v>0.5</v>
      </c>
      <c r="K14" s="3"/>
    </row>
    <row r="15" spans="1:11" x14ac:dyDescent="0.25">
      <c r="E15" s="88" t="s">
        <v>382</v>
      </c>
      <c r="F15" s="211">
        <f>SUM(F12:F14)</f>
        <v>0</v>
      </c>
      <c r="H15" s="216"/>
      <c r="I15" s="216"/>
    </row>
    <row r="16" spans="1:11" x14ac:dyDescent="0.25">
      <c r="A16" s="94"/>
      <c r="H16" s="216"/>
      <c r="I16" s="216"/>
    </row>
    <row r="17" spans="1:10" x14ac:dyDescent="0.25">
      <c r="A17" s="94"/>
      <c r="H17" s="216"/>
      <c r="I17" s="216"/>
    </row>
    <row r="18" spans="1:10" x14ac:dyDescent="0.25">
      <c r="E18" s="88" t="s">
        <v>161</v>
      </c>
      <c r="F18" s="92">
        <f>SUM(F6)</f>
        <v>0</v>
      </c>
      <c r="G18" s="90" t="s">
        <v>160</v>
      </c>
      <c r="I18" s="90"/>
      <c r="J18" s="92" t="s">
        <v>2</v>
      </c>
    </row>
    <row r="19" spans="1:10" x14ac:dyDescent="0.25">
      <c r="E19" s="88" t="s">
        <v>245</v>
      </c>
      <c r="F19" s="92">
        <v>0</v>
      </c>
      <c r="G19" s="92">
        <f>SUM(I8:I14)</f>
        <v>0</v>
      </c>
      <c r="I19" s="90"/>
      <c r="J19" s="211">
        <f>SUM(J6)</f>
        <v>2</v>
      </c>
    </row>
  </sheetData>
  <sheetProtection algorithmName="SHA-512" hashValue="D1yXLY3u0JTZ/TlVDuS3dMR9kNI1gQtzlp8vQVj5hCO+L5gUlSUzgRCx9U2uvb+DkmAqhF+ZjzVbC35VXZrRbQ==" saltValue="N4xjoKKs+xnRrReh/nhmdQ==" spinCount="100000" sheet="1" selectLockedCells="1"/>
  <protectedRanges>
    <protectedRange sqref="C8" name="input2_23"/>
    <protectedRange sqref="K8" name="input2_23_1_29_7"/>
    <protectedRange sqref="C12:C14" name="input2_23_1"/>
    <protectedRange sqref="K12:K14" name="input2_23_1_29_10"/>
  </protectedRanges>
  <mergeCells count="6">
    <mergeCell ref="A1:K1"/>
    <mergeCell ref="A4:A5"/>
    <mergeCell ref="B4:B5"/>
    <mergeCell ref="E4:E5"/>
    <mergeCell ref="J4:J5"/>
    <mergeCell ref="K4:K5"/>
  </mergeCells>
  <conditionalFormatting sqref="G8">
    <cfRule type="cellIs" dxfId="7" priority="7" operator="equal">
      <formula>"NOK"</formula>
    </cfRule>
    <cfRule type="cellIs" dxfId="6" priority="8" operator="equal">
      <formula>"OK"</formula>
    </cfRule>
  </conditionalFormatting>
  <conditionalFormatting sqref="G12:G14">
    <cfRule type="cellIs" dxfId="5" priority="1" operator="equal">
      <formula>"NOK"</formula>
    </cfRule>
    <cfRule type="cellIs" dxfId="4" priority="2" operator="equal">
      <formula>"OK"</formula>
    </cfRule>
  </conditionalFormatting>
  <dataValidations count="1">
    <dataValidation type="list" allowBlank="1" showInputMessage="1" showErrorMessage="1" sqref="C8 C12:C14" xr:uid="{16C5A8BA-DC71-4C68-BB95-F8059FAAED6E}">
      <formula1>"Y,N,NA"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C23C9E3C35624C8878EB2394E657C7" ma:contentTypeVersion="3" ma:contentTypeDescription="Create a new document." ma:contentTypeScope="" ma:versionID="2682c425a5276d51d063ab7ebe736686">
  <xsd:schema xmlns:xsd="http://www.w3.org/2001/XMLSchema" xmlns:xs="http://www.w3.org/2001/XMLSchema" xmlns:p="http://schemas.microsoft.com/office/2006/metadata/properties" xmlns:ns2="e3ed5a5c-e8e8-4770-9c35-2c2c05cbcd9d" targetNamespace="http://schemas.microsoft.com/office/2006/metadata/properties" ma:root="true" ma:fieldsID="a0699cbdf25ef8120c6695d91619b453" ns2:_="">
    <xsd:import namespace="e3ed5a5c-e8e8-4770-9c35-2c2c05cbcd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d5a5c-e8e8-4770-9c35-2c2c05cbcd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16F8F7-2308-4F70-B544-E96F387F40C2}">
  <ds:schemaRefs>
    <ds:schemaRef ds:uri="http://schemas.openxmlformats.org/package/2006/metadata/core-properties"/>
    <ds:schemaRef ds:uri="http://purl.org/dc/elements/1.1/"/>
    <ds:schemaRef ds:uri="http://schemas.microsoft.com/office/2006/metadata/properties"/>
    <ds:schemaRef ds:uri="e3ed5a5c-e8e8-4770-9c35-2c2c05cbcd9d"/>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A323DA2-C10A-4061-8D7A-9060454C7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d5a5c-e8e8-4770-9c35-2c2c05cbc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C3791-32AC-42EE-A42E-6E20F0D5C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Maintainability Score Summary</vt:lpstr>
      <vt:lpstr>Pre-Reqs</vt:lpstr>
      <vt:lpstr>0. General</vt:lpstr>
      <vt:lpstr>1. Arch Ext</vt:lpstr>
      <vt:lpstr>2. Arch Int</vt:lpstr>
      <vt:lpstr>3. Mech</vt:lpstr>
      <vt:lpstr>4. Elect</vt:lpstr>
      <vt:lpstr>5. Landscape</vt:lpstr>
      <vt:lpstr>6. Facilities</vt:lpstr>
      <vt:lpstr>7. Smart FM</vt:lpstr>
      <vt:lpstr>'6. Facilities'!_Hlk46226743</vt:lpstr>
      <vt:lpstr>'6. Facilities'!_Hlk46226849</vt:lpstr>
      <vt:lpstr>'6. Facilities'!_Hlk46226920</vt:lpstr>
      <vt:lpstr>'0. General'!Print_Area</vt:lpstr>
      <vt:lpstr>'Maintainability Score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Weng Kin HO (BCA)</dc:creator>
  <cp:lastModifiedBy>Weng Kin HO (BCA)</cp:lastModifiedBy>
  <cp:lastPrinted>2021-07-19T14:38:45Z</cp:lastPrinted>
  <dcterms:created xsi:type="dcterms:W3CDTF">2021-03-19T04:15:05Z</dcterms:created>
  <dcterms:modified xsi:type="dcterms:W3CDTF">2021-10-28T07:56:53Z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0x0101007EC23C9E3C35624C8878EB2394E657C7</vt:lpwstr>
  </property>
  <property fmtid="{D5CDD505-2E9C-101B-9397-08002B2CF9AE}" pid="3" name="MSIP_Label_4f288355-fb4c-44cd-b9ca-40cfc2aee5f8_Enabled">
    <vt:lpwstr>true</vt:lpwstr>
  </property>
  <property fmtid="{D5CDD505-2E9C-101B-9397-08002B2CF9AE}" pid="4" name="MSIP_Label_4f288355-fb4c-44cd-b9ca-40cfc2aee5f8_SetDate">
    <vt:lpwstr>2021-10-13T03:54:22Z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94ee8adb-9779-4b5a-a234-4c3328ff01d6</vt:lpwstr>
  </property>
  <property fmtid="{D5CDD505-2E9C-101B-9397-08002B2CF9AE}" pid="9" name="MSIP_Label_4f288355-fb4c-44cd-b9ca-40cfc2aee5f8_ContentBits">
    <vt:lpwstr>0</vt:lpwstr>
  </property>
</Properties>
</file>