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defaultThemeVersion="166925"/>
  <mc:AlternateContent xmlns:mc="http://schemas.openxmlformats.org/markup-compatibility/2006">
    <mc:Choice Requires="x15">
      <x15ac:absPath xmlns:x15ac="http://schemas.microsoft.com/office/spreadsheetml/2010/11/ac" url="C:\Users\bca_sokming\Documents\0.website\20240827 update GM2021 website\"/>
    </mc:Choice>
  </mc:AlternateContent>
  <xr:revisionPtr revIDLastSave="0" documentId="13_ncr:1_{AD69C6B2-18F2-4463-B5C8-D6C2A611FB07}" xr6:coauthVersionLast="47" xr6:coauthVersionMax="47" xr10:uidLastSave="{00000000-0000-0000-0000-000000000000}"/>
  <bookViews>
    <workbookView xWindow="-108" yWindow="-108" windowWidth="23256" windowHeight="14016" tabRatio="889"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29" r:id="rId6"/>
    <sheet name="7. Intelligence" sheetId="16"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Maintainability'!$A$1:$G$74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2" l="1"/>
  <c r="D26" i="1"/>
  <c r="D25" i="1"/>
  <c r="D24" i="1"/>
  <c r="C10" i="1"/>
  <c r="D11" i="1"/>
  <c r="H6" i="29"/>
  <c r="H7" i="29"/>
  <c r="H8" i="29"/>
  <c r="H10" i="29"/>
  <c r="H11" i="29"/>
  <c r="H12" i="29"/>
  <c r="H20" i="29"/>
  <c r="H21" i="29"/>
  <c r="H25" i="29"/>
  <c r="H29" i="29"/>
  <c r="H30" i="29"/>
  <c r="H32" i="29"/>
  <c r="H34" i="29" s="1"/>
  <c r="H33" i="29"/>
  <c r="H36" i="29"/>
  <c r="H39" i="29" s="1"/>
  <c r="H37" i="29"/>
  <c r="H38" i="29"/>
  <c r="H41" i="29"/>
  <c r="H42" i="29"/>
  <c r="H43" i="29"/>
  <c r="H47" i="29"/>
  <c r="H51" i="29" s="1"/>
  <c r="H44" i="29" s="1"/>
  <c r="H48" i="29"/>
  <c r="H49" i="29"/>
  <c r="H50" i="29"/>
  <c r="H54" i="29"/>
  <c r="H55" i="29"/>
  <c r="H56" i="29"/>
  <c r="H57" i="29"/>
  <c r="H60" i="29"/>
  <c r="H61" i="29"/>
  <c r="H65" i="29"/>
  <c r="H66" i="29"/>
  <c r="H67" i="29"/>
  <c r="H68" i="29"/>
  <c r="H71" i="29"/>
  <c r="H72" i="29" s="1"/>
  <c r="H76" i="29"/>
  <c r="H78" i="29" s="1"/>
  <c r="H77" i="29"/>
  <c r="H80" i="29"/>
  <c r="H81" i="29"/>
  <c r="H84" i="29"/>
  <c r="H85" i="29"/>
  <c r="H88" i="29"/>
  <c r="H91" i="29" s="1"/>
  <c r="H89" i="29"/>
  <c r="H90" i="29"/>
  <c r="H94" i="29"/>
  <c r="H92" i="29" s="1"/>
  <c r="H95" i="29"/>
  <c r="H48" i="3"/>
  <c r="G21" i="26"/>
  <c r="H3" i="29" l="1"/>
  <c r="H69" i="29"/>
  <c r="F15" i="16"/>
  <c r="F14" i="16"/>
  <c r="F55" i="16"/>
  <c r="F54" i="16"/>
  <c r="F51" i="16"/>
  <c r="F52" i="16" s="1"/>
  <c r="H2" i="29" l="1"/>
  <c r="F60" i="16"/>
  <c r="F44" i="16"/>
  <c r="F38" i="16"/>
  <c r="F39" i="16"/>
  <c r="F37" i="16"/>
  <c r="F33" i="16"/>
  <c r="F34" i="16" s="1"/>
  <c r="F40" i="16"/>
  <c r="F30" i="16"/>
  <c r="F29" i="16"/>
  <c r="F28" i="16"/>
  <c r="F24" i="16"/>
  <c r="F18" i="16"/>
  <c r="F17" i="16"/>
  <c r="F57" i="2"/>
  <c r="F32" i="2" l="1"/>
  <c r="H53" i="3"/>
  <c r="H28" i="3"/>
  <c r="H27" i="3"/>
  <c r="H29" i="3" s="1"/>
  <c r="K62" i="26" l="1"/>
  <c r="M62" i="26" s="1"/>
  <c r="C53" i="26"/>
  <c r="C44" i="26"/>
  <c r="K39" i="26"/>
  <c r="M39" i="26" s="1"/>
  <c r="K38" i="26"/>
  <c r="M38" i="26" s="1"/>
  <c r="C37" i="26"/>
  <c r="K69" i="26"/>
  <c r="M69" i="26" s="1"/>
  <c r="K8" i="26"/>
  <c r="M8" i="26" s="1"/>
  <c r="J74" i="26"/>
  <c r="C33" i="26"/>
  <c r="C58" i="26"/>
  <c r="C52" i="26"/>
  <c r="K61" i="26"/>
  <c r="M61" i="26" s="1"/>
  <c r="H67" i="3"/>
  <c r="H66" i="3"/>
  <c r="H65" i="3"/>
  <c r="I32" i="2"/>
  <c r="J32" i="2" s="1"/>
  <c r="I33" i="2"/>
  <c r="I34" i="2"/>
  <c r="J34" i="2" s="1"/>
  <c r="K72" i="26"/>
  <c r="M72" i="26" s="1"/>
  <c r="K66" i="26"/>
  <c r="M66" i="26" s="1"/>
  <c r="K58" i="26"/>
  <c r="M58" i="26" s="1"/>
  <c r="K54" i="26"/>
  <c r="M54" i="26" s="1"/>
  <c r="K53" i="26"/>
  <c r="M53" i="26" s="1"/>
  <c r="K46" i="26"/>
  <c r="M46" i="26" s="1"/>
  <c r="K45" i="26"/>
  <c r="M45" i="26" s="1"/>
  <c r="K44" i="26"/>
  <c r="M44" i="26" s="1"/>
  <c r="K43" i="26"/>
  <c r="M43" i="26" s="1"/>
  <c r="K40" i="26"/>
  <c r="M40" i="26" s="1"/>
  <c r="K37" i="26"/>
  <c r="M37" i="26" s="1"/>
  <c r="K34" i="26"/>
  <c r="M34" i="26" s="1"/>
  <c r="K33" i="26"/>
  <c r="M33" i="26" s="1"/>
  <c r="K32" i="26"/>
  <c r="M32" i="26" s="1"/>
  <c r="K19" i="26"/>
  <c r="M19" i="26" s="1"/>
  <c r="K18" i="26"/>
  <c r="M18" i="26" s="1"/>
  <c r="B9" i="26"/>
  <c r="C66" i="26"/>
  <c r="C65" i="26"/>
  <c r="C63" i="26"/>
  <c r="B63" i="26"/>
  <c r="C62" i="26"/>
  <c r="B62" i="26"/>
  <c r="C61" i="26"/>
  <c r="B61" i="26"/>
  <c r="C60" i="26"/>
  <c r="B60" i="26"/>
  <c r="A59" i="26"/>
  <c r="B58" i="26"/>
  <c r="B57" i="26"/>
  <c r="A56" i="26"/>
  <c r="C54" i="26"/>
  <c r="B54" i="26"/>
  <c r="B53" i="26"/>
  <c r="B52" i="26"/>
  <c r="B51" i="26"/>
  <c r="C49" i="26"/>
  <c r="B49" i="26"/>
  <c r="B48" i="26"/>
  <c r="C46" i="26"/>
  <c r="B46" i="26"/>
  <c r="C45" i="26"/>
  <c r="B45" i="26"/>
  <c r="B44" i="26"/>
  <c r="C43" i="26"/>
  <c r="B43" i="26"/>
  <c r="B42" i="26"/>
  <c r="C40" i="26"/>
  <c r="B40" i="26"/>
  <c r="C39" i="26"/>
  <c r="B39" i="26"/>
  <c r="C38" i="26"/>
  <c r="B38" i="26"/>
  <c r="B37" i="26"/>
  <c r="B36" i="26"/>
  <c r="C34" i="26"/>
  <c r="B34" i="26"/>
  <c r="B33" i="26"/>
  <c r="C32" i="26"/>
  <c r="B32" i="26"/>
  <c r="C31" i="26"/>
  <c r="B31" i="26"/>
  <c r="A30" i="26"/>
  <c r="C29" i="26"/>
  <c r="B29" i="26"/>
  <c r="B28" i="26"/>
  <c r="A27" i="26"/>
  <c r="C25" i="26"/>
  <c r="B25" i="26"/>
  <c r="C24" i="26"/>
  <c r="B24" i="26"/>
  <c r="C23" i="26"/>
  <c r="B23" i="26"/>
  <c r="B22" i="26"/>
  <c r="C20" i="26"/>
  <c r="B20" i="26"/>
  <c r="C19" i="26"/>
  <c r="B19" i="26"/>
  <c r="C18" i="26"/>
  <c r="B18" i="26"/>
  <c r="A17" i="26"/>
  <c r="B16" i="26"/>
  <c r="B15" i="26"/>
  <c r="C14" i="26"/>
  <c r="B14" i="26"/>
  <c r="C13" i="26"/>
  <c r="A13" i="26"/>
  <c r="B12" i="26"/>
  <c r="A11" i="26"/>
  <c r="C9" i="26"/>
  <c r="C8" i="26"/>
  <c r="G64" i="26"/>
  <c r="G59" i="26"/>
  <c r="G56" i="26"/>
  <c r="G41" i="26"/>
  <c r="G50" i="26"/>
  <c r="G47" i="26"/>
  <c r="G35" i="26"/>
  <c r="G30" i="26"/>
  <c r="G27" i="26"/>
  <c r="G17" i="26"/>
  <c r="G13" i="26"/>
  <c r="G11" i="26"/>
  <c r="G8" i="26"/>
  <c r="C72" i="26" l="1"/>
  <c r="J72" i="26" s="1"/>
  <c r="E44" i="26"/>
  <c r="E32" i="26"/>
  <c r="K65" i="26"/>
  <c r="K9" i="26"/>
  <c r="M9" i="26" s="1"/>
  <c r="E62" i="26"/>
  <c r="E39" i="26"/>
  <c r="C17" i="26"/>
  <c r="K25" i="26"/>
  <c r="M25" i="26" s="1"/>
  <c r="C30" i="26"/>
  <c r="K49" i="26"/>
  <c r="M49" i="26" s="1"/>
  <c r="K52" i="26"/>
  <c r="M52" i="26" s="1"/>
  <c r="K22" i="26"/>
  <c r="M22" i="26" s="1"/>
  <c r="K17" i="26"/>
  <c r="M17" i="26" s="1"/>
  <c r="C59" i="26"/>
  <c r="K63" i="26"/>
  <c r="M63" i="26" s="1"/>
  <c r="C21" i="26"/>
  <c r="K23" i="26"/>
  <c r="M23" i="26" s="1"/>
  <c r="K24" i="26"/>
  <c r="M24" i="26" s="1"/>
  <c r="K29" i="26"/>
  <c r="M29" i="26" s="1"/>
  <c r="C12" i="26"/>
  <c r="E66" i="26"/>
  <c r="E58" i="26"/>
  <c r="K48" i="26"/>
  <c r="M48" i="26" s="1"/>
  <c r="E40" i="26"/>
  <c r="E37" i="26"/>
  <c r="C69" i="26"/>
  <c r="E33" i="26"/>
  <c r="E53" i="26"/>
  <c r="E45" i="26"/>
  <c r="E54" i="26"/>
  <c r="E43" i="26"/>
  <c r="E46" i="26"/>
  <c r="E34" i="26"/>
  <c r="G55" i="26"/>
  <c r="G26" i="26"/>
  <c r="G10" i="26"/>
  <c r="K64" i="26" l="1"/>
  <c r="M65" i="26"/>
  <c r="E65" i="26" s="1"/>
  <c r="E23" i="26"/>
  <c r="E63" i="26"/>
  <c r="E52" i="26"/>
  <c r="C41" i="26"/>
  <c r="C42" i="26"/>
  <c r="C27" i="26"/>
  <c r="C28" i="26"/>
  <c r="K41" i="26"/>
  <c r="M41" i="26" s="1"/>
  <c r="K42" i="26"/>
  <c r="M42" i="26" s="1"/>
  <c r="K11" i="26"/>
  <c r="M11" i="26" s="1"/>
  <c r="K12" i="26"/>
  <c r="M12" i="26" s="1"/>
  <c r="K35" i="26"/>
  <c r="M35" i="26" s="1"/>
  <c r="K36" i="26"/>
  <c r="M36" i="26" s="1"/>
  <c r="E25" i="26"/>
  <c r="K20" i="26"/>
  <c r="M20" i="26" s="1"/>
  <c r="K59" i="26"/>
  <c r="M59" i="26" s="1"/>
  <c r="K60" i="26"/>
  <c r="C10" i="26"/>
  <c r="C11" i="26"/>
  <c r="K56" i="26"/>
  <c r="M56" i="26" s="1"/>
  <c r="K57" i="26"/>
  <c r="M57" i="26" s="1"/>
  <c r="C35" i="26"/>
  <c r="C36" i="26"/>
  <c r="C50" i="26"/>
  <c r="C51" i="26"/>
  <c r="C57" i="26"/>
  <c r="C22" i="26"/>
  <c r="C47" i="26"/>
  <c r="C48" i="26"/>
  <c r="K68" i="26"/>
  <c r="M68" i="26" s="1"/>
  <c r="K47" i="26"/>
  <c r="M47" i="26" s="1"/>
  <c r="K21" i="26"/>
  <c r="M21" i="26" s="1"/>
  <c r="K55" i="26"/>
  <c r="M55" i="26" s="1"/>
  <c r="K14" i="26"/>
  <c r="M14" i="26" s="1"/>
  <c r="K50" i="26"/>
  <c r="M50" i="26" s="1"/>
  <c r="K51" i="26"/>
  <c r="M51" i="26" s="1"/>
  <c r="E19" i="26"/>
  <c r="E38" i="26"/>
  <c r="E8" i="26"/>
  <c r="E9" i="26"/>
  <c r="E29" i="26"/>
  <c r="E48" i="26"/>
  <c r="E61" i="26"/>
  <c r="E17" i="26"/>
  <c r="E18" i="26"/>
  <c r="J70" i="26"/>
  <c r="M64" i="26" l="1"/>
  <c r="E64" i="26" s="1"/>
  <c r="M60" i="26"/>
  <c r="E60" i="26" s="1"/>
  <c r="E20" i="26"/>
  <c r="E50" i="26"/>
  <c r="E56" i="26"/>
  <c r="E59" i="26"/>
  <c r="E57" i="26"/>
  <c r="C55" i="26"/>
  <c r="C56" i="26"/>
  <c r="E41" i="26"/>
  <c r="C7" i="26"/>
  <c r="B32" i="1" s="1"/>
  <c r="C26" i="26"/>
  <c r="K30" i="26"/>
  <c r="K31" i="26"/>
  <c r="M31" i="26" s="1"/>
  <c r="K10" i="26"/>
  <c r="M10" i="26" s="1"/>
  <c r="K13" i="26"/>
  <c r="M13" i="26" s="1"/>
  <c r="K28" i="26"/>
  <c r="M28" i="26" s="1"/>
  <c r="E51" i="26"/>
  <c r="C68" i="26"/>
  <c r="E55" i="26"/>
  <c r="E42" i="26"/>
  <c r="E47" i="26"/>
  <c r="E49" i="26"/>
  <c r="E11" i="26"/>
  <c r="E21" i="26"/>
  <c r="E24" i="26"/>
  <c r="E22" i="26"/>
  <c r="E35" i="26"/>
  <c r="E36" i="26"/>
  <c r="E12" i="26"/>
  <c r="M30" i="26" l="1"/>
  <c r="E30" i="26" s="1"/>
  <c r="E31" i="26"/>
  <c r="K27" i="26"/>
  <c r="M27" i="26" s="1"/>
  <c r="E14" i="26"/>
  <c r="E13" i="26"/>
  <c r="E10" i="26"/>
  <c r="E28" i="26"/>
  <c r="H16" i="3"/>
  <c r="F22" i="2"/>
  <c r="E27" i="26" l="1"/>
  <c r="K26" i="26"/>
  <c r="M26" i="26" s="1"/>
  <c r="E26" i="26" l="1"/>
  <c r="K67" i="26"/>
  <c r="M67" i="26" l="1"/>
  <c r="J67" i="26" s="1"/>
  <c r="C67" i="26" s="1"/>
  <c r="K70" i="26"/>
  <c r="G70" i="26" l="1"/>
  <c r="G69" i="26"/>
  <c r="M70" i="26"/>
  <c r="E70" i="26" s="1"/>
  <c r="K73" i="26"/>
  <c r="K71" i="26"/>
  <c r="G71" i="26" l="1"/>
  <c r="M73" i="26"/>
  <c r="J73" i="26" s="1"/>
  <c r="M71" i="26"/>
  <c r="E71" i="26" s="1"/>
  <c r="F19" i="16"/>
  <c r="F20" i="16" s="1"/>
  <c r="C32" i="1" l="1"/>
  <c r="C73" i="26"/>
  <c r="C74" i="26" s="1"/>
  <c r="D12" i="1" s="1"/>
  <c r="H78" i="3"/>
  <c r="H79" i="3" s="1"/>
  <c r="H61" i="3"/>
  <c r="H59" i="3"/>
  <c r="H18" i="3"/>
  <c r="F16" i="2"/>
  <c r="F46" i="2"/>
  <c r="F45" i="2"/>
  <c r="F27" i="2"/>
  <c r="F14" i="2"/>
  <c r="F13" i="2"/>
  <c r="F12" i="2"/>
  <c r="F11" i="2"/>
  <c r="D32" i="1" l="1"/>
  <c r="C12" i="1" s="1"/>
  <c r="H51" i="3"/>
  <c r="H75" i="3" l="1"/>
  <c r="H74" i="3"/>
  <c r="H71" i="3"/>
  <c r="H34" i="3"/>
  <c r="H42" i="3"/>
  <c r="H57" i="3" l="1"/>
  <c r="F48" i="16"/>
  <c r="F45" i="16"/>
  <c r="F46" i="16" s="1"/>
  <c r="F31" i="16"/>
  <c r="F25" i="16"/>
  <c r="F23" i="16"/>
  <c r="F5" i="16"/>
  <c r="F9" i="16"/>
  <c r="F64" i="16"/>
  <c r="F63" i="16"/>
  <c r="F61" i="16" s="1"/>
  <c r="F26" i="16" l="1"/>
  <c r="F41" i="16"/>
  <c r="F10" i="16"/>
  <c r="F49" i="16"/>
  <c r="F35" i="16" l="1"/>
  <c r="D29" i="1" s="1"/>
  <c r="F21" i="16"/>
  <c r="D28" i="1" s="1"/>
  <c r="F3" i="16"/>
  <c r="F2" i="16" l="1"/>
  <c r="C11" i="1" s="1"/>
  <c r="D27" i="1"/>
  <c r="D10" i="1" l="1"/>
  <c r="H25" i="3"/>
  <c r="H62" i="3"/>
  <c r="H68" i="3"/>
  <c r="H30" i="3" s="1"/>
  <c r="H72" i="3"/>
  <c r="H76" i="3"/>
  <c r="H83" i="3"/>
  <c r="H82" i="3"/>
  <c r="H69" i="3" l="1"/>
  <c r="D23" i="1" s="1"/>
  <c r="D22" i="1"/>
  <c r="H80" i="3"/>
  <c r="H3" i="3"/>
  <c r="F6" i="2"/>
  <c r="F7" i="2"/>
  <c r="F19" i="2"/>
  <c r="F20" i="2" s="1"/>
  <c r="F23" i="2"/>
  <c r="F69" i="2"/>
  <c r="F68" i="2"/>
  <c r="F64" i="2"/>
  <c r="F63" i="2"/>
  <c r="F59" i="2"/>
  <c r="F58" i="2"/>
  <c r="F50" i="2"/>
  <c r="F53" i="2" s="1"/>
  <c r="F44" i="2"/>
  <c r="F43" i="2"/>
  <c r="F47" i="2" s="1"/>
  <c r="F38" i="2"/>
  <c r="F37" i="2"/>
  <c r="F34" i="2" l="1"/>
  <c r="F35" i="2" s="1"/>
  <c r="D21" i="1"/>
  <c r="H2" i="3"/>
  <c r="C9" i="1" s="1"/>
  <c r="D9" i="1" s="1"/>
  <c r="F66" i="2"/>
  <c r="F8" i="2"/>
  <c r="F3" i="2" s="1"/>
  <c r="F39" i="2"/>
  <c r="F65" i="2"/>
  <c r="F60" i="2"/>
  <c r="F54" i="2" l="1"/>
  <c r="D20" i="1" s="1"/>
  <c r="D18" i="1"/>
  <c r="F28" i="2"/>
  <c r="D19" i="1" s="1"/>
  <c r="F2" i="2" l="1"/>
  <c r="C8" i="1" s="1"/>
  <c r="D8" i="1" s="1"/>
  <c r="C13" i="1" l="1"/>
</calcChain>
</file>

<file path=xl/sharedStrings.xml><?xml version="1.0" encoding="utf-8"?>
<sst xmlns="http://schemas.openxmlformats.org/spreadsheetml/2006/main" count="936" uniqueCount="537">
  <si>
    <t>GM: 2021 - Existing Non-Residential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</si>
  <si>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</si>
  <si>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</si>
  <si>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</si>
  <si>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</si>
  <si>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</si>
  <si>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</si>
  <si>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</si>
  <si>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</si>
  <si>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</si>
  <si>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</si>
  <si>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</si>
  <si>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</si>
  <si>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</si>
  <si>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</si>
  <si>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</si>
  <si>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</si>
  <si>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</si>
  <si>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</si>
  <si>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</si>
  <si>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</si>
  <si>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</si>
  <si>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</si>
  <si>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</si>
  <si>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</si>
  <si>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</si>
  <si>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</si>
  <si>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</si>
  <si>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</si>
  <si>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</si>
  <si>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</si>
  <si>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</si>
  <si>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</si>
  <si>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</si>
  <si>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</si>
  <si>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</si>
  <si>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</si>
  <si>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</si>
  <si>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</si>
  <si>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</si>
  <si>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</si>
  <si>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</si>
  <si>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</si>
  <si>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</si>
  <si>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</si>
  <si>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</si>
  <si>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</si>
  <si>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</si>
  <si>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</si>
  <si>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</si>
  <si>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</si>
  <si>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</si>
  <si>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</si>
  <si>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</si>
  <si>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</si>
  <si>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</si>
  <si>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</si>
  <si>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</si>
  <si>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</si>
  <si>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</si>
  <si>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</si>
  <si>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</si>
  <si>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</si>
  <si>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</si>
  <si>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</si>
  <si>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</si>
  <si>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</si>
  <si>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Remarks</t>
  </si>
  <si>
    <t>ENERGY EFFICIENCY</t>
  </si>
  <si>
    <t>Building supplied by District Cooling System?</t>
  </si>
  <si>
    <t>Y/N</t>
  </si>
  <si>
    <t>PATHWAY 1 - EUI</t>
  </si>
  <si>
    <t>Energy Usage Intensity</t>
  </si>
  <si>
    <t>Input (#)</t>
  </si>
  <si>
    <t>PATHWAY 2 - FIXED METRICS</t>
  </si>
  <si>
    <t>(i)</t>
  </si>
  <si>
    <t>Reduced Heat Gain (ETTV)</t>
  </si>
  <si>
    <t>(ii)</t>
  </si>
  <si>
    <t>Non AC Areas</t>
  </si>
  <si>
    <t>Input (%)</t>
  </si>
  <si>
    <t>(iii)</t>
  </si>
  <si>
    <t>a) ACMV TSE</t>
  </si>
  <si>
    <t>b) ACMV (Unitary)</t>
  </si>
  <si>
    <t>Three Phase (no. of ticks)</t>
  </si>
  <si>
    <t>Single Phase (no. of ticks)</t>
  </si>
  <si>
    <t>(iv)</t>
  </si>
  <si>
    <t>Lighting Power Budget</t>
  </si>
  <si>
    <t>(v)</t>
  </si>
  <si>
    <t xml:space="preserve">Mechanical Ventilation </t>
  </si>
  <si>
    <t>(vi)</t>
  </si>
  <si>
    <t>Integrated Energy Management &amp; control Systems</t>
  </si>
  <si>
    <t>a) Lighting controls provided in accordance with SS 530: 2014 Code of Practice for Energy Efficiency Standard for Building Services and Equipment.</t>
  </si>
  <si>
    <t>b) Energy consumption monitoring and benchmarking system</t>
  </si>
  <si>
    <t>c) Automatic controls for the air-conditioning system to respond to  periods of non-use, or reduced heat load.</t>
  </si>
  <si>
    <t>d) A control device shall be installed in every guestroom for the purpose of automatically switching off the lighting and reducing the air conditioning loads when a guestroom is not occupied.</t>
  </si>
  <si>
    <t>(vii)</t>
  </si>
  <si>
    <r>
      <t xml:space="preserve">On-Site Renewables - </t>
    </r>
    <r>
      <rPr>
        <i/>
        <sz val="12"/>
        <color theme="1"/>
        <rFont val="Calibri"/>
        <family val="2"/>
        <scheme val="minor"/>
      </rPr>
      <t>replacement to make up any deficiencies from the above list, with safety factor</t>
    </r>
  </si>
  <si>
    <t>(viii)</t>
  </si>
  <si>
    <r>
      <t xml:space="preserve">Air side efficiency (kW/RT)
</t>
    </r>
    <r>
      <rPr>
        <i/>
        <sz val="12"/>
        <color theme="1"/>
        <rFont val="Calibri"/>
        <family val="2"/>
        <scheme val="minor"/>
      </rPr>
      <t>(for buildings with DCS)</t>
    </r>
  </si>
  <si>
    <t>PATHWAY 3 - ENERGY SAVINGS</t>
  </si>
  <si>
    <t>Saving from BAU (2005 Code)</t>
  </si>
  <si>
    <t>Saving from Current Reference (2005 Code)</t>
  </si>
  <si>
    <t>CRITERIA FOR RESILIENCE SECTION</t>
  </si>
  <si>
    <t>Available points for Existing Buildings</t>
  </si>
  <si>
    <t>Points Scored</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</si>
  <si>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</si>
  <si>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</si>
  <si>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</si>
  <si>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</si>
  <si>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</si>
  <si>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</si>
  <si>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</si>
  <si>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</si>
  <si>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</si>
  <si>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</si>
  <si>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</si>
  <si>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</si>
  <si>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</si>
  <si>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</si>
  <si>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</si>
  <si>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</si>
  <si>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</si>
  <si>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</si>
  <si>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</si>
  <si>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</si>
  <si>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</si>
  <si>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</si>
  <si>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</si>
  <si>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</si>
  <si>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</si>
  <si>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</si>
  <si>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</si>
  <si>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</si>
  <si>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</si>
  <si>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</si>
  <si>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</si>
  <si>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</si>
  <si>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</si>
  <si>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</si>
  <si>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</si>
  <si>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</si>
  <si>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</si>
  <si>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</si>
  <si>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</si>
  <si>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</si>
  <si>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</si>
  <si>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</si>
  <si>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</si>
  <si>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</si>
  <si>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G</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</si>
  <si>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</si>
  <si>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</si>
  <si>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</si>
  <si>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</si>
  <si>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</si>
  <si>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</si>
  <si>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</si>
  <si>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</si>
  <si>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</si>
  <si>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</si>
  <si>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</si>
  <si>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Non-Residential Buildings</t>
    </r>
  </si>
  <si>
    <r>
      <t xml:space="preserve">Adoption of Energy Performance Contract (EPC) by accredited EPC firm for 
- </t>
    </r>
    <r>
      <rPr>
        <b/>
        <sz val="12"/>
        <color theme="1"/>
        <rFont val="Calibri"/>
        <family val="2"/>
        <scheme val="minor"/>
      </rPr>
      <t>Existing 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</si>
  <si>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</si>
  <si>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</si>
  <si>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</si>
  <si>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</si>
  <si>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</si>
  <si>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</si>
  <si>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</si>
  <si>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</si>
  <si>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</si>
  <si>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</si>
  <si>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</si>
  <si>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</si>
  <si>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</si>
  <si>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</si>
  <si>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</si>
  <si>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</si>
  <si>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</si>
  <si>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</si>
  <si>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</si>
  <si>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</si>
  <si>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</si>
  <si>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</si>
  <si>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</si>
  <si>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</si>
  <si>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</si>
  <si>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</si>
  <si>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</si>
  <si>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</si>
  <si>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</si>
  <si>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</si>
  <si>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</si>
  <si>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</si>
  <si>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</si>
  <si>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</si>
  <si>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</si>
  <si>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</si>
  <si>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</si>
  <si>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</si>
  <si>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</si>
  <si>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</si>
  <si>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</si>
  <si>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</si>
  <si>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</si>
  <si>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</si>
  <si>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</si>
  <si>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</si>
  <si>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</si>
  <si>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</si>
  <si>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</si>
  <si>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</si>
  <si>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</si>
  <si>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</si>
  <si>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</si>
  <si>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</si>
  <si>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</si>
  <si>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</si>
  <si>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</si>
  <si>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</si>
  <si>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</si>
  <si>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Embodied Carbon Computation</t>
  </si>
  <si>
    <t xml:space="preserve">(i) </t>
  </si>
  <si>
    <t>Input (#) kg CO2e/m2</t>
  </si>
  <si>
    <t xml:space="preserve">(ii) </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</si>
  <si>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</si>
  <si>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</si>
  <si>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</si>
  <si>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</si>
  <si>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</si>
  <si>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</si>
  <si>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</si>
  <si>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</si>
  <si>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3 points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</si>
  <si>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</si>
  <si>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</si>
  <si>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</si>
  <si>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</si>
  <si>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</si>
  <si>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</si>
  <si>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</si>
  <si>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</si>
  <si>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</si>
  <si>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</si>
  <si>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</si>
  <si>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</si>
  <si>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</si>
  <si>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</si>
  <si>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</si>
  <si>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</si>
  <si>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</si>
  <si>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</si>
  <si>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</si>
  <si>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</si>
  <si>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</si>
  <si>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</si>
  <si>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</si>
  <si>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</si>
  <si>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</si>
  <si>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r>
      <t xml:space="preserve">Replacement level of fine aggregate with WCS used for superstructure </t>
    </r>
    <r>
      <rPr>
        <sz val="12"/>
        <color theme="1"/>
        <rFont val="Calibri"/>
        <family val="2"/>
      </rPr>
      <t>≤</t>
    </r>
    <r>
      <rPr>
        <sz val="12"/>
        <color theme="1"/>
        <rFont val="Calibri"/>
        <family val="2"/>
        <scheme val="minor"/>
      </rPr>
      <t xml:space="preserve"> 10%</t>
    </r>
  </si>
  <si>
    <t>Minimum extent of usage of WCS ≥ 0.75% of GFA</t>
  </si>
  <si>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</si>
  <si>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</si>
  <si>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</si>
  <si>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</si>
  <si>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</si>
  <si>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</si>
  <si>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</si>
  <si>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</si>
  <si>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</si>
  <si>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</si>
  <si>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</si>
  <si>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</si>
  <si>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</si>
  <si>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</si>
  <si>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</si>
  <si>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</si>
  <si>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</si>
  <si>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</si>
  <si>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</si>
  <si>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</si>
  <si>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</si>
  <si>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</si>
  <si>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 xml:space="preserve">1 point for (a)
2 points for (b)
3 points for (c)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</si>
  <si>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</si>
  <si>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</si>
  <si>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</si>
  <si>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</si>
  <si>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</si>
  <si>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</si>
  <si>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</si>
  <si>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requires and actively assists the tenants to offset their operational energy through the procurement of renewables, or through the ongoing purchase of certified carbon offsets.
(a) ≥ 30% of tenants (by NLA)
(b) ≥ 60% of tenants (by NLA)
(c) ≥ 90% of tenants (by NLA)</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</si>
  <si>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</si>
  <si>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</si>
  <si>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</si>
  <si>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</si>
  <si>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</si>
  <si>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</si>
  <si>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</si>
  <si>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</si>
  <si>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</si>
  <si>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</si>
  <si>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</si>
  <si>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</si>
  <si>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</si>
  <si>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</si>
  <si>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t>
    </r>
    <r>
      <rPr>
        <sz val="12"/>
        <color theme="1"/>
        <rFont val="Calibri"/>
        <family val="2"/>
        <scheme val="minor"/>
      </rPr>
      <t>(a) at least 50% of floors
(b) all floors with internal staircases</t>
    </r>
  </si>
  <si>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</si>
  <si>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</si>
  <si>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</si>
  <si>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</si>
  <si>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</si>
  <si>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</si>
  <si>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</si>
  <si>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</si>
  <si>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</si>
  <si>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</si>
  <si>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</si>
  <si>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</si>
  <si>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</si>
  <si>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</si>
  <si>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</si>
  <si>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</si>
  <si>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</si>
  <si>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</si>
  <si>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</si>
  <si>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</si>
  <si>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</si>
  <si>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</si>
  <si>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A. Thermal comfort simulation: -0.5&lt;PMV&lt;0.5</t>
  </si>
  <si>
    <t>B. Effective cross ventilation: 70% of habitable areas to meet area weighted average wind velocity of 0.6m/s</t>
  </si>
  <si>
    <t>C. Prescriptive performance</t>
  </si>
  <si>
    <t>• Openings towards prevailing wind directions</t>
  </si>
  <si>
    <t>0.1 point for every 10%
Max 0.5 point</t>
  </si>
  <si>
    <r>
      <t xml:space="preserve">• Depth of Room vs Openings
</t>
    </r>
    <r>
      <rPr>
        <i/>
        <sz val="12"/>
        <color theme="1"/>
        <rFont val="Calibri"/>
        <family val="2"/>
        <scheme val="minor"/>
      </rPr>
      <t xml:space="preserve">A. Single sided ventilation:
the limiting depth(W) for effective ventilation is twice the floor-to-ceiling height (H) [W≤2H]
B. Cross Ventilation:
the limiting depth(W) for effective ventilation is five times the floor-to-ceiling height (H) [W≤5H]
C. Atria/ event space:
Atria to have an effective opening &gt;10% floor area:
Atria can be 1.5x the depth of room (A and B), or up to 2x depth where the use of fixed air movement technologies are employed (e.g. HVLS fans).
</t>
    </r>
    <r>
      <rPr>
        <sz val="12"/>
        <color theme="1"/>
        <rFont val="Calibri"/>
        <family val="2"/>
        <scheme val="minor"/>
      </rPr>
      <t xml:space="preserve">
(a) at least 50% of applicable spaces
(b) at least 70% of applicable spaces</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</si>
  <si>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</si>
  <si>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</si>
  <si>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</si>
  <si>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</si>
  <si>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t>1 point for (A)
2 points for (B)</t>
  </si>
  <si>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</si>
  <si>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</si>
  <si>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A/B</t>
  </si>
  <si>
    <t>0.5 points for (A)
1 point for (B)</t>
  </si>
  <si>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</si>
  <si>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</si>
  <si>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</si>
  <si>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</si>
  <si>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</si>
  <si>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</si>
  <si>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</si>
  <si>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</si>
  <si>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</si>
  <si>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</si>
  <si>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</si>
  <si>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</si>
  <si>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</si>
  <si>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</si>
  <si>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</si>
  <si>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</si>
  <si>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</si>
  <si>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</si>
  <si>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</si>
  <si>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</si>
  <si>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</si>
  <si>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</si>
  <si>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</si>
  <si>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</si>
  <si>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</si>
  <si>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</si>
  <si>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</si>
  <si>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</si>
  <si>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</si>
  <si>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</si>
  <si>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</si>
  <si>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</si>
  <si>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</si>
  <si>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</si>
  <si>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</si>
  <si>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</si>
  <si>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</si>
  <si>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</si>
  <si>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</si>
  <si>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</si>
  <si>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</si>
  <si>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</si>
  <si>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</si>
  <si>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</si>
  <si>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</si>
  <si>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</si>
  <si>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</si>
  <si>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</si>
  <si>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</si>
  <si>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</si>
  <si>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</si>
  <si>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</si>
  <si>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</si>
  <si>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</si>
  <si>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</si>
  <si>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</si>
  <si>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</si>
  <si>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</si>
  <si>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</si>
  <si>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</si>
  <si>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</si>
  <si>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</si>
  <si>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</si>
  <si>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</si>
  <si>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</si>
  <si>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</si>
  <si>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</si>
  <si>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</si>
  <si>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</si>
  <si>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</si>
  <si>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</si>
  <si>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</si>
  <si>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</si>
  <si>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</si>
  <si>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</si>
  <si>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</si>
  <si>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</si>
  <si>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</si>
  <si>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</si>
  <si>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</si>
  <si>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</si>
  <si>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</si>
  <si>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</si>
  <si>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</si>
  <si>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</si>
  <si>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</si>
  <si>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</si>
  <si>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</si>
  <si>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</si>
  <si>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</si>
  <si>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</si>
  <si>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</si>
  <si>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</si>
  <si>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</si>
  <si>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</si>
  <si>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</si>
  <si>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</si>
  <si>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</si>
  <si>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</si>
  <si>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</si>
  <si>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</si>
  <si>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</si>
  <si>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</si>
  <si>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</si>
  <si>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</si>
  <si>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</si>
  <si>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</si>
  <si>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</si>
  <si>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</si>
  <si>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</si>
  <si>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</si>
  <si>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</si>
  <si>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</si>
  <si>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</si>
  <si>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</si>
  <si>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</si>
  <si>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</si>
  <si>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</si>
  <si>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</si>
  <si>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</si>
  <si>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</si>
  <si>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</si>
  <si>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</si>
  <si>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</si>
  <si>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</si>
  <si>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</si>
  <si>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</si>
  <si>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</si>
  <si>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</si>
  <si>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</si>
  <si>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</si>
  <si>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</si>
  <si>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</si>
  <si>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</si>
  <si>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</si>
  <si>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</si>
  <si>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</si>
  <si>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</si>
  <si>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</si>
  <si>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(ENRB).xlsx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</si>
  <si>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</si>
  <si>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</si>
  <si>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</si>
  <si>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Section 0 - General</t>
  </si>
  <si>
    <t>Section 1 - Architectural Exterior</t>
  </si>
  <si>
    <t>1.5</t>
  </si>
  <si>
    <t>1.6</t>
  </si>
  <si>
    <t>1.7</t>
  </si>
  <si>
    <t>Section 2 - Architectural Interior</t>
  </si>
  <si>
    <t>Section 3 - Mechanical</t>
  </si>
  <si>
    <t>Section 4 - Electrical</t>
  </si>
  <si>
    <t>Section 5 - Landscape</t>
  </si>
  <si>
    <t>Section 6 - Smart FM - Innovative Solutions</t>
  </si>
  <si>
    <t>Section 7 - Smart FM - Building Management System</t>
  </si>
  <si>
    <t>Section 8 - Smart FM - Facilities Management System</t>
  </si>
  <si>
    <t>Bonus Points</t>
  </si>
  <si>
    <t>Section 1 Bonus Points</t>
  </si>
  <si>
    <t>Section 5 Bonus Points</t>
  </si>
  <si>
    <t>TOTAL Maintainability Section Points Scored</t>
  </si>
  <si>
    <t>Maintainability Prorated Points</t>
  </si>
  <si>
    <t>Bonus scored</t>
  </si>
  <si>
    <t>TOTAL Maintainability Section Points Scored After Pro-rating</t>
  </si>
  <si>
    <t>w/o Bonus</t>
  </si>
  <si>
    <t>w Bonus</t>
  </si>
  <si>
    <t>Cleared Pre-submission Meeting?</t>
  </si>
  <si>
    <t>Total Number of Green Mark 2021 Points</t>
  </si>
  <si>
    <t>Attained Maintainability Badge?</t>
  </si>
  <si>
    <t>Whole Life carbon assessment consistent with EN 15978 and EN 15804</t>
  </si>
  <si>
    <r>
      <rPr>
        <b/>
        <u/>
        <sz val="12"/>
        <color rgb="FF000000"/>
        <rFont val="Calibri"/>
        <family val="2"/>
        <scheme val="minor"/>
      </rPr>
      <t xml:space="preserve">Prerequisite 
</t>
    </r>
    <r>
      <rPr>
        <sz val="12"/>
        <color rgb="FF000000"/>
        <rFont val="Calibri"/>
        <family val="2"/>
        <scheme val="minor"/>
      </rPr>
      <t>Non-residential projects must score minimum 1 point (for new building) or 2 points (for existing building) from IN1.2 to attain the Intelligence Badge.</t>
    </r>
  </si>
  <si>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</si>
  <si>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</si>
  <si>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</si>
  <si>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</si>
  <si>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t>1 point for (a)
2 points for (b)</t>
  </si>
  <si>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</si>
  <si>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Restorative and community Spaces</t>
    </r>
    <r>
      <rPr>
        <sz val="11"/>
        <color theme="1"/>
        <rFont val="Calibri"/>
        <family val="2"/>
        <scheme val="minor"/>
      </rPr>
      <t xml:space="preserve">
</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</si>
  <si>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</si>
  <si>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t>CN1.1(ii)</t>
  </si>
  <si>
    <t>CN1.1(i)</t>
  </si>
  <si>
    <t xml:space="preserve">(a) </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</si>
  <si>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</si>
  <si>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(b) &gt;10% Reduction from the reference embodied carbon (for Concrete, Glass and Steel)
(c) &gt;30% Reduction from the reference embodied carbon (for Concrete, Glass and Steel)</t>
  </si>
  <si>
    <t>(Reference values based on A1-A5 emissions for superstructure)</t>
  </si>
  <si>
    <t>At least 50% offset of scope 2 emissions offset at verification stage</t>
  </si>
  <si>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</si>
  <si>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 xml:space="preserve">Replacement level of coarse aggregate with CCA </t>
    </r>
    <r>
      <rPr>
        <sz val="12"/>
        <rFont val="Calibri"/>
        <family val="2"/>
      </rPr>
      <t>≥ 20%</t>
    </r>
  </si>
  <si>
    <t>Minimum extent of usage of CCA ≥ 1.5% of GFA</t>
  </si>
  <si>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</si>
  <si>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</si>
  <si>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</si>
  <si>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</si>
  <si>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
(A) 75% of the floor area of all regularly occupied spaces is within 8m of windows, with unobstructed views
(B) 95% of the floor area of all regularly occupied spaces is within 12m of windows, with unobstructed views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</si>
</sst>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b/>
      <u/>
      <sz val="16"/>
      <color theme="1"/>
      <name val="Calibri"/>
      <family val="2"/>
      <scheme val="minor"/>
    </font>
    <font>
      <sz val="11"/>
      <color rgb="FF3F3F76"/>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9933FF"/>
      <name val="Calibri"/>
      <family val="2"/>
      <scheme val="minor"/>
    </font>
    <font>
      <b/>
      <u/>
      <sz val="16"/>
      <color rgb="FF7030A0"/>
      <name val="Calibri"/>
      <family val="2"/>
      <scheme val="minor"/>
    </font>
    <font>
      <b/>
      <sz val="16"/>
      <color theme="5"/>
      <name val="Calibri"/>
      <family val="2"/>
      <scheme val="minor"/>
    </font>
    <font>
      <b/>
      <u/>
      <sz val="12"/>
      <color rgb="FF000000"/>
      <name val="Calibri"/>
      <family val="2"/>
      <scheme val="minor"/>
    </font>
    <font>
      <sz val="12"/>
      <color rgb="FF000000"/>
      <name val="Calibri"/>
      <family val="2"/>
      <scheme val="minor"/>
    </font>
    <font>
      <strike/>
      <sz val="12"/>
      <color theme="1"/>
      <name val="Calibri"/>
      <family val="2"/>
      <scheme val="minor"/>
    </font>
    <font>
      <vertAlign val="subscript"/>
      <sz val="12"/>
      <name val="Calibri"/>
      <family val="2"/>
      <scheme val="minor"/>
    </font>
    <font>
      <vertAlign val="superscript"/>
      <sz val="12"/>
      <name val="Calibri"/>
      <family val="2"/>
      <scheme val="minor"/>
    </font>
    <font>
      <i/>
      <sz val="12"/>
      <name val="Calibri"/>
      <family val="2"/>
      <scheme val="minor"/>
    </font>
    <font>
      <u/>
      <sz val="12"/>
      <name val="Calibri"/>
      <family val="2"/>
      <scheme val="minor"/>
    </font>
    <font>
      <sz val="12"/>
      <name val="Calibri"/>
      <family val="2"/>
    </font>
  </fonts>
  <fills count="3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1" fillId="34" borderId="34" applyNumberFormat="0" applyAlignment="0" applyProtection="0"/>
  </cellStyleXfs>
  <cellXfs count="563">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xf>
    <xf numFmtId="0" fontId="10" fillId="7" borderId="1" xfId="0" applyFont="1" applyFill="1" applyBorder="1" applyAlignment="1">
      <alignment horizontal="left" vertical="center"/>
    </xf>
    <xf numFmtId="0" fontId="10" fillId="7" borderId="1" xfId="0" applyFont="1" applyFill="1" applyBorder="1" applyAlignment="1">
      <alignment horizontal="right" vertical="center"/>
    </xf>
    <xf numFmtId="0" fontId="31" fillId="7" borderId="1" xfId="0" applyFont="1" applyFill="1" applyBorder="1" applyAlignment="1">
      <alignment horizontal="right" vertical="center"/>
    </xf>
    <xf numFmtId="0" fontId="11" fillId="31" borderId="1" xfId="0" applyFont="1" applyFill="1" applyBorder="1" applyAlignment="1" applyProtection="1">
      <alignment horizontal="center" vertical="center"/>
      <protection locked="0"/>
    </xf>
    <xf numFmtId="0" fontId="0" fillId="0" borderId="1" xfId="0" applyBorder="1" applyProtection="1">
      <protection locked="0"/>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0" fontId="11" fillId="33" borderId="1" xfId="0" applyFont="1" applyFill="1" applyBorder="1" applyAlignment="1">
      <alignment horizontal="center" vertical="center"/>
    </xf>
    <xf numFmtId="0" fontId="12" fillId="33" borderId="1" xfId="0" applyFont="1" applyFill="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vertical="center" wrapText="1"/>
    </xf>
    <xf numFmtId="0" fontId="4" fillId="13" borderId="1" xfId="1" applyFont="1" applyFill="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horizontal="center" vertical="center"/>
    </xf>
    <xf numFmtId="0" fontId="4" fillId="0" borderId="1" xfId="0" applyFont="1" applyBorder="1" applyAlignment="1">
      <alignment horizontal="justify" vertical="center" wrapText="1"/>
    </xf>
    <xf numFmtId="0" fontId="4" fillId="0" borderId="1" xfId="2" quotePrefix="1" applyFont="1" applyBorder="1" applyAlignment="1">
      <alignment horizontal="justify" vertical="center" wrapText="1"/>
    </xf>
    <xf numFmtId="0" fontId="4" fillId="0" borderId="1" xfId="2" applyFont="1" applyBorder="1" applyAlignment="1">
      <alignment horizontal="justify" vertical="center" wrapText="1"/>
    </xf>
    <xf numFmtId="0" fontId="5" fillId="25" borderId="1" xfId="0" applyFont="1" applyFill="1" applyBorder="1" applyAlignment="1">
      <alignment vertical="center" wrapText="1"/>
    </xf>
    <xf numFmtId="0" fontId="4" fillId="0" borderId="1" xfId="0" applyFont="1" applyBorder="1" applyAlignment="1" applyProtection="1">
      <alignment vertical="center"/>
      <protection locked="0"/>
    </xf>
    <xf numFmtId="164" fontId="5"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18" fillId="5" borderId="1" xfId="0"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33" borderId="1" xfId="0" applyFont="1" applyFill="1" applyBorder="1" applyAlignment="1">
      <alignment horizontal="center" vertical="center" wrapText="1"/>
    </xf>
    <xf numFmtId="0" fontId="11" fillId="23" borderId="1" xfId="0" applyFont="1" applyFill="1" applyBorder="1" applyAlignment="1">
      <alignment vertical="center"/>
    </xf>
    <xf numFmtId="0" fontId="11" fillId="0" borderId="1" xfId="0" applyFont="1" applyBorder="1" applyAlignment="1">
      <alignment horizontal="center" vertical="top"/>
    </xf>
    <xf numFmtId="0" fontId="5" fillId="0" borderId="1" xfId="0" applyFont="1" applyBorder="1" applyAlignment="1">
      <alignment vertical="center" wrapText="1"/>
    </xf>
    <xf numFmtId="0" fontId="11" fillId="22"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Border="1"/>
    <xf numFmtId="0" fontId="2" fillId="0" borderId="0" xfId="0" applyFont="1"/>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0" fontId="4" fillId="0" borderId="19" xfId="0" applyFont="1" applyBorder="1" applyAlignment="1">
      <alignment horizontal="left" vertical="top"/>
    </xf>
    <xf numFmtId="0" fontId="4" fillId="0" borderId="21" xfId="0" applyFont="1" applyBorder="1" applyAlignment="1">
      <alignment vertical="top"/>
    </xf>
    <xf numFmtId="0" fontId="0" fillId="33" borderId="1" xfId="0" applyFill="1" applyBorder="1" applyAlignment="1">
      <alignment horizontal="center" vertical="center"/>
    </xf>
    <xf numFmtId="0" fontId="2" fillId="0" borderId="1" xfId="0" applyFont="1" applyBorder="1" applyAlignment="1">
      <alignment horizontal="center" vertical="center"/>
    </xf>
    <xf numFmtId="0" fontId="4" fillId="5" borderId="1" xfId="2" applyFont="1" applyFill="1" applyBorder="1" applyAlignment="1">
      <alignment horizontal="center" vertical="center"/>
    </xf>
    <xf numFmtId="0" fontId="4" fillId="5" borderId="1" xfId="0" applyFont="1" applyFill="1" applyBorder="1" applyAlignment="1">
      <alignment horizontal="center" vertical="top"/>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0" fontId="5" fillId="0" borderId="1" xfId="0"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10" fillId="20" borderId="2" xfId="0" applyFont="1" applyFill="1" applyBorder="1" applyAlignment="1">
      <alignment horizontal="center" vertical="top"/>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5" fillId="0" borderId="1" xfId="0" applyFont="1" applyBorder="1" applyAlignment="1" applyProtection="1">
      <alignment horizontal="center" vertical="top"/>
      <protection locked="0"/>
    </xf>
    <xf numFmtId="0" fontId="1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0" fontId="4" fillId="10" borderId="1" xfId="0" applyFont="1" applyFill="1" applyBorder="1" applyAlignment="1">
      <alignment vertical="center"/>
    </xf>
    <xf numFmtId="0" fontId="4" fillId="12" borderId="1" xfId="0" applyFont="1" applyFill="1" applyBorder="1" applyAlignment="1">
      <alignment horizontal="center" vertical="center"/>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3" borderId="1" xfId="1" applyFont="1" applyFill="1" applyBorder="1" applyAlignment="1">
      <alignment vertical="center" wrapText="1"/>
    </xf>
    <xf numFmtId="0" fontId="4" fillId="0" borderId="7" xfId="1" applyFont="1" applyBorder="1" applyAlignment="1">
      <alignment vertical="center" wrapText="1"/>
    </xf>
    <xf numFmtId="1" fontId="11" fillId="0" borderId="1" xfId="1" applyNumberFormat="1" applyFont="1" applyBorder="1" applyAlignment="1">
      <alignment horizontal="center" vertical="center" wrapText="1"/>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6" xfId="0" applyFont="1" applyFill="1" applyBorder="1" applyAlignment="1">
      <alignment vertical="center"/>
    </xf>
    <xf numFmtId="0" fontId="4" fillId="3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10" fillId="14" borderId="9" xfId="0"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3" borderId="1" xfId="2" applyFont="1" applyFill="1" applyBorder="1" applyAlignment="1">
      <alignment vertical="center" wrapText="1"/>
    </xf>
    <xf numFmtId="0" fontId="4" fillId="0" borderId="1" xfId="2" applyFont="1" applyBorder="1" applyAlignment="1">
      <alignment vertical="center" wrapText="1"/>
    </xf>
    <xf numFmtId="0" fontId="4" fillId="0" borderId="7" xfId="2" applyFont="1" applyBorder="1" applyAlignment="1">
      <alignment horizontal="center" vertical="center" wrapText="1"/>
    </xf>
    <xf numFmtId="0" fontId="4" fillId="12" borderId="1" xfId="2"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8" fillId="30" borderId="1" xfId="0" applyFont="1" applyFill="1" applyBorder="1" applyAlignment="1">
      <alignment vertical="center"/>
    </xf>
    <xf numFmtId="0" fontId="11" fillId="32" borderId="1" xfId="0" applyFont="1" applyFill="1" applyBorder="1" applyAlignment="1">
      <alignment vertical="center"/>
    </xf>
    <xf numFmtId="0" fontId="10" fillId="32" borderId="1" xfId="0" applyFont="1" applyFill="1" applyBorder="1" applyAlignment="1">
      <alignment vertical="center"/>
    </xf>
    <xf numFmtId="0" fontId="4" fillId="0" borderId="1" xfId="0" applyFont="1" applyBorder="1"/>
    <xf numFmtId="0" fontId="4" fillId="0" borderId="1" xfId="0" quotePrefix="1" applyFont="1" applyBorder="1" applyAlignment="1">
      <alignment vertical="center" wrapText="1"/>
    </xf>
    <xf numFmtId="1" fontId="11" fillId="31" borderId="1" xfId="1" applyNumberFormat="1" applyFont="1" applyFill="1" applyBorder="1" applyAlignment="1" applyProtection="1">
      <alignment horizontal="center" vertical="center" wrapText="1"/>
      <protection locked="0"/>
    </xf>
    <xf numFmtId="0" fontId="3" fillId="0" borderId="0" xfId="0" applyFont="1"/>
    <xf numFmtId="0" fontId="7" fillId="0" borderId="0" xfId="0" applyFont="1"/>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Border="1" applyAlignment="1">
      <alignment horizontal="center"/>
    </xf>
    <xf numFmtId="0" fontId="33" fillId="29" borderId="15" xfId="0" applyFont="1" applyFill="1" applyBorder="1" applyAlignment="1">
      <alignment horizontal="left"/>
    </xf>
    <xf numFmtId="0" fontId="33" fillId="29" borderId="0" xfId="0" applyFont="1" applyFill="1" applyAlignment="1">
      <alignment horizontal="left"/>
    </xf>
    <xf numFmtId="0" fontId="33" fillId="29" borderId="27" xfId="0" applyFont="1" applyFill="1" applyBorder="1" applyAlignment="1">
      <alignment horizontal="left"/>
    </xf>
    <xf numFmtId="0" fontId="33" fillId="29" borderId="11" xfId="0" applyFont="1" applyFill="1" applyBorder="1" applyAlignment="1">
      <alignment horizontal="center" wrapText="1"/>
    </xf>
    <xf numFmtId="0" fontId="33" fillId="29" borderId="12" xfId="0" applyFont="1" applyFill="1" applyBorder="1" applyAlignment="1">
      <alignment horizontal="center"/>
    </xf>
    <xf numFmtId="0" fontId="33" fillId="29" borderId="8" xfId="0" applyFont="1" applyFill="1" applyBorder="1" applyAlignment="1">
      <alignment horizontal="center"/>
    </xf>
    <xf numFmtId="0" fontId="35" fillId="0" borderId="1" xfId="0" applyFont="1" applyBorder="1"/>
    <xf numFmtId="0" fontId="35" fillId="0" borderId="1" xfId="0" applyFont="1" applyBorder="1" applyAlignment="1">
      <alignment vertical="center"/>
    </xf>
    <xf numFmtId="0" fontId="35" fillId="0" borderId="1" xfId="0" applyFont="1" applyBorder="1" applyAlignment="1" applyProtection="1">
      <alignment horizontal="justify" vertical="center" wrapText="1"/>
      <protection locked="0"/>
    </xf>
    <xf numFmtId="3" fontId="38" fillId="0" borderId="1" xfId="0" applyNumberFormat="1" applyFont="1" applyBorder="1" applyAlignment="1" applyProtection="1">
      <alignment horizontal="justify" vertical="center" wrapText="1"/>
      <protection locked="0"/>
    </xf>
    <xf numFmtId="0" fontId="38" fillId="0" borderId="1"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2" fontId="39" fillId="0" borderId="1" xfId="0" applyNumberFormat="1" applyFont="1" applyBorder="1" applyAlignment="1" applyProtection="1">
      <alignment horizontal="left" vertical="center" wrapText="1"/>
      <protection locked="0"/>
    </xf>
    <xf numFmtId="165" fontId="38" fillId="0" borderId="1" xfId="0" applyNumberFormat="1" applyFont="1" applyBorder="1" applyAlignment="1" applyProtection="1">
      <alignment horizontal="left" vertical="center" wrapText="1"/>
      <protection locked="0"/>
    </xf>
    <xf numFmtId="164" fontId="38"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0" fillId="0" borderId="0" xfId="0" applyProtection="1">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5" fillId="0" borderId="1" xfId="0" applyFont="1" applyBorder="1" applyAlignment="1">
      <alignment horizontal="center" vertical="top"/>
    </xf>
    <xf numFmtId="0" fontId="4" fillId="0" borderId="3" xfId="0" applyFont="1" applyBorder="1" applyAlignment="1">
      <alignment horizontal="center" vertical="center"/>
    </xf>
    <xf numFmtId="0" fontId="4" fillId="0" borderId="1" xfId="0" applyFont="1" applyBorder="1" applyAlignment="1">
      <alignment horizontal="center" vertical="top"/>
    </xf>
    <xf numFmtId="0" fontId="5" fillId="0" borderId="1" xfId="0" applyFont="1" applyBorder="1" applyAlignment="1">
      <alignment horizontal="center" vertical="center"/>
    </xf>
    <xf numFmtId="0" fontId="10" fillId="20" borderId="1" xfId="0" applyFont="1" applyFill="1" applyBorder="1" applyAlignment="1">
      <alignment horizontal="left" vertical="top" wrapText="1"/>
    </xf>
    <xf numFmtId="0" fontId="11" fillId="22" borderId="1" xfId="0" applyFont="1" applyFill="1" applyBorder="1" applyAlignment="1">
      <alignment horizontal="left" vertical="top" wrapText="1"/>
    </xf>
    <xf numFmtId="0" fontId="4" fillId="3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34" fillId="0" borderId="0" xfId="0" applyFont="1" applyProtection="1">
      <protection locked="0"/>
    </xf>
    <xf numFmtId="0" fontId="36" fillId="0" borderId="0" xfId="0" applyFont="1" applyProtection="1">
      <protection locked="0"/>
    </xf>
    <xf numFmtId="0" fontId="32" fillId="0" borderId="0" xfId="0" applyFont="1"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18" fillId="30" borderId="1" xfId="0" applyFont="1" applyFill="1" applyBorder="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0" fontId="4" fillId="0" borderId="1" xfId="0" applyFont="1" applyBorder="1" applyAlignment="1" applyProtection="1">
      <alignment vertical="top" wrapText="1"/>
      <protection locked="0"/>
    </xf>
    <xf numFmtId="0" fontId="2" fillId="0" borderId="1" xfId="0" applyFont="1" applyBorder="1" applyAlignment="1">
      <alignment horizontal="center"/>
    </xf>
    <xf numFmtId="0" fontId="15" fillId="0" borderId="1" xfId="0" applyFont="1" applyBorder="1" applyAlignment="1">
      <alignment horizontal="center"/>
    </xf>
    <xf numFmtId="0" fontId="15" fillId="15" borderId="1" xfId="0" applyFont="1" applyFill="1" applyBorder="1" applyAlignment="1">
      <alignment horizontal="center" wrapText="1"/>
    </xf>
    <xf numFmtId="0" fontId="0" fillId="0" borderId="1" xfId="0" applyBorder="1" applyAlignment="1">
      <alignment horizontal="center"/>
    </xf>
    <xf numFmtId="2" fontId="10" fillId="2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31" fillId="7" borderId="2" xfId="0" applyFont="1" applyFill="1" applyBorder="1" applyAlignment="1">
      <alignment horizontal="right" vertical="center"/>
    </xf>
    <xf numFmtId="2" fontId="12" fillId="13" borderId="1" xfId="4" applyNumberFormat="1" applyFont="1" applyFill="1" applyBorder="1" applyAlignment="1" applyProtection="1">
      <alignment horizontal="center" vertical="center" wrapText="1"/>
    </xf>
    <xf numFmtId="0" fontId="4" fillId="34" borderId="1" xfId="4" applyFont="1" applyBorder="1" applyAlignment="1" applyProtection="1">
      <alignment horizontal="center" vertical="center"/>
      <protection locked="0"/>
    </xf>
    <xf numFmtId="2" fontId="4" fillId="34" borderId="1" xfId="4" applyNumberFormat="1" applyFont="1" applyBorder="1" applyAlignment="1" applyProtection="1">
      <alignment horizontal="center" vertical="center"/>
      <protection locked="0"/>
    </xf>
    <xf numFmtId="0" fontId="0" fillId="0" borderId="0" xfId="0" applyAlignment="1">
      <alignment wrapText="1"/>
    </xf>
    <xf numFmtId="0" fontId="4" fillId="0" borderId="0" xfId="0" applyFont="1" applyAlignment="1" applyProtection="1">
      <alignment wrapText="1"/>
      <protection locked="0"/>
    </xf>
    <xf numFmtId="2" fontId="12" fillId="0"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 fillId="0" borderId="0" xfId="0" applyFont="1" applyAlignment="1">
      <alignment horizontal="center"/>
    </xf>
    <xf numFmtId="2" fontId="4" fillId="15" borderId="0" xfId="0" applyNumberFormat="1" applyFont="1" applyFill="1" applyAlignment="1">
      <alignment horizontal="center"/>
    </xf>
    <xf numFmtId="0" fontId="0" fillId="0" borderId="1" xfId="0" applyBorder="1" applyAlignment="1" applyProtection="1">
      <alignment vertical="top"/>
      <protection locked="0"/>
    </xf>
    <xf numFmtId="0" fontId="20" fillId="0" borderId="1" xfId="0" applyFont="1" applyBorder="1" applyAlignment="1">
      <alignment horizontal="center" vertical="center" wrapText="1"/>
    </xf>
    <xf numFmtId="0" fontId="20"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1" fontId="12" fillId="0" borderId="1" xfId="1" applyNumberFormat="1" applyFont="1" applyBorder="1" applyAlignment="1" applyProtection="1">
      <alignment horizontal="center" vertical="center" wrapText="1"/>
      <protection locked="0"/>
    </xf>
    <xf numFmtId="2" fontId="5" fillId="3" borderId="1" xfId="0" applyNumberFormat="1" applyFont="1" applyFill="1" applyBorder="1" applyAlignment="1">
      <alignment horizontal="center" vertical="center" wrapText="1"/>
    </xf>
    <xf numFmtId="2" fontId="10" fillId="14" borderId="1" xfId="0" applyNumberFormat="1" applyFont="1" applyFill="1" applyBorder="1" applyAlignment="1">
      <alignment horizontal="center" vertical="center"/>
    </xf>
    <xf numFmtId="2" fontId="4" fillId="9" borderId="5" xfId="0" applyNumberFormat="1" applyFont="1" applyFill="1" applyBorder="1" applyAlignment="1">
      <alignment vertical="center"/>
    </xf>
    <xf numFmtId="2" fontId="4" fillId="10" borderId="1" xfId="0" applyNumberFormat="1" applyFont="1" applyFill="1" applyBorder="1" applyAlignment="1">
      <alignment vertical="center"/>
    </xf>
    <xf numFmtId="2" fontId="11" fillId="0" borderId="1" xfId="0" applyNumberFormat="1" applyFont="1" applyBorder="1" applyAlignment="1">
      <alignment horizontal="center" vertical="center" wrapText="1"/>
    </xf>
    <xf numFmtId="2" fontId="11" fillId="12" borderId="2" xfId="0" applyNumberFormat="1" applyFont="1" applyFill="1" applyBorder="1" applyAlignment="1">
      <alignment horizontal="center" vertical="center" wrapText="1"/>
    </xf>
    <xf numFmtId="2" fontId="5" fillId="10" borderId="1" xfId="0" applyNumberFormat="1" applyFont="1" applyFill="1" applyBorder="1" applyAlignment="1">
      <alignment horizontal="center" vertical="center"/>
    </xf>
    <xf numFmtId="2" fontId="4" fillId="0" borderId="1" xfId="0" applyNumberFormat="1" applyFont="1" applyBorder="1" applyAlignment="1">
      <alignment vertical="center"/>
    </xf>
    <xf numFmtId="2" fontId="5" fillId="9" borderId="5" xfId="0" applyNumberFormat="1" applyFont="1" applyFill="1" applyBorder="1" applyAlignment="1">
      <alignment vertical="center" wrapText="1"/>
    </xf>
    <xf numFmtId="2" fontId="4" fillId="10" borderId="7" xfId="0" applyNumberFormat="1" applyFont="1" applyFill="1" applyBorder="1" applyAlignment="1">
      <alignment vertical="center"/>
    </xf>
    <xf numFmtId="2" fontId="11" fillId="0" borderId="13" xfId="0" applyNumberFormat="1" applyFont="1" applyBorder="1" applyAlignment="1">
      <alignment horizontal="center" vertical="center" wrapText="1"/>
    </xf>
    <xf numFmtId="2" fontId="11" fillId="12" borderId="1" xfId="0" applyNumberFormat="1" applyFont="1" applyFill="1" applyBorder="1" applyAlignment="1">
      <alignment horizontal="center" vertical="center" wrapText="1"/>
    </xf>
    <xf numFmtId="2" fontId="5" fillId="9" borderId="12" xfId="0" applyNumberFormat="1" applyFont="1" applyFill="1" applyBorder="1" applyAlignment="1">
      <alignment vertical="center" wrapText="1"/>
    </xf>
    <xf numFmtId="2" fontId="4" fillId="10" borderId="11" xfId="0" applyNumberFormat="1" applyFont="1" applyFill="1" applyBorder="1" applyAlignment="1">
      <alignment vertical="center"/>
    </xf>
    <xf numFmtId="2" fontId="4" fillId="0" borderId="1" xfId="2" applyNumberFormat="1" applyFont="1" applyBorder="1" applyAlignment="1">
      <alignment horizontal="center" vertical="center" wrapText="1"/>
    </xf>
    <xf numFmtId="2" fontId="10" fillId="14" borderId="9" xfId="0" applyNumberFormat="1" applyFont="1" applyFill="1" applyBorder="1" applyAlignment="1">
      <alignment horizontal="center" vertical="center"/>
    </xf>
    <xf numFmtId="2" fontId="5" fillId="9" borderId="5" xfId="2" applyNumberFormat="1" applyFont="1" applyFill="1" applyBorder="1" applyAlignment="1">
      <alignment horizontal="center" vertical="center" wrapText="1"/>
    </xf>
    <xf numFmtId="2" fontId="4" fillId="10" borderId="3" xfId="2" applyNumberFormat="1" applyFont="1" applyFill="1" applyBorder="1" applyAlignment="1">
      <alignment horizontal="center" vertical="center" wrapText="1"/>
    </xf>
    <xf numFmtId="2" fontId="4" fillId="0" borderId="1" xfId="2" applyNumberFormat="1" applyFont="1" applyBorder="1" applyAlignment="1">
      <alignment vertical="center" wrapText="1"/>
    </xf>
    <xf numFmtId="2" fontId="5" fillId="12" borderId="1" xfId="0" applyNumberFormat="1" applyFont="1" applyFill="1" applyBorder="1" applyAlignment="1">
      <alignment horizontal="center" vertical="center"/>
    </xf>
    <xf numFmtId="2" fontId="5" fillId="10" borderId="1" xfId="2" applyNumberFormat="1" applyFont="1" applyFill="1" applyBorder="1" applyAlignment="1">
      <alignment horizontal="center" vertical="center" wrapText="1"/>
    </xf>
    <xf numFmtId="2" fontId="4" fillId="9" borderId="5" xfId="2" applyNumberFormat="1" applyFont="1" applyFill="1" applyBorder="1" applyAlignment="1">
      <alignment horizontal="center" vertical="center"/>
    </xf>
    <xf numFmtId="2" fontId="4" fillId="10" borderId="3" xfId="2" applyNumberFormat="1" applyFont="1" applyFill="1" applyBorder="1" applyAlignment="1">
      <alignment horizontal="center" vertical="center"/>
    </xf>
    <xf numFmtId="2" fontId="4" fillId="10" borderId="6" xfId="0" applyNumberFormat="1" applyFont="1" applyFill="1" applyBorder="1" applyAlignment="1">
      <alignment vertical="center"/>
    </xf>
    <xf numFmtId="2" fontId="13" fillId="4" borderId="1" xfId="0" applyNumberFormat="1"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20"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5" fillId="19" borderId="1" xfId="0" applyNumberFormat="1" applyFont="1" applyFill="1" applyBorder="1" applyAlignment="1">
      <alignment horizontal="center" vertical="top"/>
    </xf>
    <xf numFmtId="2" fontId="2" fillId="0" borderId="1" xfId="0" applyNumberFormat="1" applyFont="1" applyBorder="1" applyAlignment="1">
      <alignment horizontal="center" vertical="center"/>
    </xf>
    <xf numFmtId="2" fontId="5" fillId="5" borderId="1" xfId="0" applyNumberFormat="1" applyFont="1" applyFill="1" applyBorder="1" applyAlignment="1">
      <alignment horizontal="center" vertical="top"/>
    </xf>
    <xf numFmtId="2" fontId="10" fillId="16" borderId="6" xfId="0" applyNumberFormat="1" applyFont="1" applyFill="1" applyBorder="1" applyAlignment="1">
      <alignment horizontal="center" vertical="center"/>
    </xf>
    <xf numFmtId="2" fontId="4" fillId="19" borderId="1" xfId="0" applyNumberFormat="1" applyFont="1" applyFill="1" applyBorder="1" applyAlignment="1">
      <alignment vertical="center"/>
    </xf>
    <xf numFmtId="2"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2" fontId="18" fillId="5" borderId="1" xfId="0" applyNumberFormat="1" applyFont="1" applyFill="1" applyBorder="1" applyAlignment="1">
      <alignment horizontal="center" vertical="center" wrapText="1"/>
    </xf>
    <xf numFmtId="2" fontId="11" fillId="23" borderId="5" xfId="0" applyNumberFormat="1" applyFont="1" applyFill="1" applyBorder="1" applyAlignment="1">
      <alignment horizontal="center" vertical="center"/>
    </xf>
    <xf numFmtId="2" fontId="11" fillId="21" borderId="1" xfId="0" applyNumberFormat="1" applyFont="1" applyFill="1" applyBorder="1" applyAlignment="1">
      <alignment horizontal="center" vertical="center"/>
    </xf>
    <xf numFmtId="2" fontId="11" fillId="22" borderId="1" xfId="0" applyNumberFormat="1" applyFont="1" applyFill="1" applyBorder="1" applyAlignment="1">
      <alignment horizontal="center" vertical="center"/>
    </xf>
    <xf numFmtId="2" fontId="5" fillId="24" borderId="1" xfId="0" applyNumberFormat="1"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11" fillId="23" borderId="1" xfId="0" applyNumberFormat="1" applyFont="1" applyFill="1" applyBorder="1" applyAlignment="1">
      <alignment horizontal="center" vertical="center"/>
    </xf>
    <xf numFmtId="0" fontId="4" fillId="0" borderId="1" xfId="1" applyFont="1" applyBorder="1" applyAlignment="1">
      <alignment horizontal="left" vertical="center" wrapText="1"/>
    </xf>
    <xf numFmtId="0" fontId="4" fillId="0" borderId="1" xfId="2" applyFont="1" applyBorder="1" applyAlignment="1">
      <alignment vertical="center"/>
    </xf>
    <xf numFmtId="0" fontId="49" fillId="0" borderId="1" xfId="1" applyFont="1" applyBorder="1" applyAlignment="1">
      <alignment horizontal="justify" vertical="center" wrapText="1"/>
    </xf>
    <xf numFmtId="0" fontId="50" fillId="0" borderId="1" xfId="0" applyFont="1" applyBorder="1" applyAlignment="1">
      <alignment horizontal="center" vertical="top"/>
    </xf>
    <xf numFmtId="0" fontId="11" fillId="19" borderId="1" xfId="0" applyFont="1" applyFill="1" applyBorder="1" applyAlignment="1">
      <alignment horizontal="center" vertical="top"/>
    </xf>
    <xf numFmtId="0" fontId="12" fillId="0" borderId="1" xfId="0" applyFont="1" applyBorder="1" applyAlignment="1">
      <alignment horizontal="center" vertical="top"/>
    </xf>
    <xf numFmtId="0" fontId="12" fillId="0" borderId="19" xfId="0" applyFont="1" applyBorder="1" applyAlignment="1">
      <alignment horizontal="center" vertical="top"/>
    </xf>
    <xf numFmtId="0" fontId="0" fillId="8" borderId="1" xfId="0" applyFill="1" applyBorder="1" applyProtection="1">
      <protection locked="0"/>
    </xf>
    <xf numFmtId="0" fontId="6" fillId="0" borderId="1" xfId="0" applyFont="1" applyBorder="1" applyAlignment="1">
      <alignment horizontal="center" vertical="center"/>
    </xf>
    <xf numFmtId="0" fontId="32" fillId="0" borderId="1" xfId="0" applyFont="1" applyBorder="1" applyAlignment="1">
      <alignment horizontal="left" vertical="center" wrapText="1"/>
    </xf>
    <xf numFmtId="0" fontId="33" fillId="0" borderId="1" xfId="0" applyFont="1" applyBorder="1" applyAlignment="1" applyProtection="1">
      <alignment horizontal="center"/>
      <protection locked="0"/>
    </xf>
    <xf numFmtId="0" fontId="35" fillId="0" borderId="3" xfId="0" applyFont="1" applyBorder="1" applyAlignment="1">
      <alignment horizontal="left" vertical="center"/>
    </xf>
    <xf numFmtId="0" fontId="35" fillId="0" borderId="1" xfId="0" applyFont="1" applyBorder="1" applyAlignment="1">
      <alignment horizontal="left" vertical="center"/>
    </xf>
    <xf numFmtId="0" fontId="32" fillId="0" borderId="1" xfId="0" applyFont="1" applyBorder="1" applyAlignment="1">
      <alignment horizontal="left" vertical="top" wrapText="1"/>
    </xf>
    <xf numFmtId="0" fontId="39" fillId="0" borderId="1" xfId="0" applyFont="1" applyBorder="1" applyAlignment="1">
      <alignment horizontal="left" vertical="center"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11" fillId="32" borderId="1" xfId="0" applyFont="1" applyFill="1" applyBorder="1" applyAlignment="1">
      <alignment horizontal="left" vertical="center"/>
    </xf>
    <xf numFmtId="0" fontId="13" fillId="30"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4" fillId="13" borderId="2" xfId="1" applyFont="1" applyFill="1" applyBorder="1" applyAlignment="1">
      <alignment horizontal="left" vertical="center" wrapText="1"/>
    </xf>
    <xf numFmtId="0" fontId="4" fillId="13" borderId="3" xfId="1"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12" borderId="6" xfId="2" applyFont="1" applyFill="1" applyBorder="1" applyAlignment="1">
      <alignment horizontal="right"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7" xfId="0" applyNumberFormat="1" applyFont="1" applyBorder="1" applyAlignment="1">
      <alignment horizontal="center" vertical="center"/>
    </xf>
    <xf numFmtId="0" fontId="10" fillId="1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5" fillId="12" borderId="1" xfId="2" applyFont="1" applyFill="1" applyBorder="1" applyAlignment="1">
      <alignment horizontal="right" vertical="center" wrapText="1"/>
    </xf>
    <xf numFmtId="0" fontId="0" fillId="15" borderId="1"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19" borderId="5" xfId="0" applyFont="1" applyFill="1" applyBorder="1" applyAlignment="1">
      <alignment horizontal="left" vertical="top" wrapText="1"/>
    </xf>
    <xf numFmtId="0" fontId="12" fillId="0" borderId="5" xfId="0" applyFont="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3" fillId="0" borderId="0" xfId="0" applyFont="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5" fillId="33"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3" borderId="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2" fontId="5" fillId="0" borderId="10" xfId="0" applyNumberFormat="1"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2" fontId="5"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12" fillId="0" borderId="7" xfId="0" applyFont="1" applyBorder="1" applyAlignment="1">
      <alignment horizontal="left" vertical="top" wrapText="1"/>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3"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4" borderId="1" xfId="0" applyFont="1" applyFill="1" applyBorder="1" applyAlignment="1">
      <alignment horizontal="right" vertical="center"/>
    </xf>
    <xf numFmtId="0" fontId="11" fillId="23" borderId="1" xfId="0" applyFont="1" applyFill="1" applyBorder="1" applyAlignment="1">
      <alignment horizontal="left" vertical="top"/>
    </xf>
    <xf numFmtId="0" fontId="11" fillId="22" borderId="1" xfId="0" applyFont="1" applyFill="1" applyBorder="1" applyAlignment="1">
      <alignment horizontal="left" vertical="center" wrapText="1"/>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11" fillId="22" borderId="1" xfId="0" applyFont="1" applyFill="1" applyBorder="1" applyAlignment="1">
      <alignment horizontal="left" vertical="top" wrapText="1"/>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11" fillId="21" borderId="5" xfId="0" applyFont="1" applyFill="1" applyBorder="1" applyAlignment="1">
      <alignment horizontal="left" vertical="top" wrapText="1"/>
    </xf>
    <xf numFmtId="0" fontId="11" fillId="22" borderId="5" xfId="0" applyFont="1" applyFill="1" applyBorder="1" applyAlignment="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6" xfId="0" applyFont="1" applyBorder="1" applyAlignment="1">
      <alignment horizontal="left" vertical="top" wrapText="1"/>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3"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49" fontId="4" fillId="13"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0" fontId="0" fillId="0" borderId="1" xfId="0" applyBorder="1" applyAlignment="1">
      <alignment horizontal="center"/>
    </xf>
    <xf numFmtId="0" fontId="40" fillId="0" borderId="28" xfId="0" applyFont="1" applyBorder="1" applyAlignment="1">
      <alignment horizontal="center" vertical="top" wrapText="1"/>
    </xf>
    <xf numFmtId="0" fontId="40" fillId="0" borderId="29" xfId="0" applyFont="1" applyBorder="1" applyAlignment="1">
      <alignment horizontal="center" vertical="top" wrapText="1"/>
    </xf>
    <xf numFmtId="0" fontId="40" fillId="0" borderId="30" xfId="0" applyFont="1" applyBorder="1" applyAlignment="1">
      <alignment horizontal="center" vertical="top" wrapText="1"/>
    </xf>
    <xf numFmtId="0" fontId="5" fillId="28" borderId="7" xfId="0" applyFont="1" applyFill="1" applyBorder="1" applyAlignment="1">
      <alignment horizontal="left" vertical="center"/>
    </xf>
    <xf numFmtId="0" fontId="5" fillId="28" borderId="6" xfId="0" applyFont="1" applyFill="1" applyBorder="1" applyAlignment="1">
      <alignment horizontal="left" vertical="center"/>
    </xf>
    <xf numFmtId="0" fontId="5" fillId="28" borderId="1" xfId="0" applyFont="1" applyFill="1" applyBorder="1" applyAlignment="1">
      <alignment horizontal="center" vertical="center"/>
    </xf>
    <xf numFmtId="0" fontId="10" fillId="27" borderId="1" xfId="0" applyFont="1" applyFill="1" applyBorder="1" applyAlignment="1">
      <alignment horizontal="left" vertical="center"/>
    </xf>
    <xf numFmtId="0" fontId="10" fillId="27" borderId="1" xfId="0" applyFont="1" applyFill="1" applyBorder="1" applyAlignment="1">
      <alignment horizontal="center" vertical="center" wrapText="1"/>
    </xf>
    <xf numFmtId="2" fontId="4" fillId="0" borderId="1" xfId="0" applyNumberFormat="1" applyFont="1" applyBorder="1" applyAlignment="1">
      <alignment horizont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9" fillId="2" borderId="1" xfId="0" applyFont="1" applyFill="1" applyBorder="1" applyAlignment="1">
      <alignment horizontal="center" vertical="center"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40" fillId="0" borderId="24" xfId="0" applyFont="1" applyBorder="1" applyAlignment="1">
      <alignment horizontal="center" vertical="top" wrapText="1"/>
    </xf>
    <xf numFmtId="0" fontId="40" fillId="0" borderId="0" xfId="0" applyFont="1" applyAlignment="1">
      <alignment horizontal="center" vertical="top" wrapText="1"/>
    </xf>
    <xf numFmtId="0" fontId="40" fillId="0" borderId="35" xfId="0" applyFont="1" applyBorder="1" applyAlignment="1">
      <alignment horizontal="center" vertical="top" wrapText="1"/>
    </xf>
    <xf numFmtId="0" fontId="42" fillId="0" borderId="31" xfId="0" applyFont="1" applyBorder="1" applyAlignment="1">
      <alignment horizontal="left" vertical="top" wrapText="1"/>
    </xf>
    <xf numFmtId="0" fontId="45" fillId="0" borderId="32" xfId="0" applyFont="1" applyBorder="1" applyAlignment="1">
      <alignment horizontal="left" vertical="top" wrapText="1"/>
    </xf>
    <xf numFmtId="0" fontId="45" fillId="0" borderId="33" xfId="0" applyFont="1" applyBorder="1" applyAlignment="1">
      <alignment horizontal="left" vertical="top" wrapText="1"/>
    </xf>
    <xf numFmtId="2" fontId="4" fillId="34" borderId="1" xfId="4" applyNumberFormat="1" applyFont="1" applyBorder="1" applyAlignment="1" applyProtection="1">
      <alignment horizontal="center" vertical="center"/>
      <protection locked="0"/>
    </xf>
    <xf numFmtId="2"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66" fontId="12" fillId="0" borderId="1" xfId="0" applyNumberFormat="1" applyFont="1" applyBorder="1" applyAlignment="1">
      <alignment horizontal="center" vertical="center"/>
    </xf>
    <xf numFmtId="2" fontId="12" fillId="0" borderId="7" xfId="0" applyNumberFormat="1" applyFont="1" applyBorder="1" applyAlignment="1">
      <alignment horizontal="center" vertical="center"/>
    </xf>
    <xf numFmtId="2" fontId="12" fillId="0" borderId="5"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5" fillId="28" borderId="1" xfId="0" applyNumberFormat="1" applyFont="1" applyFill="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1" fillId="0" borderId="1" xfId="0" applyNumberFormat="1" applyFont="1" applyBorder="1" applyAlignment="1">
      <alignment horizontal="center" vertical="center"/>
    </xf>
    <xf numFmtId="2" fontId="10" fillId="27" borderId="1" xfId="0" applyNumberFormat="1" applyFont="1" applyFill="1" applyBorder="1" applyAlignment="1">
      <alignment horizontal="center" vertical="center" wrapText="1"/>
    </xf>
    <xf numFmtId="2" fontId="12" fillId="0" borderId="1" xfId="0" applyNumberFormat="1" applyFont="1" applyBorder="1" applyAlignment="1">
      <alignment horizontal="center" vertical="center" wrapText="1"/>
    </xf>
    <xf numFmtId="0" fontId="12" fillId="0" borderId="7" xfId="0" applyFont="1" applyBorder="1" applyAlignment="1">
      <alignment horizontal="center" vertical="center"/>
    </xf>
    <xf numFmtId="0" fontId="12" fillId="0" borderId="6" xfId="0" applyFont="1" applyBorder="1" applyAlignment="1">
      <alignment horizontal="center"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1">
    <dxf>
      <fill>
        <patternFill>
          <bgColor rgb="FFFF0000"/>
        </patternFill>
      </fill>
    </dxf>
  </dxfs>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349154</xdr:rowOff>
    </xdr:from>
    <xdr:ext cx="6191247" cy="342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684775" y="831007"/>
          <a:ext cx="619124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Scoresheet!</a:t>
          </a:r>
          <a:endParaRPr lang="en-SG" sz="1600" b="1">
            <a:solidFill>
              <a:srgbClr val="7030A0"/>
            </a:solidFill>
          </a:endParaRPr>
        </a:p>
      </xdr:txBody>
    </xdr:sp>
    <xdr:clientData/>
  </xdr:oneCellAnchor>
  <xdr:twoCellAnchor>
    <xdr:from>
      <xdr:col>1</xdr:col>
      <xdr:colOff>381000</xdr:colOff>
      <xdr:row>2</xdr:row>
      <xdr:rowOff>520547</xdr:rowOff>
    </xdr:from>
    <xdr:to>
      <xdr:col>1</xdr:col>
      <xdr:colOff>2135687</xdr:colOff>
      <xdr:row>2</xdr:row>
      <xdr:rowOff>520547</xdr:rowOff>
    </xdr:to>
    <xdr:cxnSp macro="">
      <xdr:nvCxnSpPr>
        <xdr:cNvPr id="2" name="Straight Arrow Connector 3">
          <a:extLst>
            <a:ext uri="{FF2B5EF4-FFF2-40B4-BE49-F238E27FC236}">
              <a16:creationId xmlns:a16="http://schemas.microsoft.com/office/drawing/2014/main" id="{00000000-0008-0000-0700-000002000000}"/>
            </a:ext>
          </a:extLst>
        </xdr:cNvPr>
        <xdr:cNvCxnSpPr>
          <a:stCxn id="3" idx="1"/>
        </xdr:cNvCxnSpPr>
      </xdr:nvCxnSpPr>
      <xdr:spPr>
        <a:xfrm flipH="1">
          <a:off x="933450" y="996797"/>
          <a:ext cx="1754687" cy="0"/>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60960</xdr:rowOff>
        </xdr:from>
        <xdr:to>
          <xdr:col>1</xdr:col>
          <xdr:colOff>342900</xdr:colOff>
          <xdr:row>2</xdr:row>
          <xdr:rowOff>1051560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N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EN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of Works (GreenGov)"/>
      <sheetName val="Mt Score Summary (GG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efreshError="1"/>
      <sheetData sheetId="1" refreshError="1"/>
      <sheetData sheetId="2">
        <row r="6">
          <cell r="E6">
            <v>8.5</v>
          </cell>
          <cell r="F6">
            <v>0</v>
          </cell>
          <cell r="L6">
            <v>10.5</v>
          </cell>
          <cell r="M6">
            <v>0</v>
          </cell>
        </row>
        <row r="7">
          <cell r="B7" t="str">
            <v>General Project Requirement</v>
          </cell>
          <cell r="E7">
            <v>8.5</v>
          </cell>
          <cell r="F7">
            <v>0</v>
          </cell>
          <cell r="I7" t="str">
            <v>Softscape</v>
          </cell>
          <cell r="L7">
            <v>2</v>
          </cell>
          <cell r="M7">
            <v>0</v>
          </cell>
        </row>
        <row r="8">
          <cell r="E8">
            <v>14.5</v>
          </cell>
          <cell r="F8">
            <v>0</v>
          </cell>
          <cell r="I8" t="str">
            <v>Hardscape</v>
          </cell>
          <cell r="L8">
            <v>3</v>
          </cell>
          <cell r="M8">
            <v>0</v>
          </cell>
        </row>
        <row r="9">
          <cell r="A9" t="str">
            <v>Part A - General Façade</v>
          </cell>
          <cell r="E9">
            <v>2</v>
          </cell>
          <cell r="F9">
            <v>0</v>
          </cell>
          <cell r="I9" t="str">
            <v>Vertical Greenery</v>
          </cell>
          <cell r="L9">
            <v>0.5</v>
          </cell>
          <cell r="M9">
            <v>0</v>
          </cell>
        </row>
        <row r="10">
          <cell r="B10" t="str">
            <v>General Façade</v>
          </cell>
          <cell r="E10">
            <v>2</v>
          </cell>
          <cell r="F10">
            <v>0</v>
          </cell>
          <cell r="I10" t="str">
            <v>Roof, Sky Terraces, Planter boxes on building edge/façade</v>
          </cell>
          <cell r="L10">
            <v>3</v>
          </cell>
          <cell r="M10">
            <v>0</v>
          </cell>
        </row>
        <row r="11">
          <cell r="A11" t="str">
            <v>Part B - Façade System</v>
          </cell>
          <cell r="E11">
            <v>4</v>
          </cell>
          <cell r="F11">
            <v>0</v>
          </cell>
          <cell r="I11" t="str">
            <v>Standalone Structures</v>
          </cell>
          <cell r="L11">
            <v>2</v>
          </cell>
          <cell r="M11">
            <v>0</v>
          </cell>
        </row>
        <row r="12">
          <cell r="B12" t="str">
            <v>Cladding system: Tile/ Stone/ Metal/ Others</v>
          </cell>
          <cell r="E12">
            <v>4</v>
          </cell>
          <cell r="F12">
            <v>0</v>
          </cell>
          <cell r="L12">
            <v>11</v>
          </cell>
          <cell r="M12">
            <v>0</v>
          </cell>
        </row>
        <row r="13">
          <cell r="B13" t="str">
            <v>Curtain Wall: Glazing/ Others</v>
          </cell>
          <cell r="I13" t="str">
            <v>Cybersecurity</v>
          </cell>
          <cell r="L13">
            <v>1</v>
          </cell>
          <cell r="M13">
            <v>0</v>
          </cell>
        </row>
        <row r="14">
          <cell r="B14" t="str">
            <v>Masonry and Lightweight Concrete Panels</v>
          </cell>
          <cell r="I14" t="str">
            <v>Adoption of Smart FM solutions</v>
          </cell>
          <cell r="L14">
            <v>10</v>
          </cell>
          <cell r="M14">
            <v>0</v>
          </cell>
        </row>
        <row r="15">
          <cell r="A15" t="str">
            <v>Part C - Others</v>
          </cell>
          <cell r="E15">
            <v>8.5</v>
          </cell>
          <cell r="F15">
            <v>0</v>
          </cell>
          <cell r="L15">
            <v>10.5</v>
          </cell>
          <cell r="M15">
            <v>0</v>
          </cell>
        </row>
        <row r="16">
          <cell r="B16" t="str">
            <v>Façade Features/ considerations</v>
          </cell>
          <cell r="E16">
            <v>3.5</v>
          </cell>
          <cell r="F16">
            <v>0</v>
          </cell>
          <cell r="I16" t="str">
            <v>Central Computer</v>
          </cell>
          <cell r="L16">
            <v>2</v>
          </cell>
          <cell r="M16">
            <v>0</v>
          </cell>
        </row>
        <row r="17">
          <cell r="B17" t="str">
            <v>Entrance lobby</v>
          </cell>
          <cell r="E17">
            <v>3</v>
          </cell>
          <cell r="F17">
            <v>0</v>
          </cell>
          <cell r="I17" t="str">
            <v>Software Integration</v>
          </cell>
          <cell r="L17">
            <v>4</v>
          </cell>
          <cell r="M17">
            <v>0</v>
          </cell>
        </row>
        <row r="18">
          <cell r="B18" t="str">
            <v>Roof</v>
          </cell>
          <cell r="E18">
            <v>2</v>
          </cell>
          <cell r="F18">
            <v>0</v>
          </cell>
          <cell r="I18" t="str">
            <v>Controllers</v>
          </cell>
          <cell r="L18">
            <v>2.5</v>
          </cell>
          <cell r="M18">
            <v>0</v>
          </cell>
        </row>
        <row r="19">
          <cell r="E19">
            <v>19</v>
          </cell>
          <cell r="F19">
            <v>0</v>
          </cell>
          <cell r="I19" t="str">
            <v>Integration with M&amp;E systems</v>
          </cell>
          <cell r="L19">
            <v>2</v>
          </cell>
          <cell r="M19">
            <v>0</v>
          </cell>
        </row>
        <row r="20">
          <cell r="B20" t="str">
            <v>Floors</v>
          </cell>
          <cell r="E20">
            <v>2.5</v>
          </cell>
          <cell r="F20">
            <v>0</v>
          </cell>
          <cell r="L20">
            <v>12.5</v>
          </cell>
          <cell r="M20">
            <v>0</v>
          </cell>
        </row>
        <row r="21">
          <cell r="B21" t="str">
            <v>Ceiling</v>
          </cell>
          <cell r="E21">
            <v>5</v>
          </cell>
          <cell r="F21">
            <v>0</v>
          </cell>
          <cell r="H21" t="str">
            <v>Part A - Asset Management</v>
          </cell>
          <cell r="L21">
            <v>3</v>
          </cell>
          <cell r="M21">
            <v>0</v>
          </cell>
        </row>
        <row r="22">
          <cell r="B22" t="str">
            <v>Wet Rooms and Storage</v>
          </cell>
          <cell r="E22">
            <v>8</v>
          </cell>
          <cell r="F22">
            <v>0</v>
          </cell>
          <cell r="I22" t="str">
            <v>Failure Analysis</v>
          </cell>
          <cell r="L22">
            <v>1.5</v>
          </cell>
          <cell r="M22">
            <v>0</v>
          </cell>
        </row>
        <row r="23">
          <cell r="B23" t="str">
            <v>Loading Bay/ Back of House Service Areas</v>
          </cell>
          <cell r="E23">
            <v>3.5</v>
          </cell>
          <cell r="F23">
            <v>0</v>
          </cell>
          <cell r="I23" t="str">
            <v>Life Cycle Management</v>
          </cell>
          <cell r="L23">
            <v>1.5</v>
          </cell>
          <cell r="M23">
            <v>0</v>
          </cell>
        </row>
        <row r="24">
          <cell r="E24">
            <v>27</v>
          </cell>
          <cell r="F24">
            <v>0</v>
          </cell>
          <cell r="H24" t="str">
            <v>Part B - Operations Management and Supply Chain Management</v>
          </cell>
          <cell r="L24">
            <v>9.5</v>
          </cell>
          <cell r="M24">
            <v>0</v>
          </cell>
        </row>
        <row r="25">
          <cell r="A25" t="str">
            <v>Part A - Cooling Systems</v>
          </cell>
          <cell r="E25">
            <v>13.5</v>
          </cell>
          <cell r="F25">
            <v>0</v>
          </cell>
          <cell r="I25" t="str">
            <v>Service Management</v>
          </cell>
          <cell r="L25">
            <v>2.5</v>
          </cell>
          <cell r="M25">
            <v>0</v>
          </cell>
        </row>
        <row r="26">
          <cell r="B26" t="str">
            <v>Chiller Plant</v>
          </cell>
          <cell r="E26">
            <v>13.5</v>
          </cell>
          <cell r="F26">
            <v>0</v>
          </cell>
          <cell r="I26" t="str">
            <v>Maintenance Management</v>
          </cell>
          <cell r="L26">
            <v>1.5</v>
          </cell>
          <cell r="M26">
            <v>0</v>
          </cell>
        </row>
        <row r="27">
          <cell r="B27" t="str">
            <v>VRF</v>
          </cell>
          <cell r="E27">
            <v>1.5</v>
          </cell>
          <cell r="F27">
            <v>0</v>
          </cell>
          <cell r="I27" t="str">
            <v>Other General Services</v>
          </cell>
          <cell r="L27">
            <v>1</v>
          </cell>
          <cell r="M27">
            <v>0</v>
          </cell>
        </row>
        <row r="28">
          <cell r="A28" t="str">
            <v>Part B - Other systems</v>
          </cell>
          <cell r="E28">
            <v>13.5</v>
          </cell>
          <cell r="F28">
            <v>0</v>
          </cell>
          <cell r="I28" t="str">
            <v>Supply Chain Management</v>
          </cell>
          <cell r="L28">
            <v>4.5</v>
          </cell>
          <cell r="M28">
            <v>0</v>
          </cell>
        </row>
        <row r="29">
          <cell r="B29" t="str">
            <v>Air Distribution System</v>
          </cell>
          <cell r="E29">
            <v>8</v>
          </cell>
          <cell r="F29">
            <v>0</v>
          </cell>
        </row>
        <row r="30">
          <cell r="B30" t="str">
            <v>Domestic Water Supply</v>
          </cell>
          <cell r="E30">
            <v>0.5</v>
          </cell>
          <cell r="F30">
            <v>0</v>
          </cell>
          <cell r="L30">
            <v>2</v>
          </cell>
          <cell r="M30">
            <v>0</v>
          </cell>
        </row>
        <row r="31">
          <cell r="B31" t="str">
            <v>Sanitary System</v>
          </cell>
          <cell r="E31">
            <v>1.5</v>
          </cell>
          <cell r="F31">
            <v>0</v>
          </cell>
          <cell r="L31">
            <v>1</v>
          </cell>
          <cell r="M31">
            <v>0</v>
          </cell>
        </row>
        <row r="32">
          <cell r="B32" t="str">
            <v>Fire Protection System</v>
          </cell>
          <cell r="E32">
            <v>3.5</v>
          </cell>
          <cell r="F32">
            <v>0</v>
          </cell>
        </row>
        <row r="33">
          <cell r="E33">
            <v>10.5</v>
          </cell>
          <cell r="F33">
            <v>0</v>
          </cell>
        </row>
        <row r="34">
          <cell r="B34" t="str">
            <v>Lighting System</v>
          </cell>
          <cell r="E34">
            <v>2</v>
          </cell>
          <cell r="F34">
            <v>0</v>
          </cell>
        </row>
        <row r="35">
          <cell r="B35" t="str">
            <v>Power Distribution System</v>
          </cell>
          <cell r="E35">
            <v>2.5</v>
          </cell>
          <cell r="F35">
            <v>0</v>
          </cell>
        </row>
        <row r="36">
          <cell r="B36" t="str">
            <v>Extra Low Voltage System</v>
          </cell>
          <cell r="E36">
            <v>3.5</v>
          </cell>
          <cell r="F36">
            <v>0</v>
          </cell>
          <cell r="K36">
            <v>0</v>
          </cell>
          <cell r="N36">
            <v>0</v>
          </cell>
        </row>
        <row r="37">
          <cell r="B37" t="str">
            <v>Lightning Protection System</v>
          </cell>
          <cell r="E37">
            <v>1</v>
          </cell>
          <cell r="F37">
            <v>0</v>
          </cell>
          <cell r="K37">
            <v>124</v>
          </cell>
        </row>
        <row r="38">
          <cell r="B38" t="str">
            <v>Vertical Transportation System</v>
          </cell>
          <cell r="E38">
            <v>1.5</v>
          </cell>
          <cell r="F38">
            <v>0</v>
          </cell>
          <cell r="K38">
            <v>0</v>
          </cell>
        </row>
        <row r="39">
          <cell r="K39">
            <v>0</v>
          </cell>
          <cell r="M39">
            <v>0</v>
          </cell>
        </row>
        <row r="43">
          <cell r="M43">
            <v>0</v>
          </cell>
        </row>
        <row r="45">
          <cell r="M45" t="str">
            <v/>
          </cell>
        </row>
        <row r="49">
          <cell r="M49"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efreshError="1">
        <row r="6">
          <cell r="F6">
            <v>0</v>
          </cell>
          <cell r="M6">
            <v>0</v>
          </cell>
        </row>
        <row r="7">
          <cell r="F7">
            <v>0</v>
          </cell>
          <cell r="M7">
            <v>0</v>
          </cell>
        </row>
        <row r="8">
          <cell r="F8">
            <v>0</v>
          </cell>
          <cell r="M8">
            <v>0</v>
          </cell>
        </row>
        <row r="9">
          <cell r="F9">
            <v>0</v>
          </cell>
          <cell r="M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cell r="M17">
            <v>0</v>
          </cell>
        </row>
        <row r="18">
          <cell r="F18">
            <v>0</v>
          </cell>
          <cell r="M18">
            <v>0</v>
          </cell>
        </row>
        <row r="19">
          <cell r="F19">
            <v>0</v>
          </cell>
          <cell r="M19">
            <v>0</v>
          </cell>
        </row>
        <row r="20">
          <cell r="F20">
            <v>0</v>
          </cell>
          <cell r="M20">
            <v>0</v>
          </cell>
        </row>
        <row r="21">
          <cell r="M21">
            <v>0</v>
          </cell>
        </row>
        <row r="22">
          <cell r="F22">
            <v>0</v>
          </cell>
          <cell r="M22">
            <v>0</v>
          </cell>
        </row>
        <row r="23">
          <cell r="F23">
            <v>0</v>
          </cell>
          <cell r="M23">
            <v>0</v>
          </cell>
        </row>
        <row r="24">
          <cell r="M24">
            <v>0</v>
          </cell>
        </row>
        <row r="25">
          <cell r="F25">
            <v>0</v>
          </cell>
          <cell r="M25">
            <v>0</v>
          </cell>
        </row>
        <row r="26">
          <cell r="F26">
            <v>0</v>
          </cell>
          <cell r="M26">
            <v>0</v>
          </cell>
        </row>
        <row r="27">
          <cell r="F27">
            <v>0</v>
          </cell>
          <cell r="M27">
            <v>0</v>
          </cell>
        </row>
        <row r="28">
          <cell r="F28">
            <v>0</v>
          </cell>
          <cell r="M28">
            <v>0</v>
          </cell>
        </row>
        <row r="29">
          <cell r="F29">
            <v>0</v>
          </cell>
        </row>
        <row r="30">
          <cell r="F30">
            <v>0</v>
          </cell>
          <cell r="M30">
            <v>0</v>
          </cell>
        </row>
        <row r="31">
          <cell r="F31">
            <v>0</v>
          </cell>
          <cell r="M31">
            <v>0</v>
          </cell>
        </row>
        <row r="32">
          <cell r="F32">
            <v>0</v>
          </cell>
        </row>
        <row r="33">
          <cell r="F33">
            <v>0</v>
          </cell>
        </row>
        <row r="34">
          <cell r="F34">
            <v>0</v>
          </cell>
        </row>
        <row r="35">
          <cell r="F35">
            <v>0</v>
          </cell>
        </row>
        <row r="36">
          <cell r="F36">
            <v>0</v>
          </cell>
          <cell r="K36">
            <v>0</v>
          </cell>
          <cell r="N36">
            <v>0</v>
          </cell>
        </row>
        <row r="37">
          <cell r="F37">
            <v>0</v>
          </cell>
        </row>
        <row r="38">
          <cell r="F38">
            <v>0</v>
          </cell>
          <cell r="K38">
            <v>0</v>
          </cell>
        </row>
        <row r="39">
          <cell r="F39">
            <v>0</v>
          </cell>
          <cell r="K39">
            <v>0</v>
          </cell>
          <cell r="M39">
            <v>0</v>
          </cell>
        </row>
        <row r="40">
          <cell r="F40">
            <v>0</v>
          </cell>
        </row>
        <row r="43">
          <cell r="M43">
            <v>0</v>
          </cell>
        </row>
        <row r="49">
          <cell r="M4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5"/>
  <sheetViews>
    <sheetView tabSelected="1" zoomScaleNormal="100" workbookViewId="0"/>
  </sheetViews>
  <sheetFormatPr defaultColWidth="8.88671875" defaultRowHeight="14.4" x14ac:dyDescent="0.3"/>
  <cols>
    <col min="1" max="1" width="33.88671875" style="258" customWidth="1"/>
    <col min="2" max="2" width="11.88671875" style="235" customWidth="1"/>
    <col min="3" max="3" width="63" style="235" customWidth="1"/>
    <col min="4" max="6" width="8.88671875" style="235"/>
    <col min="7" max="7" width="63" style="256" hidden="1" customWidth="1"/>
    <col min="8" max="16384" width="8.88671875" style="235"/>
  </cols>
  <sheetData>
    <row r="2" spans="1:7" s="254" customFormat="1" ht="21" x14ac:dyDescent="0.4">
      <c r="A2" s="345"/>
      <c r="B2" s="345"/>
      <c r="C2" s="345"/>
    </row>
    <row r="3" spans="1:7" s="254" customFormat="1" ht="21" x14ac:dyDescent="0.4">
      <c r="A3" s="219"/>
      <c r="B3" s="220"/>
      <c r="C3" s="221"/>
    </row>
    <row r="4" spans="1:7" s="254" customFormat="1" ht="21" x14ac:dyDescent="0.4">
      <c r="A4" s="219" t="s">
        <v>0</v>
      </c>
      <c r="B4" s="220"/>
      <c r="C4" s="221"/>
    </row>
    <row r="5" spans="1:7" s="254" customFormat="1" ht="21" x14ac:dyDescent="0.4">
      <c r="A5" s="219"/>
      <c r="B5" s="220"/>
      <c r="C5" s="221"/>
    </row>
    <row r="6" spans="1:7" s="254" customFormat="1" ht="31.5" customHeight="1" x14ac:dyDescent="0.4">
      <c r="A6" s="222"/>
      <c r="B6" s="223"/>
      <c r="C6" s="224"/>
    </row>
    <row r="7" spans="1:7" ht="20.100000000000001" customHeight="1" x14ac:dyDescent="0.3">
      <c r="A7" s="346" t="s">
        <v>1</v>
      </c>
      <c r="B7" s="346"/>
      <c r="C7" s="346"/>
      <c r="G7" s="255" t="s">
        <v>2</v>
      </c>
    </row>
    <row r="8" spans="1:7" ht="20.100000000000001" customHeight="1" x14ac:dyDescent="0.3">
      <c r="A8" s="344" t="s">
        <v>3</v>
      </c>
      <c r="B8" s="344"/>
      <c r="C8" s="227"/>
    </row>
    <row r="9" spans="1:7" ht="20.100000000000001" customHeight="1" x14ac:dyDescent="0.3">
      <c r="A9" s="344" t="s">
        <v>4</v>
      </c>
      <c r="B9" s="344"/>
      <c r="C9" s="227"/>
    </row>
    <row r="10" spans="1:7" ht="20.100000000000001" customHeight="1" x14ac:dyDescent="0.3">
      <c r="A10" s="344" t="s">
        <v>5</v>
      </c>
      <c r="B10" s="344"/>
      <c r="C10" s="227"/>
      <c r="G10" s="257" t="s">
        <v>6</v>
      </c>
    </row>
    <row r="11" spans="1:7" ht="20.100000000000001" customHeight="1" x14ac:dyDescent="0.3">
      <c r="A11" s="344" t="s">
        <v>7</v>
      </c>
      <c r="B11" s="344"/>
      <c r="C11" s="228"/>
      <c r="G11" s="257"/>
    </row>
    <row r="12" spans="1:7" ht="20.100000000000001" customHeight="1" x14ac:dyDescent="0.3">
      <c r="A12" s="344" t="s">
        <v>8</v>
      </c>
      <c r="B12" s="344"/>
      <c r="C12" s="228"/>
      <c r="G12" s="257"/>
    </row>
    <row r="13" spans="1:7" ht="20.100000000000001" customHeight="1" x14ac:dyDescent="0.3">
      <c r="A13" s="344" t="s">
        <v>9</v>
      </c>
      <c r="B13" s="344"/>
      <c r="C13" s="228"/>
      <c r="G13" s="257"/>
    </row>
    <row r="14" spans="1:7" ht="20.100000000000001" customHeight="1" x14ac:dyDescent="0.3">
      <c r="A14" s="347"/>
      <c r="B14" s="347"/>
      <c r="C14" s="225"/>
      <c r="G14" s="257"/>
    </row>
    <row r="15" spans="1:7" ht="20.100000000000001" customHeight="1" x14ac:dyDescent="0.3">
      <c r="A15" s="347" t="s">
        <v>10</v>
      </c>
      <c r="B15" s="347"/>
      <c r="C15" s="226"/>
      <c r="G15" s="257"/>
    </row>
    <row r="16" spans="1:7" ht="20.100000000000001" customHeight="1" x14ac:dyDescent="0.3">
      <c r="A16" s="344" t="s">
        <v>11</v>
      </c>
      <c r="B16" s="344"/>
      <c r="C16" s="229"/>
      <c r="G16" s="257" t="s">
        <v>12</v>
      </c>
    </row>
    <row r="17" spans="1:3" ht="20.100000000000001" customHeight="1" x14ac:dyDescent="0.3">
      <c r="A17" s="344" t="s">
        <v>13</v>
      </c>
      <c r="B17" s="344"/>
      <c r="C17" s="230"/>
    </row>
    <row r="18" spans="1:3" ht="20.100000000000001" customHeight="1" x14ac:dyDescent="0.3">
      <c r="A18" s="344" t="s">
        <v>14</v>
      </c>
      <c r="B18" s="344"/>
      <c r="C18" s="229"/>
    </row>
    <row r="19" spans="1:3" ht="20.100000000000001" customHeight="1" x14ac:dyDescent="0.3">
      <c r="A19" s="344" t="s">
        <v>15</v>
      </c>
      <c r="B19" s="344"/>
      <c r="C19" s="231"/>
    </row>
    <row r="20" spans="1:3" ht="20.100000000000001" customHeight="1" x14ac:dyDescent="0.3">
      <c r="A20" s="349" t="s">
        <v>16</v>
      </c>
      <c r="B20" s="349"/>
      <c r="C20" s="232"/>
    </row>
    <row r="21" spans="1:3" ht="20.100000000000001" customHeight="1" x14ac:dyDescent="0.3">
      <c r="A21" s="349" t="s">
        <v>17</v>
      </c>
      <c r="B21" s="349"/>
      <c r="C21" s="233"/>
    </row>
    <row r="22" spans="1:3" ht="20.100000000000001" customHeight="1" x14ac:dyDescent="0.3">
      <c r="A22" s="349" t="s">
        <v>18</v>
      </c>
      <c r="B22" s="349"/>
      <c r="C22" s="234"/>
    </row>
    <row r="23" spans="1:3" ht="20.100000000000001" customHeight="1" x14ac:dyDescent="0.3">
      <c r="A23" s="344" t="s">
        <v>19</v>
      </c>
      <c r="B23" s="344"/>
      <c r="C23" s="18"/>
    </row>
    <row r="24" spans="1:3" x14ac:dyDescent="0.3">
      <c r="A24" s="344"/>
      <c r="B24" s="344"/>
      <c r="C24" s="18"/>
    </row>
    <row r="25" spans="1:3" ht="103.5" customHeight="1" x14ac:dyDescent="0.3">
      <c r="A25" s="348" t="s">
        <v>20</v>
      </c>
      <c r="B25" s="348"/>
      <c r="C25" s="287"/>
    </row>
  </sheetData>
  <sheetProtection algorithmName="SHA-512" hashValue="1KVsUt2gVkDaza44nH0zpRxaCrEdkJATSpO9gxs7T/VXFOQ7BEdlXWUr+LflegfwOdXPAV01cpiyIYQaeAUSMQ==" saltValue="PWb2uweAeaHkV7hbCiWlkQ==" spinCount="100000" sheet="1" formatCells="0" selectLockedCells="1"/>
  <mergeCells count="20">
    <mergeCell ref="A24:B24"/>
    <mergeCell ref="A25:B25"/>
    <mergeCell ref="A22:B22"/>
    <mergeCell ref="A23:B23"/>
    <mergeCell ref="A17:B17"/>
    <mergeCell ref="A18:B18"/>
    <mergeCell ref="A19:B19"/>
    <mergeCell ref="A20:B20"/>
    <mergeCell ref="A21:B21"/>
    <mergeCell ref="A16:B16"/>
    <mergeCell ref="A2:C2"/>
    <mergeCell ref="A7:C7"/>
    <mergeCell ref="A8:B8"/>
    <mergeCell ref="A9:B9"/>
    <mergeCell ref="A10:B10"/>
    <mergeCell ref="A11:B11"/>
    <mergeCell ref="A12:B12"/>
    <mergeCell ref="A13:B13"/>
    <mergeCell ref="A14:B14"/>
    <mergeCell ref="A15:B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8" sqref="E8"/>
    </sheetView>
  </sheetViews>
  <sheetFormatPr defaultColWidth="9.109375" defaultRowHeight="14.4" x14ac:dyDescent="0.3"/>
  <cols>
    <col min="1" max="1" width="29.88671875" style="235" customWidth="1"/>
    <col min="2" max="2" width="26.33203125" style="235" customWidth="1"/>
    <col min="3" max="3" width="26.109375" style="235" customWidth="1"/>
    <col min="4" max="5" width="23.5546875" style="235" customWidth="1"/>
    <col min="6" max="16384" width="9.109375" style="235"/>
  </cols>
  <sheetData>
    <row r="1" spans="1:5" ht="31.2" x14ac:dyDescent="0.6">
      <c r="A1" s="208" t="s">
        <v>21</v>
      </c>
      <c r="B1"/>
      <c r="C1"/>
      <c r="D1"/>
    </row>
    <row r="2" spans="1:5" x14ac:dyDescent="0.3">
      <c r="A2" s="76" t="s">
        <v>22</v>
      </c>
    </row>
    <row r="3" spans="1:5" x14ac:dyDescent="0.3">
      <c r="A3" s="76" t="s">
        <v>23</v>
      </c>
    </row>
    <row r="4" spans="1:5" x14ac:dyDescent="0.3">
      <c r="A4" s="76" t="s">
        <v>24</v>
      </c>
    </row>
    <row r="5" spans="1:5" x14ac:dyDescent="0.3">
      <c r="A5"/>
      <c r="B5"/>
      <c r="C5"/>
      <c r="D5"/>
    </row>
    <row r="6" spans="1:5" ht="31.2" x14ac:dyDescent="0.6">
      <c r="A6"/>
      <c r="B6" s="352" t="s">
        <v>25</v>
      </c>
      <c r="C6" s="352"/>
      <c r="D6" s="352"/>
      <c r="E6" s="352"/>
    </row>
    <row r="7" spans="1:5" ht="18" x14ac:dyDescent="0.35">
      <c r="A7" s="209"/>
      <c r="B7" s="236" t="s">
        <v>26</v>
      </c>
      <c r="C7" s="236" t="s">
        <v>27</v>
      </c>
      <c r="D7" s="236" t="s">
        <v>28</v>
      </c>
      <c r="E7" s="236" t="s">
        <v>29</v>
      </c>
    </row>
    <row r="8" spans="1:5" ht="18" x14ac:dyDescent="0.35">
      <c r="A8" s="210" t="s">
        <v>30</v>
      </c>
      <c r="B8" s="211">
        <v>15</v>
      </c>
      <c r="C8" s="218">
        <f>'4. Resilience'!F2</f>
        <v>0</v>
      </c>
      <c r="D8" s="343" t="str">
        <f>IF(C8&gt;=10, "Y","")</f>
        <v/>
      </c>
      <c r="E8" s="342"/>
    </row>
    <row r="9" spans="1:5" ht="18" x14ac:dyDescent="0.35">
      <c r="A9" s="212" t="s">
        <v>31</v>
      </c>
      <c r="B9" s="211">
        <v>15</v>
      </c>
      <c r="C9" s="218">
        <f>'5. Whole Life Carbon'!H2</f>
        <v>0</v>
      </c>
      <c r="D9" s="343" t="str">
        <f>IF(C9&gt;=10, "Y","")</f>
        <v/>
      </c>
      <c r="E9" s="342"/>
    </row>
    <row r="10" spans="1:5" ht="18" x14ac:dyDescent="0.35">
      <c r="A10" s="213" t="s">
        <v>32</v>
      </c>
      <c r="B10" s="211">
        <v>15</v>
      </c>
      <c r="C10" s="218">
        <f>'6. Health&amp;Wellbeing'!H2</f>
        <v>0</v>
      </c>
      <c r="D10" s="343" t="str">
        <f>IF(C10&gt;=10, "Y","")</f>
        <v/>
      </c>
      <c r="E10" s="342"/>
    </row>
    <row r="11" spans="1:5" ht="18" x14ac:dyDescent="0.35">
      <c r="A11" s="214" t="s">
        <v>33</v>
      </c>
      <c r="B11" s="211">
        <v>15</v>
      </c>
      <c r="C11" s="218">
        <f>'7. Intelligence'!F2</f>
        <v>0</v>
      </c>
      <c r="D11" s="343" t="str">
        <f>IF(C11&gt;=10, "Y","")</f>
        <v/>
      </c>
      <c r="E11" s="342"/>
    </row>
    <row r="12" spans="1:5" ht="18" x14ac:dyDescent="0.35">
      <c r="A12" s="237" t="s">
        <v>34</v>
      </c>
      <c r="B12" s="211">
        <v>15</v>
      </c>
      <c r="C12" s="218">
        <f>D32</f>
        <v>0</v>
      </c>
      <c r="D12" s="343" t="str">
        <f>IF('8. Maintainability'!C74="Yes","Y","")</f>
        <v/>
      </c>
      <c r="E12" s="342"/>
    </row>
    <row r="13" spans="1:5" ht="18" x14ac:dyDescent="0.35">
      <c r="A13" s="215" t="s">
        <v>35</v>
      </c>
      <c r="B13" s="236">
        <v>75</v>
      </c>
      <c r="C13" s="218">
        <f>SUM(C8:C12)</f>
        <v>0</v>
      </c>
      <c r="D13" s="75"/>
      <c r="E13" s="342"/>
    </row>
    <row r="14" spans="1:5" x14ac:dyDescent="0.3">
      <c r="A14"/>
      <c r="B14"/>
      <c r="C14"/>
      <c r="D14"/>
    </row>
    <row r="15" spans="1:5" x14ac:dyDescent="0.3">
      <c r="A15"/>
      <c r="B15"/>
      <c r="C15"/>
      <c r="D15"/>
    </row>
    <row r="16" spans="1:5" x14ac:dyDescent="0.3">
      <c r="A16"/>
      <c r="B16"/>
      <c r="C16"/>
      <c r="D16"/>
    </row>
    <row r="17" spans="1:4" ht="18" x14ac:dyDescent="0.35">
      <c r="A17" s="350" t="s">
        <v>36</v>
      </c>
      <c r="B17" s="350"/>
      <c r="C17" s="236" t="s">
        <v>26</v>
      </c>
      <c r="D17" s="236" t="s">
        <v>27</v>
      </c>
    </row>
    <row r="18" spans="1:4" ht="18" x14ac:dyDescent="0.35">
      <c r="A18" s="210" t="s">
        <v>37</v>
      </c>
      <c r="B18" s="210" t="s">
        <v>38</v>
      </c>
      <c r="C18" s="211">
        <v>5</v>
      </c>
      <c r="D18" s="218">
        <f>'4. Resilience'!F3</f>
        <v>0</v>
      </c>
    </row>
    <row r="19" spans="1:4" ht="18" x14ac:dyDescent="0.35">
      <c r="A19" s="210" t="s">
        <v>39</v>
      </c>
      <c r="B19" s="210" t="s">
        <v>40</v>
      </c>
      <c r="C19" s="211">
        <v>5</v>
      </c>
      <c r="D19" s="218">
        <f>'4. Resilience'!F28</f>
        <v>0</v>
      </c>
    </row>
    <row r="20" spans="1:4" ht="18" x14ac:dyDescent="0.35">
      <c r="A20" s="210" t="s">
        <v>41</v>
      </c>
      <c r="B20" s="210" t="s">
        <v>42</v>
      </c>
      <c r="C20" s="211">
        <v>5</v>
      </c>
      <c r="D20" s="218">
        <f>'4. Resilience'!F54</f>
        <v>0</v>
      </c>
    </row>
    <row r="21" spans="1:4" ht="18" x14ac:dyDescent="0.35">
      <c r="A21" s="212" t="s">
        <v>43</v>
      </c>
      <c r="B21" s="212" t="s">
        <v>44</v>
      </c>
      <c r="C21" s="211">
        <v>5</v>
      </c>
      <c r="D21" s="218">
        <f>'5. Whole Life Carbon'!H3</f>
        <v>0</v>
      </c>
    </row>
    <row r="22" spans="1:4" ht="18" x14ac:dyDescent="0.35">
      <c r="A22" s="212" t="s">
        <v>45</v>
      </c>
      <c r="B22" s="212" t="s">
        <v>46</v>
      </c>
      <c r="C22" s="211">
        <v>5</v>
      </c>
      <c r="D22" s="218">
        <f>'5. Whole Life Carbon'!H30</f>
        <v>0</v>
      </c>
    </row>
    <row r="23" spans="1:4" ht="18" x14ac:dyDescent="0.35">
      <c r="A23" s="212" t="s">
        <v>47</v>
      </c>
      <c r="B23" s="212" t="s">
        <v>48</v>
      </c>
      <c r="C23" s="211">
        <v>5</v>
      </c>
      <c r="D23" s="218">
        <f>'5. Whole Life Carbon'!H69</f>
        <v>0</v>
      </c>
    </row>
    <row r="24" spans="1:4" ht="18" x14ac:dyDescent="0.35">
      <c r="A24" s="213" t="s">
        <v>49</v>
      </c>
      <c r="B24" s="213" t="s">
        <v>50</v>
      </c>
      <c r="C24" s="211">
        <v>5</v>
      </c>
      <c r="D24" s="218">
        <f>'6. Health&amp;Wellbeing'!H3</f>
        <v>0</v>
      </c>
    </row>
    <row r="25" spans="1:4" ht="18" x14ac:dyDescent="0.35">
      <c r="A25" s="213" t="s">
        <v>51</v>
      </c>
      <c r="B25" s="213" t="s">
        <v>52</v>
      </c>
      <c r="C25" s="211">
        <v>5</v>
      </c>
      <c r="D25" s="218">
        <f>'6. Health&amp;Wellbeing'!H44</f>
        <v>0</v>
      </c>
    </row>
    <row r="26" spans="1:4" ht="18" x14ac:dyDescent="0.35">
      <c r="A26" s="213" t="s">
        <v>53</v>
      </c>
      <c r="B26" s="213" t="s">
        <v>54</v>
      </c>
      <c r="C26" s="211">
        <v>5</v>
      </c>
      <c r="D26" s="218">
        <f>'6. Health&amp;Wellbeing'!H69</f>
        <v>0</v>
      </c>
    </row>
    <row r="27" spans="1:4" ht="18" x14ac:dyDescent="0.35">
      <c r="A27" s="214" t="s">
        <v>55</v>
      </c>
      <c r="B27" s="214" t="s">
        <v>56</v>
      </c>
      <c r="C27" s="211">
        <v>5</v>
      </c>
      <c r="D27" s="218">
        <f>'7. Intelligence'!F3</f>
        <v>0</v>
      </c>
    </row>
    <row r="28" spans="1:4" ht="18" x14ac:dyDescent="0.35">
      <c r="A28" s="214" t="s">
        <v>57</v>
      </c>
      <c r="B28" s="214" t="s">
        <v>58</v>
      </c>
      <c r="C28" s="211">
        <v>5</v>
      </c>
      <c r="D28" s="218">
        <f>'7. Intelligence'!F21</f>
        <v>0</v>
      </c>
    </row>
    <row r="29" spans="1:4" ht="18" x14ac:dyDescent="0.35">
      <c r="A29" s="214" t="s">
        <v>59</v>
      </c>
      <c r="B29" s="214" t="s">
        <v>60</v>
      </c>
      <c r="C29" s="211">
        <v>5</v>
      </c>
      <c r="D29" s="218">
        <f>'7. Intelligence'!F35</f>
        <v>0</v>
      </c>
    </row>
    <row r="30" spans="1:4" x14ac:dyDescent="0.3">
      <c r="A30"/>
      <c r="B30"/>
      <c r="C30"/>
      <c r="D30"/>
    </row>
    <row r="31" spans="1:4" ht="36" x14ac:dyDescent="0.3">
      <c r="A31" s="351" t="s">
        <v>34</v>
      </c>
      <c r="B31" s="216" t="s">
        <v>61</v>
      </c>
      <c r="C31" s="216" t="s">
        <v>62</v>
      </c>
      <c r="D31" s="216" t="s">
        <v>63</v>
      </c>
    </row>
    <row r="32" spans="1:4" ht="18.75" customHeight="1" x14ac:dyDescent="0.35">
      <c r="A32" s="351"/>
      <c r="B32" s="217">
        <f>'8. Maintainability'!C7</f>
        <v>124</v>
      </c>
      <c r="C32" s="218">
        <f>IF(AND('8. Maintainability'!E71=0,'8. Maintainability'!G71=""),0,IF('8. Maintainability'!E71=0,'8. Maintainability'!G71,'8. Maintainability'!E71))</f>
        <v>0</v>
      </c>
      <c r="D32" s="218">
        <f>IF('8. Maintainability'!C73="",0,'8. Maintainability'!C73)</f>
        <v>0</v>
      </c>
    </row>
  </sheetData>
  <sheetProtection algorithmName="SHA-512" hashValue="TX4JJwtSx82njHdEngHKh+1dZ5GvBnm2lwXYB1E8n4JSsqmMGKYXKaO6fjPaJFOQczSNNw3cJ9TGLAyeAQl9vA==" saltValue="8XcVqKzQS3Lkk9pcscBJPg=="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zoomScaleNormal="100" workbookViewId="0">
      <selection activeCell="C3" sqref="C3"/>
    </sheetView>
  </sheetViews>
  <sheetFormatPr defaultColWidth="8.6640625" defaultRowHeight="14.4" x14ac:dyDescent="0.3"/>
  <cols>
    <col min="1" max="1" width="8.6640625" style="235" customWidth="1"/>
    <col min="2" max="2" width="65.6640625" style="235" customWidth="1"/>
    <col min="3" max="4" width="10.6640625" style="235" customWidth="1"/>
    <col min="5" max="5" width="27.44140625" style="235" customWidth="1"/>
    <col min="6" max="6" width="8.6640625" style="235"/>
    <col min="7" max="7" width="15.5546875" style="235" customWidth="1"/>
    <col min="8" max="8" width="17.33203125" style="235" customWidth="1"/>
    <col min="9" max="16384" width="8.6640625" style="235"/>
  </cols>
  <sheetData>
    <row r="1" spans="1:5" ht="31.2" x14ac:dyDescent="0.3">
      <c r="A1" s="355" t="s">
        <v>64</v>
      </c>
      <c r="B1" s="355"/>
      <c r="C1" s="260" t="s">
        <v>65</v>
      </c>
      <c r="D1" s="19" t="s">
        <v>66</v>
      </c>
      <c r="E1" s="19" t="s">
        <v>67</v>
      </c>
    </row>
    <row r="2" spans="1:5" ht="21" x14ac:dyDescent="0.3">
      <c r="A2" s="354" t="s">
        <v>68</v>
      </c>
      <c r="B2" s="354"/>
      <c r="C2" s="261"/>
      <c r="D2" s="202"/>
      <c r="E2" s="202"/>
    </row>
    <row r="3" spans="1:5" ht="15.6" x14ac:dyDescent="0.3">
      <c r="A3" s="75"/>
      <c r="B3" s="7" t="s">
        <v>69</v>
      </c>
      <c r="C3" s="17"/>
      <c r="D3" s="32" t="s">
        <v>70</v>
      </c>
      <c r="E3" s="290"/>
    </row>
    <row r="4" spans="1:5" ht="15.6" x14ac:dyDescent="0.3">
      <c r="A4" s="353" t="s">
        <v>71</v>
      </c>
      <c r="B4" s="353"/>
      <c r="C4" s="203"/>
      <c r="D4" s="203"/>
      <c r="E4" s="203"/>
    </row>
    <row r="5" spans="1:5" ht="15.6" x14ac:dyDescent="0.3">
      <c r="A5" s="75"/>
      <c r="B5" s="7" t="s">
        <v>72</v>
      </c>
      <c r="C5" s="17"/>
      <c r="D5" s="32" t="s">
        <v>73</v>
      </c>
      <c r="E5" s="290"/>
    </row>
    <row r="6" spans="1:5" ht="15.6" x14ac:dyDescent="0.3">
      <c r="A6" s="353" t="s">
        <v>74</v>
      </c>
      <c r="B6" s="353"/>
      <c r="C6" s="204"/>
      <c r="D6" s="204"/>
      <c r="E6" s="204"/>
    </row>
    <row r="7" spans="1:5" ht="15.6" x14ac:dyDescent="0.3">
      <c r="A7" s="238" t="s">
        <v>75</v>
      </c>
      <c r="B7" s="205" t="s">
        <v>76</v>
      </c>
      <c r="C7" s="17"/>
      <c r="D7" s="32" t="s">
        <v>73</v>
      </c>
      <c r="E7" s="290"/>
    </row>
    <row r="8" spans="1:5" ht="15.6" x14ac:dyDescent="0.3">
      <c r="A8" s="238" t="s">
        <v>77</v>
      </c>
      <c r="B8" s="8" t="s">
        <v>78</v>
      </c>
      <c r="C8" s="17"/>
      <c r="D8" s="32" t="s">
        <v>79</v>
      </c>
      <c r="E8" s="290"/>
    </row>
    <row r="9" spans="1:5" ht="15.6" x14ac:dyDescent="0.3">
      <c r="A9" s="356" t="s">
        <v>80</v>
      </c>
      <c r="B9" s="8" t="s">
        <v>81</v>
      </c>
      <c r="C9" s="17"/>
      <c r="D9" s="32" t="s">
        <v>73</v>
      </c>
      <c r="E9" s="290"/>
    </row>
    <row r="10" spans="1:5" ht="15.6" x14ac:dyDescent="0.3">
      <c r="A10" s="356"/>
      <c r="B10" s="8" t="s">
        <v>82</v>
      </c>
      <c r="C10" s="32"/>
      <c r="D10" s="32"/>
      <c r="E10" s="290"/>
    </row>
    <row r="11" spans="1:5" ht="15.6" x14ac:dyDescent="0.3">
      <c r="A11" s="356"/>
      <c r="B11" s="8" t="s">
        <v>83</v>
      </c>
      <c r="C11" s="17"/>
      <c r="D11" s="32" t="s">
        <v>73</v>
      </c>
      <c r="E11" s="290"/>
    </row>
    <row r="12" spans="1:5" ht="15.6" x14ac:dyDescent="0.3">
      <c r="A12" s="356"/>
      <c r="B12" s="8" t="s">
        <v>84</v>
      </c>
      <c r="C12" s="17"/>
      <c r="D12" s="32" t="s">
        <v>73</v>
      </c>
      <c r="E12" s="290"/>
    </row>
    <row r="13" spans="1:5" ht="15.6" x14ac:dyDescent="0.3">
      <c r="A13" s="238" t="s">
        <v>85</v>
      </c>
      <c r="B13" s="8" t="s">
        <v>86</v>
      </c>
      <c r="C13" s="17"/>
      <c r="D13" s="32" t="s">
        <v>73</v>
      </c>
      <c r="E13" s="290"/>
    </row>
    <row r="14" spans="1:5" ht="15.6" x14ac:dyDescent="0.3">
      <c r="A14" s="238" t="s">
        <v>87</v>
      </c>
      <c r="B14" s="8" t="s">
        <v>88</v>
      </c>
      <c r="C14" s="17"/>
      <c r="D14" s="143" t="s">
        <v>79</v>
      </c>
      <c r="E14" s="291"/>
    </row>
    <row r="15" spans="1:5" ht="15.6" x14ac:dyDescent="0.3">
      <c r="A15" s="356" t="s">
        <v>89</v>
      </c>
      <c r="B15" s="8" t="s">
        <v>90</v>
      </c>
      <c r="C15" s="75"/>
      <c r="D15" s="75"/>
      <c r="E15" s="18"/>
    </row>
    <row r="16" spans="1:5" ht="46.8" x14ac:dyDescent="0.3">
      <c r="A16" s="356"/>
      <c r="B16" s="9" t="s">
        <v>91</v>
      </c>
      <c r="C16" s="17"/>
      <c r="D16" s="32" t="s">
        <v>70</v>
      </c>
      <c r="E16" s="290"/>
    </row>
    <row r="17" spans="1:5" ht="15.6" x14ac:dyDescent="0.3">
      <c r="A17" s="356"/>
      <c r="B17" s="206" t="s">
        <v>92</v>
      </c>
      <c r="C17" s="17"/>
      <c r="D17" s="32" t="s">
        <v>70</v>
      </c>
      <c r="E17" s="290"/>
    </row>
    <row r="18" spans="1:5" ht="31.2" x14ac:dyDescent="0.3">
      <c r="A18" s="356"/>
      <c r="B18" s="9" t="s">
        <v>93</v>
      </c>
      <c r="C18" s="17"/>
      <c r="D18" s="32" t="s">
        <v>70</v>
      </c>
      <c r="E18" s="290"/>
    </row>
    <row r="19" spans="1:5" ht="46.8" x14ac:dyDescent="0.3">
      <c r="A19" s="356"/>
      <c r="B19" s="9" t="s">
        <v>94</v>
      </c>
      <c r="C19" s="17"/>
      <c r="D19" s="32" t="s">
        <v>70</v>
      </c>
      <c r="E19" s="290"/>
    </row>
    <row r="20" spans="1:5" ht="31.2" x14ac:dyDescent="0.3">
      <c r="A20" s="238" t="s">
        <v>95</v>
      </c>
      <c r="B20" s="9" t="s">
        <v>96</v>
      </c>
      <c r="C20" s="207"/>
      <c r="D20" s="32" t="s">
        <v>73</v>
      </c>
      <c r="E20" s="290"/>
    </row>
    <row r="21" spans="1:5" ht="31.2" x14ac:dyDescent="0.3">
      <c r="A21" s="238" t="s">
        <v>97</v>
      </c>
      <c r="B21" s="9" t="s">
        <v>98</v>
      </c>
      <c r="C21" s="207"/>
      <c r="D21" s="32" t="s">
        <v>73</v>
      </c>
      <c r="E21" s="290"/>
    </row>
    <row r="22" spans="1:5" ht="15.6" x14ac:dyDescent="0.3">
      <c r="A22" s="353" t="s">
        <v>99</v>
      </c>
      <c r="B22" s="353"/>
      <c r="C22" s="204"/>
      <c r="D22" s="204"/>
      <c r="E22" s="204"/>
    </row>
    <row r="23" spans="1:5" ht="15.6" x14ac:dyDescent="0.3">
      <c r="A23" s="238" t="s">
        <v>75</v>
      </c>
      <c r="B23" s="43" t="s">
        <v>100</v>
      </c>
      <c r="C23" s="207"/>
      <c r="D23" s="32" t="s">
        <v>73</v>
      </c>
      <c r="E23" s="290"/>
    </row>
    <row r="24" spans="1:5" ht="15.6" x14ac:dyDescent="0.3">
      <c r="A24" s="238" t="s">
        <v>77</v>
      </c>
      <c r="B24" s="43" t="s">
        <v>101</v>
      </c>
      <c r="C24" s="207"/>
      <c r="D24" s="32" t="s">
        <v>73</v>
      </c>
      <c r="E24" s="290"/>
    </row>
  </sheetData>
  <sheetProtection algorithmName="SHA-512" hashValue="4Cjd2CsSVGD7sNWCNle5Xvj1qaS25QvPDy95GzlVhT0Fin5qjDen2raumEcZoUXkA/3aKW7zeDYyECiuPArpPg==" saltValue="KiEOULNTBAFjAva1Qx5lpg==" spinCount="100000" sheet="1" formatCells="0" selectLockedCells="1"/>
  <mergeCells count="7">
    <mergeCell ref="A6:B6"/>
    <mergeCell ref="A4:B4"/>
    <mergeCell ref="A2:B2"/>
    <mergeCell ref="A1:B1"/>
    <mergeCell ref="A22:B22"/>
    <mergeCell ref="A9:A12"/>
    <mergeCell ref="A15:A19"/>
  </mergeCells>
  <dataValidations count="4">
    <dataValidation type="decimal" allowBlank="1" showInputMessage="1" showErrorMessage="1" sqref="C14 C8" xr:uid="{00000000-0002-0000-0200-000000000000}">
      <formula1>0</formula1>
      <formula2>100</formula2>
    </dataValidation>
    <dataValidation type="list" allowBlank="1" showInputMessage="1" showErrorMessage="1" sqref="C3 C16:C19" xr:uid="{00000000-0002-0000-0200-000001000000}">
      <formula1>"Y,N"</formula1>
    </dataValidation>
    <dataValidation type="decimal" allowBlank="1" showInputMessage="1" showErrorMessage="1" sqref="C5 C7 C9:C13" xr:uid="{00000000-0002-0000-0200-000002000000}">
      <formula1>0</formula1>
      <formula2>1000</formula2>
    </dataValidation>
    <dataValidation type="decimal" allowBlank="1" showInputMessage="1" showErrorMessage="1" sqref="C20:C21 C23:C24" xr:uid="{00000000-0002-0000-0200-000003000000}">
      <formula1>0</formula1>
      <formula2>10000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zoomScalePageLayoutView="55" workbookViewId="0">
      <selection activeCell="C6" sqref="C6"/>
    </sheetView>
  </sheetViews>
  <sheetFormatPr defaultColWidth="8.6640625" defaultRowHeight="15.6" x14ac:dyDescent="0.3"/>
  <cols>
    <col min="1" max="1" width="8.33203125" style="263" customWidth="1"/>
    <col min="2" max="2" width="65.6640625" style="235" customWidth="1"/>
    <col min="3" max="4" width="10.6640625" style="235" customWidth="1"/>
    <col min="5" max="5" width="19.109375" style="235" customWidth="1"/>
    <col min="6" max="6" width="10.6640625" style="235" customWidth="1"/>
    <col min="7" max="7" width="30.6640625" style="235" customWidth="1"/>
    <col min="8" max="8" width="8.6640625" style="235"/>
    <col min="9" max="9" width="10.6640625" style="235" customWidth="1"/>
    <col min="10" max="11" width="15.6640625" style="235" customWidth="1"/>
    <col min="12" max="12" width="50.6640625" style="235" customWidth="1"/>
    <col min="13" max="16384" width="8.6640625" style="235"/>
  </cols>
  <sheetData>
    <row r="1" spans="1:11" ht="46.8" x14ac:dyDescent="0.3">
      <c r="A1" s="2"/>
      <c r="B1" s="3" t="s">
        <v>102</v>
      </c>
      <c r="C1" s="19" t="s">
        <v>65</v>
      </c>
      <c r="D1" s="19" t="s">
        <v>66</v>
      </c>
      <c r="E1" s="20" t="s">
        <v>103</v>
      </c>
      <c r="F1" s="19" t="s">
        <v>104</v>
      </c>
      <c r="G1" s="3" t="s">
        <v>67</v>
      </c>
    </row>
    <row r="2" spans="1:11" ht="21" x14ac:dyDescent="0.3">
      <c r="A2" s="359" t="s">
        <v>30</v>
      </c>
      <c r="B2" s="360"/>
      <c r="C2" s="360"/>
      <c r="D2" s="361"/>
      <c r="E2" s="118">
        <v>15</v>
      </c>
      <c r="F2" s="292">
        <f>MIN(SUM(F3,F28,F54,F66), 15)</f>
        <v>0</v>
      </c>
      <c r="G2" s="119" t="s">
        <v>105</v>
      </c>
      <c r="H2" s="357"/>
      <c r="I2" s="358"/>
      <c r="J2" s="358"/>
      <c r="K2" s="358"/>
    </row>
    <row r="3" spans="1:11" x14ac:dyDescent="0.3">
      <c r="A3" s="120" t="s">
        <v>106</v>
      </c>
      <c r="B3" s="387" t="s">
        <v>107</v>
      </c>
      <c r="C3" s="387"/>
      <c r="D3" s="387"/>
      <c r="E3" s="121">
        <v>5</v>
      </c>
      <c r="F3" s="293">
        <f>MIN(SUM(F27,F23,F20,F16,F8),5)</f>
        <v>0</v>
      </c>
      <c r="G3" s="120"/>
      <c r="H3" s="357"/>
      <c r="I3" s="358"/>
      <c r="J3" s="358"/>
      <c r="K3" s="358"/>
    </row>
    <row r="4" spans="1:11" x14ac:dyDescent="0.3">
      <c r="A4" s="122" t="s">
        <v>108</v>
      </c>
      <c r="B4" s="123" t="s">
        <v>109</v>
      </c>
      <c r="C4" s="124"/>
      <c r="D4" s="125"/>
      <c r="E4" s="126"/>
      <c r="F4" s="294"/>
      <c r="G4" s="127"/>
      <c r="H4" s="357"/>
      <c r="I4" s="358"/>
      <c r="J4" s="358"/>
      <c r="K4" s="358"/>
    </row>
    <row r="5" spans="1:11" x14ac:dyDescent="0.3">
      <c r="A5" s="128" t="s">
        <v>110</v>
      </c>
      <c r="B5" s="129" t="s">
        <v>111</v>
      </c>
      <c r="C5" s="130"/>
      <c r="D5" s="131"/>
      <c r="E5" s="132"/>
      <c r="F5" s="295"/>
      <c r="G5" s="133"/>
      <c r="H5" s="357"/>
      <c r="I5" s="358"/>
      <c r="J5" s="358"/>
      <c r="K5" s="358"/>
    </row>
    <row r="6" spans="1:11" ht="46.8" x14ac:dyDescent="0.3">
      <c r="A6" s="6" t="s">
        <v>75</v>
      </c>
      <c r="B6" s="7" t="s">
        <v>112</v>
      </c>
      <c r="C6" s="4"/>
      <c r="D6" s="32" t="s">
        <v>70</v>
      </c>
      <c r="E6" s="240" t="s">
        <v>113</v>
      </c>
      <c r="F6" s="296">
        <f>IF(C6="Y",1,0)</f>
        <v>0</v>
      </c>
      <c r="G6" s="47"/>
      <c r="H6" s="357"/>
      <c r="I6" s="358"/>
      <c r="J6" s="358"/>
      <c r="K6" s="358"/>
    </row>
    <row r="7" spans="1:11" ht="46.8" x14ac:dyDescent="0.3">
      <c r="A7" s="6" t="s">
        <v>77</v>
      </c>
      <c r="B7" s="7" t="s">
        <v>114</v>
      </c>
      <c r="C7" s="4"/>
      <c r="D7" s="32" t="s">
        <v>70</v>
      </c>
      <c r="E7" s="242" t="s">
        <v>113</v>
      </c>
      <c r="F7" s="296">
        <f>IF((C7="Y")*AND(C6="Y"),1,0)</f>
        <v>0</v>
      </c>
      <c r="G7" s="47"/>
      <c r="H7" s="357"/>
      <c r="I7" s="358"/>
      <c r="J7" s="358"/>
      <c r="K7" s="358"/>
    </row>
    <row r="8" spans="1:11" x14ac:dyDescent="0.3">
      <c r="A8" s="134"/>
      <c r="B8" s="362" t="s">
        <v>115</v>
      </c>
      <c r="C8" s="363"/>
      <c r="D8" s="363"/>
      <c r="E8" s="363"/>
      <c r="F8" s="297">
        <f>MIN((F6+F7),2)</f>
        <v>0</v>
      </c>
      <c r="G8" s="135"/>
      <c r="H8" s="357"/>
      <c r="I8" s="358"/>
      <c r="J8" s="358"/>
      <c r="K8" s="358"/>
    </row>
    <row r="9" spans="1:11" x14ac:dyDescent="0.3">
      <c r="A9" s="136" t="s">
        <v>116</v>
      </c>
      <c r="B9" s="137" t="s">
        <v>117</v>
      </c>
      <c r="C9" s="138"/>
      <c r="D9" s="139"/>
      <c r="E9" s="132"/>
      <c r="F9" s="298"/>
      <c r="G9" s="133"/>
      <c r="H9" s="357"/>
      <c r="I9" s="358"/>
      <c r="J9" s="358"/>
      <c r="K9" s="358"/>
    </row>
    <row r="10" spans="1:11" ht="31.2" x14ac:dyDescent="0.3">
      <c r="A10" s="371" t="s">
        <v>75</v>
      </c>
      <c r="B10" s="140" t="s">
        <v>118</v>
      </c>
      <c r="C10" s="141"/>
      <c r="D10" s="41"/>
      <c r="E10" s="39"/>
      <c r="F10" s="299"/>
      <c r="G10" s="196"/>
      <c r="H10" s="357"/>
      <c r="I10" s="358"/>
      <c r="J10" s="358"/>
      <c r="K10" s="358"/>
    </row>
    <row r="11" spans="1:11" x14ac:dyDescent="0.3">
      <c r="A11" s="372"/>
      <c r="B11" s="142" t="s">
        <v>119</v>
      </c>
      <c r="C11" s="4"/>
      <c r="D11" s="32" t="s">
        <v>70</v>
      </c>
      <c r="E11" s="242" t="s">
        <v>113</v>
      </c>
      <c r="F11" s="296">
        <f>IF(C11="Y",1,0)</f>
        <v>0</v>
      </c>
      <c r="G11" s="196"/>
      <c r="H11" s="357"/>
      <c r="I11" s="358"/>
      <c r="J11" s="358"/>
      <c r="K11" s="358"/>
    </row>
    <row r="12" spans="1:11" x14ac:dyDescent="0.3">
      <c r="A12" s="372"/>
      <c r="B12" s="142" t="s">
        <v>120</v>
      </c>
      <c r="C12" s="4"/>
      <c r="D12" s="32" t="s">
        <v>70</v>
      </c>
      <c r="E12" s="242" t="s">
        <v>113</v>
      </c>
      <c r="F12" s="296">
        <f>IF(C12="Y",1,0)</f>
        <v>0</v>
      </c>
      <c r="G12" s="196"/>
      <c r="H12" s="357"/>
      <c r="I12" s="358"/>
      <c r="J12" s="358"/>
      <c r="K12" s="358"/>
    </row>
    <row r="13" spans="1:11" x14ac:dyDescent="0.3">
      <c r="A13" s="372"/>
      <c r="B13" s="142" t="s">
        <v>121</v>
      </c>
      <c r="C13" s="4"/>
      <c r="D13" s="32" t="s">
        <v>70</v>
      </c>
      <c r="E13" s="242" t="s">
        <v>113</v>
      </c>
      <c r="F13" s="296">
        <f>IF(C13="Y",1,0)</f>
        <v>0</v>
      </c>
      <c r="G13" s="196"/>
      <c r="H13" s="357"/>
      <c r="I13" s="358"/>
      <c r="J13" s="358"/>
      <c r="K13" s="358"/>
    </row>
    <row r="14" spans="1:11" ht="24.75" customHeight="1" x14ac:dyDescent="0.3">
      <c r="A14" s="373" t="s">
        <v>77</v>
      </c>
      <c r="B14" s="374" t="s">
        <v>122</v>
      </c>
      <c r="C14" s="4"/>
      <c r="D14" s="32" t="s">
        <v>70</v>
      </c>
      <c r="E14" s="388" t="s">
        <v>123</v>
      </c>
      <c r="F14" s="390">
        <f>IF(C15&gt;=90,1,IF(C14="Y",0.5,0))</f>
        <v>0</v>
      </c>
      <c r="G14" s="196"/>
      <c r="H14" s="357"/>
      <c r="I14" s="358"/>
      <c r="J14" s="358"/>
      <c r="K14" s="358"/>
    </row>
    <row r="15" spans="1:11" ht="23.25" customHeight="1" x14ac:dyDescent="0.3">
      <c r="A15" s="373"/>
      <c r="B15" s="375"/>
      <c r="C15" s="195"/>
      <c r="D15" s="143" t="s">
        <v>79</v>
      </c>
      <c r="E15" s="389"/>
      <c r="F15" s="391"/>
      <c r="G15" s="47"/>
      <c r="H15" s="357"/>
      <c r="I15" s="358"/>
      <c r="J15" s="358"/>
      <c r="K15" s="358"/>
    </row>
    <row r="16" spans="1:11" x14ac:dyDescent="0.3">
      <c r="A16" s="144"/>
      <c r="B16" s="362" t="s">
        <v>124</v>
      </c>
      <c r="C16" s="363"/>
      <c r="D16" s="363"/>
      <c r="E16" s="379"/>
      <c r="F16" s="297">
        <f>MIN(SUM(F11:F15),3)</f>
        <v>0</v>
      </c>
      <c r="G16" s="145"/>
      <c r="H16" s="357"/>
      <c r="I16" s="358"/>
      <c r="J16" s="358"/>
      <c r="K16" s="358"/>
    </row>
    <row r="17" spans="1:11" x14ac:dyDescent="0.3">
      <c r="A17" s="122" t="s">
        <v>125</v>
      </c>
      <c r="B17" s="146" t="s">
        <v>126</v>
      </c>
      <c r="C17" s="147"/>
      <c r="D17" s="148"/>
      <c r="E17" s="149"/>
      <c r="F17" s="300"/>
      <c r="G17" s="150"/>
      <c r="H17" s="357"/>
      <c r="I17" s="358"/>
      <c r="J17" s="358"/>
      <c r="K17" s="358"/>
    </row>
    <row r="18" spans="1:11" x14ac:dyDescent="0.3">
      <c r="A18" s="128" t="s">
        <v>127</v>
      </c>
      <c r="B18" s="151" t="s">
        <v>128</v>
      </c>
      <c r="C18" s="152"/>
      <c r="D18" s="153"/>
      <c r="E18" s="132"/>
      <c r="F18" s="301"/>
      <c r="G18" s="133"/>
      <c r="H18" s="357"/>
      <c r="I18" s="358"/>
      <c r="J18" s="358"/>
      <c r="K18" s="358"/>
    </row>
    <row r="19" spans="1:11" ht="124.8" x14ac:dyDescent="0.3">
      <c r="A19" s="8"/>
      <c r="B19" s="43" t="s">
        <v>129</v>
      </c>
      <c r="C19" s="4"/>
      <c r="D19" s="32" t="s">
        <v>70</v>
      </c>
      <c r="E19" s="240" t="s">
        <v>130</v>
      </c>
      <c r="F19" s="296">
        <f>IF(C19="Y",2,0)</f>
        <v>0</v>
      </c>
      <c r="G19" s="47"/>
      <c r="H19" s="357"/>
      <c r="I19" s="358"/>
      <c r="J19" s="358"/>
      <c r="K19" s="358"/>
    </row>
    <row r="20" spans="1:11" x14ac:dyDescent="0.3">
      <c r="A20" s="154"/>
      <c r="B20" s="362" t="s">
        <v>131</v>
      </c>
      <c r="C20" s="363"/>
      <c r="D20" s="363"/>
      <c r="E20" s="363"/>
      <c r="F20" s="297">
        <f>F19</f>
        <v>0</v>
      </c>
      <c r="G20" s="155"/>
      <c r="H20" s="357"/>
      <c r="I20" s="358"/>
      <c r="J20" s="358"/>
      <c r="K20" s="358"/>
    </row>
    <row r="21" spans="1:11" x14ac:dyDescent="0.3">
      <c r="A21" s="128" t="s">
        <v>132</v>
      </c>
      <c r="B21" s="151" t="s">
        <v>133</v>
      </c>
      <c r="C21" s="156"/>
      <c r="D21" s="157"/>
      <c r="E21" s="132"/>
      <c r="F21" s="301"/>
      <c r="G21" s="133"/>
      <c r="H21" s="357"/>
      <c r="I21" s="358"/>
      <c r="J21" s="358"/>
      <c r="K21" s="358"/>
    </row>
    <row r="22" spans="1:11" ht="62.4" x14ac:dyDescent="0.3">
      <c r="A22" s="6"/>
      <c r="B22" s="158" t="s">
        <v>134</v>
      </c>
      <c r="C22" s="195"/>
      <c r="D22" s="143" t="s">
        <v>79</v>
      </c>
      <c r="E22" s="159" t="s">
        <v>135</v>
      </c>
      <c r="F22" s="302">
        <f>IF(AND(C22&gt;=50, C22&lt;80),0.5,0) + IF(C22&gt;=80,1,0)</f>
        <v>0</v>
      </c>
      <c r="G22" s="49"/>
      <c r="H22" s="357"/>
      <c r="I22" s="358"/>
      <c r="J22" s="358"/>
      <c r="K22" s="358"/>
    </row>
    <row r="23" spans="1:11" x14ac:dyDescent="0.3">
      <c r="A23" s="134"/>
      <c r="B23" s="362" t="s">
        <v>136</v>
      </c>
      <c r="C23" s="363"/>
      <c r="D23" s="363"/>
      <c r="E23" s="363"/>
      <c r="F23" s="303">
        <f>MIN(F22, 1)</f>
        <v>0</v>
      </c>
      <c r="G23" s="134"/>
      <c r="H23" s="357"/>
      <c r="I23" s="358"/>
      <c r="J23" s="358"/>
      <c r="K23" s="358"/>
    </row>
    <row r="24" spans="1:11" x14ac:dyDescent="0.3">
      <c r="A24" s="122" t="s">
        <v>137</v>
      </c>
      <c r="B24" s="146" t="s">
        <v>138</v>
      </c>
      <c r="C24" s="160"/>
      <c r="D24" s="161"/>
      <c r="E24" s="149"/>
      <c r="F24" s="304"/>
      <c r="G24" s="150"/>
      <c r="H24" s="357"/>
      <c r="I24" s="358"/>
      <c r="J24" s="358"/>
      <c r="K24" s="358"/>
    </row>
    <row r="25" spans="1:11" x14ac:dyDescent="0.3">
      <c r="A25" s="128" t="s">
        <v>137</v>
      </c>
      <c r="B25" s="151" t="s">
        <v>139</v>
      </c>
      <c r="C25" s="152"/>
      <c r="D25" s="153"/>
      <c r="E25" s="132"/>
      <c r="F25" s="305"/>
      <c r="G25" s="162"/>
      <c r="H25" s="357"/>
      <c r="I25" s="358"/>
      <c r="J25" s="358"/>
      <c r="K25" s="358"/>
    </row>
    <row r="26" spans="1:11" ht="46.8" x14ac:dyDescent="0.3">
      <c r="A26" s="8"/>
      <c r="B26" s="43" t="s">
        <v>140</v>
      </c>
      <c r="C26" s="163" t="s">
        <v>141</v>
      </c>
      <c r="D26" s="164" t="s">
        <v>141</v>
      </c>
      <c r="E26" s="164" t="s">
        <v>141</v>
      </c>
      <c r="F26" s="306" t="s">
        <v>141</v>
      </c>
      <c r="G26" s="47"/>
      <c r="H26" s="357"/>
      <c r="I26" s="358"/>
      <c r="J26" s="358"/>
      <c r="K26" s="358"/>
    </row>
    <row r="27" spans="1:11" x14ac:dyDescent="0.3">
      <c r="A27" s="135"/>
      <c r="B27" s="362" t="s">
        <v>142</v>
      </c>
      <c r="C27" s="363"/>
      <c r="D27" s="363"/>
      <c r="E27" s="363"/>
      <c r="F27" s="303">
        <f>0</f>
        <v>0</v>
      </c>
      <c r="G27" s="155"/>
      <c r="H27" s="357"/>
      <c r="I27" s="358"/>
      <c r="J27" s="358"/>
      <c r="K27" s="358"/>
    </row>
    <row r="28" spans="1:11" x14ac:dyDescent="0.3">
      <c r="A28" s="120" t="s">
        <v>143</v>
      </c>
      <c r="B28" s="376" t="s">
        <v>144</v>
      </c>
      <c r="C28" s="377"/>
      <c r="D28" s="378"/>
      <c r="E28" s="165">
        <v>5</v>
      </c>
      <c r="F28" s="307">
        <f>MIN(SUM(F53,F47,F39,F35),5)</f>
        <v>0</v>
      </c>
      <c r="G28" s="166"/>
      <c r="H28" s="357"/>
      <c r="I28" s="358"/>
      <c r="J28" s="358"/>
      <c r="K28" s="358"/>
    </row>
    <row r="29" spans="1:11" x14ac:dyDescent="0.3">
      <c r="A29" s="167" t="s">
        <v>145</v>
      </c>
      <c r="B29" s="366" t="s">
        <v>146</v>
      </c>
      <c r="C29" s="367"/>
      <c r="D29" s="168"/>
      <c r="E29" s="169"/>
      <c r="F29" s="308"/>
      <c r="G29" s="127"/>
      <c r="H29" s="357"/>
      <c r="I29" s="358"/>
      <c r="J29" s="358"/>
      <c r="K29" s="358"/>
    </row>
    <row r="30" spans="1:11" x14ac:dyDescent="0.3">
      <c r="A30" s="170" t="s">
        <v>147</v>
      </c>
      <c r="B30" s="171" t="s">
        <v>148</v>
      </c>
      <c r="C30" s="171"/>
      <c r="D30" s="172"/>
      <c r="E30" s="132"/>
      <c r="F30" s="309"/>
      <c r="G30" s="173"/>
      <c r="H30" s="357" t="s">
        <v>149</v>
      </c>
      <c r="I30" s="358"/>
      <c r="J30" s="358"/>
      <c r="K30" s="358"/>
    </row>
    <row r="31" spans="1:11" ht="31.2" x14ac:dyDescent="0.3">
      <c r="A31" s="364" t="s">
        <v>75</v>
      </c>
      <c r="B31" s="174" t="s">
        <v>150</v>
      </c>
      <c r="C31" s="175"/>
      <c r="D31" s="176"/>
      <c r="E31" s="176"/>
      <c r="F31" s="310"/>
      <c r="G31" s="47"/>
      <c r="I31" s="75"/>
      <c r="J31" s="270" t="s">
        <v>151</v>
      </c>
      <c r="K31" s="13"/>
    </row>
    <row r="32" spans="1:11" ht="27" customHeight="1" x14ac:dyDescent="0.3">
      <c r="A32" s="365"/>
      <c r="B32" s="176" t="s">
        <v>152</v>
      </c>
      <c r="C32" s="197"/>
      <c r="D32" s="143" t="s">
        <v>73</v>
      </c>
      <c r="E32" s="369" t="s">
        <v>153</v>
      </c>
      <c r="F32" s="385">
        <f>MIN(SUM(C32*0.5,C33*0.5),1)</f>
        <v>0</v>
      </c>
      <c r="G32" s="47"/>
      <c r="I32" s="271">
        <f>IF(C32&gt;0,C32*0.25,0)</f>
        <v>0</v>
      </c>
      <c r="J32" s="393">
        <f>IF(SUM(I32+I33)&gt;=0.5,"0.5",I32+I33)</f>
        <v>0</v>
      </c>
      <c r="K32" s="394" t="s">
        <v>154</v>
      </c>
    </row>
    <row r="33" spans="1:11" ht="25.5" customHeight="1" x14ac:dyDescent="0.3">
      <c r="A33" s="368"/>
      <c r="B33" s="176" t="s">
        <v>155</v>
      </c>
      <c r="C33" s="197"/>
      <c r="D33" s="143" t="s">
        <v>73</v>
      </c>
      <c r="E33" s="370"/>
      <c r="F33" s="386"/>
      <c r="G33" s="47"/>
      <c r="I33" s="271">
        <f>IF(C33&gt;0,C33*0.5,0)</f>
        <v>0</v>
      </c>
      <c r="J33" s="393"/>
      <c r="K33" s="395"/>
    </row>
    <row r="34" spans="1:11" ht="31.2" x14ac:dyDescent="0.3">
      <c r="A34" s="253" t="s">
        <v>77</v>
      </c>
      <c r="B34" s="176" t="s">
        <v>156</v>
      </c>
      <c r="C34" s="197"/>
      <c r="D34" s="143" t="s">
        <v>73</v>
      </c>
      <c r="E34" s="177" t="s">
        <v>157</v>
      </c>
      <c r="F34" s="296">
        <f>IF(I34&gt;=0.5,0.5,I34)</f>
        <v>0</v>
      </c>
      <c r="G34" s="199"/>
      <c r="I34" s="271">
        <f>IF(C34&gt;0,C34*0.25,0)</f>
        <v>0</v>
      </c>
      <c r="J34" s="272">
        <f>IF(I34&gt;=0.5,"0.5",I34)</f>
        <v>0</v>
      </c>
      <c r="K34" s="273" t="s">
        <v>154</v>
      </c>
    </row>
    <row r="35" spans="1:11" x14ac:dyDescent="0.3">
      <c r="A35" s="178"/>
      <c r="B35" s="362" t="s">
        <v>158</v>
      </c>
      <c r="C35" s="363"/>
      <c r="D35" s="363"/>
      <c r="E35" s="363"/>
      <c r="F35" s="311">
        <f>MIN(F32+F34,1)</f>
        <v>0</v>
      </c>
      <c r="G35" s="134"/>
      <c r="H35" s="357"/>
      <c r="I35" s="358"/>
      <c r="J35" s="358"/>
      <c r="K35" s="358"/>
    </row>
    <row r="36" spans="1:11" x14ac:dyDescent="0.3">
      <c r="A36" s="170" t="s">
        <v>159</v>
      </c>
      <c r="B36" s="171" t="s">
        <v>160</v>
      </c>
      <c r="C36" s="171"/>
      <c r="D36" s="171"/>
      <c r="E36" s="132"/>
      <c r="F36" s="312"/>
      <c r="G36" s="133"/>
      <c r="H36" s="357"/>
      <c r="I36" s="358"/>
      <c r="J36" s="358"/>
      <c r="K36" s="358"/>
    </row>
    <row r="37" spans="1:11" ht="31.2" x14ac:dyDescent="0.3">
      <c r="A37" s="239" t="s">
        <v>75</v>
      </c>
      <c r="B37" s="180" t="s">
        <v>161</v>
      </c>
      <c r="C37" s="4"/>
      <c r="D37" s="32" t="s">
        <v>70</v>
      </c>
      <c r="E37" s="240" t="s">
        <v>113</v>
      </c>
      <c r="F37" s="296">
        <f>IF(C37="Y",1,0)</f>
        <v>0</v>
      </c>
      <c r="G37" s="49"/>
      <c r="H37" s="357"/>
      <c r="I37" s="358"/>
      <c r="J37" s="358"/>
      <c r="K37" s="358"/>
    </row>
    <row r="38" spans="1:11" ht="46.8" x14ac:dyDescent="0.3">
      <c r="A38" s="253" t="s">
        <v>77</v>
      </c>
      <c r="B38" s="45" t="s">
        <v>162</v>
      </c>
      <c r="C38" s="4"/>
      <c r="D38" s="32" t="s">
        <v>70</v>
      </c>
      <c r="E38" s="240" t="s">
        <v>113</v>
      </c>
      <c r="F38" s="296">
        <f>IF(C38="Y",1,0)</f>
        <v>0</v>
      </c>
      <c r="G38" s="198"/>
      <c r="H38" s="357"/>
      <c r="I38" s="358"/>
      <c r="J38" s="358"/>
      <c r="K38" s="358"/>
    </row>
    <row r="39" spans="1:11" x14ac:dyDescent="0.3">
      <c r="A39" s="178"/>
      <c r="B39" s="362" t="s">
        <v>163</v>
      </c>
      <c r="C39" s="363"/>
      <c r="D39" s="363"/>
      <c r="E39" s="363"/>
      <c r="F39" s="297">
        <f>MIN(F37+F38,2)</f>
        <v>0</v>
      </c>
      <c r="G39" s="181"/>
      <c r="H39" s="357"/>
      <c r="I39" s="358"/>
      <c r="J39" s="358"/>
      <c r="K39" s="358"/>
    </row>
    <row r="40" spans="1:11" x14ac:dyDescent="0.3">
      <c r="A40" s="167" t="s">
        <v>164</v>
      </c>
      <c r="B40" s="182" t="s">
        <v>165</v>
      </c>
      <c r="C40" s="183"/>
      <c r="D40" s="168"/>
      <c r="E40" s="169"/>
      <c r="F40" s="308"/>
      <c r="G40" s="127"/>
      <c r="H40" s="357"/>
      <c r="I40" s="358"/>
      <c r="J40" s="358"/>
      <c r="K40" s="358"/>
    </row>
    <row r="41" spans="1:11" ht="31.2" x14ac:dyDescent="0.3">
      <c r="A41" s="170"/>
      <c r="B41" s="171" t="s">
        <v>166</v>
      </c>
      <c r="C41" s="171"/>
      <c r="D41" s="171"/>
      <c r="E41" s="184"/>
      <c r="F41" s="309"/>
      <c r="G41" s="173"/>
      <c r="H41" s="357"/>
      <c r="I41" s="358"/>
      <c r="J41" s="358"/>
      <c r="K41" s="358"/>
    </row>
    <row r="42" spans="1:11" x14ac:dyDescent="0.3">
      <c r="A42" s="364" t="s">
        <v>75</v>
      </c>
      <c r="B42" s="174" t="s">
        <v>167</v>
      </c>
      <c r="C42" s="175"/>
      <c r="D42" s="176"/>
      <c r="E42" s="164"/>
      <c r="F42" s="306"/>
      <c r="G42" s="47"/>
      <c r="H42" s="357"/>
      <c r="I42" s="358"/>
      <c r="J42" s="358"/>
      <c r="K42" s="358"/>
    </row>
    <row r="43" spans="1:11" x14ac:dyDescent="0.3">
      <c r="A43" s="365"/>
      <c r="B43" s="176" t="s">
        <v>168</v>
      </c>
      <c r="C43" s="4"/>
      <c r="D43" s="32" t="s">
        <v>70</v>
      </c>
      <c r="E43" s="240" t="s">
        <v>169</v>
      </c>
      <c r="F43" s="296">
        <f>IF(C43="Y",0.5,0)</f>
        <v>0</v>
      </c>
      <c r="G43" s="198"/>
      <c r="H43" s="357"/>
      <c r="I43" s="358"/>
      <c r="J43" s="358"/>
      <c r="K43" s="358"/>
    </row>
    <row r="44" spans="1:11" x14ac:dyDescent="0.3">
      <c r="A44" s="365"/>
      <c r="B44" s="176" t="s">
        <v>170</v>
      </c>
      <c r="C44" s="4"/>
      <c r="D44" s="32" t="s">
        <v>70</v>
      </c>
      <c r="E44" s="240" t="s">
        <v>169</v>
      </c>
      <c r="F44" s="296">
        <f>IF(C44="Y",0.5,0)</f>
        <v>0</v>
      </c>
      <c r="G44" s="198"/>
      <c r="H44" s="357"/>
      <c r="I44" s="358"/>
      <c r="J44" s="358"/>
      <c r="K44" s="358"/>
    </row>
    <row r="45" spans="1:11" ht="33.75" customHeight="1" x14ac:dyDescent="0.3">
      <c r="A45" s="243" t="s">
        <v>77</v>
      </c>
      <c r="B45" s="185" t="s">
        <v>171</v>
      </c>
      <c r="C45" s="4"/>
      <c r="D45" s="32" t="s">
        <v>70</v>
      </c>
      <c r="E45" s="240" t="s">
        <v>113</v>
      </c>
      <c r="F45" s="296">
        <f>IF(C45="Y",1,0)</f>
        <v>0</v>
      </c>
      <c r="G45" s="200"/>
      <c r="H45" s="357"/>
      <c r="I45" s="358"/>
      <c r="J45" s="358"/>
      <c r="K45" s="358"/>
    </row>
    <row r="46" spans="1:11" ht="62.4" x14ac:dyDescent="0.3">
      <c r="A46" s="243" t="s">
        <v>80</v>
      </c>
      <c r="B46" s="185" t="s">
        <v>172</v>
      </c>
      <c r="C46" s="5"/>
      <c r="D46" s="186" t="s">
        <v>70</v>
      </c>
      <c r="E46" s="241" t="s">
        <v>113</v>
      </c>
      <c r="F46" s="296">
        <f>IF(C46="Y",1,0)</f>
        <v>0</v>
      </c>
      <c r="G46" s="198"/>
      <c r="H46" s="357"/>
      <c r="I46" s="358"/>
      <c r="J46" s="358"/>
      <c r="K46" s="358"/>
    </row>
    <row r="47" spans="1:11" x14ac:dyDescent="0.3">
      <c r="A47" s="178"/>
      <c r="B47" s="392" t="s">
        <v>173</v>
      </c>
      <c r="C47" s="392"/>
      <c r="D47" s="392"/>
      <c r="E47" s="392"/>
      <c r="F47" s="311">
        <f>MIN(F43+F44+F45+F46)</f>
        <v>0</v>
      </c>
      <c r="G47" s="135"/>
      <c r="H47" s="357"/>
      <c r="I47" s="358"/>
      <c r="J47" s="358"/>
      <c r="K47" s="358"/>
    </row>
    <row r="48" spans="1:11" x14ac:dyDescent="0.3">
      <c r="A48" s="167" t="s">
        <v>174</v>
      </c>
      <c r="B48" s="182" t="s">
        <v>175</v>
      </c>
      <c r="C48" s="183"/>
      <c r="D48" s="168"/>
      <c r="E48" s="169"/>
      <c r="F48" s="308"/>
      <c r="G48" s="127"/>
      <c r="H48" s="357"/>
      <c r="I48" s="358"/>
      <c r="J48" s="358"/>
      <c r="K48" s="358"/>
    </row>
    <row r="49" spans="1:11" ht="31.2" x14ac:dyDescent="0.3">
      <c r="A49" s="187"/>
      <c r="B49" s="188" t="s">
        <v>176</v>
      </c>
      <c r="C49" s="172"/>
      <c r="D49" s="172"/>
      <c r="E49" s="189"/>
      <c r="F49" s="309"/>
      <c r="G49" s="173"/>
      <c r="H49" s="357"/>
      <c r="I49" s="358"/>
      <c r="J49" s="358"/>
      <c r="K49" s="358"/>
    </row>
    <row r="50" spans="1:11" ht="31.2" x14ac:dyDescent="0.3">
      <c r="A50" s="253" t="s">
        <v>75</v>
      </c>
      <c r="B50" s="44" t="s">
        <v>177</v>
      </c>
      <c r="C50" s="4"/>
      <c r="D50" s="32" t="s">
        <v>70</v>
      </c>
      <c r="E50" s="240" t="s">
        <v>130</v>
      </c>
      <c r="F50" s="296">
        <f>IF(C50="Y",2,0)</f>
        <v>0</v>
      </c>
      <c r="G50" s="47"/>
      <c r="H50" s="357"/>
      <c r="I50" s="358"/>
      <c r="J50" s="358"/>
      <c r="K50" s="358"/>
    </row>
    <row r="51" spans="1:11" ht="46.8" x14ac:dyDescent="0.3">
      <c r="A51" s="253" t="s">
        <v>77</v>
      </c>
      <c r="B51" s="44" t="s">
        <v>178</v>
      </c>
      <c r="C51" s="163" t="s">
        <v>141</v>
      </c>
      <c r="D51" s="164" t="s">
        <v>141</v>
      </c>
      <c r="E51" s="164" t="s">
        <v>141</v>
      </c>
      <c r="F51" s="306" t="s">
        <v>141</v>
      </c>
      <c r="G51" s="47"/>
      <c r="H51" s="357"/>
      <c r="I51" s="358"/>
      <c r="J51" s="358"/>
      <c r="K51" s="358"/>
    </row>
    <row r="52" spans="1:11" ht="31.2" x14ac:dyDescent="0.3">
      <c r="A52" s="253" t="s">
        <v>80</v>
      </c>
      <c r="B52" s="45" t="s">
        <v>179</v>
      </c>
      <c r="C52" s="4"/>
      <c r="D52" s="32" t="s">
        <v>70</v>
      </c>
      <c r="E52" s="240" t="s">
        <v>113</v>
      </c>
      <c r="F52" s="296">
        <f>IF((C52="Y")*AND(C50="Y"),1,0)</f>
        <v>0</v>
      </c>
      <c r="G52" s="47"/>
      <c r="H52" s="357"/>
      <c r="I52" s="358"/>
      <c r="J52" s="358"/>
      <c r="K52" s="358"/>
    </row>
    <row r="53" spans="1:11" x14ac:dyDescent="0.3">
      <c r="A53" s="178"/>
      <c r="B53" s="362" t="s">
        <v>180</v>
      </c>
      <c r="C53" s="363"/>
      <c r="D53" s="363"/>
      <c r="E53" s="363"/>
      <c r="F53" s="311">
        <f>MIN((F50+F52),3)</f>
        <v>0</v>
      </c>
      <c r="G53" s="135"/>
      <c r="H53" s="357"/>
      <c r="I53" s="358"/>
      <c r="J53" s="358"/>
      <c r="K53" s="358"/>
    </row>
    <row r="54" spans="1:11" x14ac:dyDescent="0.3">
      <c r="A54" s="120" t="s">
        <v>181</v>
      </c>
      <c r="B54" s="387" t="s">
        <v>182</v>
      </c>
      <c r="C54" s="387"/>
      <c r="D54" s="387"/>
      <c r="E54" s="120">
        <v>5</v>
      </c>
      <c r="F54" s="293">
        <f>MIN(SUM(F65,F60),5)</f>
        <v>0</v>
      </c>
      <c r="G54" s="120"/>
      <c r="H54" s="357"/>
      <c r="I54" s="358"/>
      <c r="J54" s="358"/>
      <c r="K54" s="358"/>
    </row>
    <row r="55" spans="1:11" x14ac:dyDescent="0.3">
      <c r="A55" s="167" t="s">
        <v>183</v>
      </c>
      <c r="B55" s="182" t="s">
        <v>184</v>
      </c>
      <c r="C55" s="183"/>
      <c r="D55" s="168"/>
      <c r="E55" s="169"/>
      <c r="F55" s="313"/>
      <c r="G55" s="127"/>
      <c r="H55" s="357"/>
      <c r="I55" s="358"/>
      <c r="J55" s="358"/>
      <c r="K55" s="358"/>
    </row>
    <row r="56" spans="1:11" ht="31.2" x14ac:dyDescent="0.3">
      <c r="A56" s="190"/>
      <c r="B56" s="188" t="s">
        <v>185</v>
      </c>
      <c r="C56" s="191"/>
      <c r="D56" s="191"/>
      <c r="E56" s="189"/>
      <c r="F56" s="314"/>
      <c r="G56" s="133"/>
      <c r="H56" s="357"/>
      <c r="I56" s="358"/>
      <c r="J56" s="358"/>
      <c r="K56" s="358"/>
    </row>
    <row r="57" spans="1:11" x14ac:dyDescent="0.3">
      <c r="A57" s="253" t="s">
        <v>75</v>
      </c>
      <c r="B57" s="45" t="s">
        <v>186</v>
      </c>
      <c r="C57" s="4"/>
      <c r="D57" s="143" t="s">
        <v>73</v>
      </c>
      <c r="E57" s="240" t="s">
        <v>113</v>
      </c>
      <c r="F57" s="296">
        <f>IF(C57&gt;3,1,0)</f>
        <v>0</v>
      </c>
      <c r="G57" s="47"/>
      <c r="H57" s="357"/>
      <c r="I57" s="358"/>
      <c r="J57" s="358"/>
      <c r="K57" s="358"/>
    </row>
    <row r="58" spans="1:11" ht="31.2" x14ac:dyDescent="0.3">
      <c r="A58" s="253" t="s">
        <v>77</v>
      </c>
      <c r="B58" s="45" t="s">
        <v>187</v>
      </c>
      <c r="C58" s="4"/>
      <c r="D58" s="32" t="s">
        <v>70</v>
      </c>
      <c r="E58" s="240" t="s">
        <v>113</v>
      </c>
      <c r="F58" s="296">
        <f>IF(C58="Y",1,0)</f>
        <v>0</v>
      </c>
      <c r="G58" s="47"/>
      <c r="H58" s="357"/>
      <c r="I58" s="358"/>
      <c r="J58" s="358"/>
      <c r="K58" s="358"/>
    </row>
    <row r="59" spans="1:11" ht="46.8" x14ac:dyDescent="0.3">
      <c r="A59" s="253" t="s">
        <v>80</v>
      </c>
      <c r="B59" s="45" t="s">
        <v>188</v>
      </c>
      <c r="C59" s="4"/>
      <c r="D59" s="32" t="s">
        <v>70</v>
      </c>
      <c r="E59" s="240" t="s">
        <v>113</v>
      </c>
      <c r="F59" s="296">
        <f>IF(C59="Y",1,0)</f>
        <v>0</v>
      </c>
      <c r="G59" s="47"/>
      <c r="H59" s="357"/>
      <c r="I59" s="358"/>
      <c r="J59" s="358"/>
      <c r="K59" s="358"/>
    </row>
    <row r="60" spans="1:11" x14ac:dyDescent="0.3">
      <c r="A60" s="178"/>
      <c r="B60" s="362" t="s">
        <v>189</v>
      </c>
      <c r="C60" s="363"/>
      <c r="D60" s="363"/>
      <c r="E60" s="363"/>
      <c r="F60" s="311">
        <f>MIN(F57+F58+F59,3)</f>
        <v>0</v>
      </c>
      <c r="G60" s="155"/>
      <c r="H60" s="357"/>
      <c r="I60" s="358"/>
      <c r="J60" s="358"/>
      <c r="K60" s="358"/>
    </row>
    <row r="61" spans="1:11" x14ac:dyDescent="0.3">
      <c r="A61" s="167" t="s">
        <v>190</v>
      </c>
      <c r="B61" s="366" t="s">
        <v>191</v>
      </c>
      <c r="C61" s="367"/>
      <c r="D61" s="168"/>
      <c r="E61" s="169"/>
      <c r="F61" s="313"/>
      <c r="G61" s="127"/>
      <c r="H61" s="357"/>
      <c r="I61" s="358"/>
      <c r="J61" s="358"/>
      <c r="K61" s="358"/>
    </row>
    <row r="62" spans="1:11" ht="46.8" x14ac:dyDescent="0.3">
      <c r="A62" s="192"/>
      <c r="B62" s="171" t="s">
        <v>192</v>
      </c>
      <c r="C62" s="193"/>
      <c r="D62" s="193"/>
      <c r="E62" s="179"/>
      <c r="F62" s="314"/>
      <c r="G62" s="133"/>
      <c r="H62" s="357"/>
      <c r="I62" s="358"/>
      <c r="J62" s="358"/>
      <c r="K62" s="358"/>
    </row>
    <row r="63" spans="1:11" ht="62.4" x14ac:dyDescent="0.3">
      <c r="A63" s="253" t="s">
        <v>75</v>
      </c>
      <c r="B63" s="176" t="s">
        <v>193</v>
      </c>
      <c r="C63" s="4"/>
      <c r="D63" s="32" t="s">
        <v>70</v>
      </c>
      <c r="E63" s="240" t="s">
        <v>130</v>
      </c>
      <c r="F63" s="296">
        <f>IF(C63="Y",2,0)</f>
        <v>0</v>
      </c>
      <c r="G63" s="47"/>
      <c r="H63" s="357"/>
      <c r="I63" s="358"/>
      <c r="J63" s="358"/>
      <c r="K63" s="358"/>
    </row>
    <row r="64" spans="1:11" ht="62.4" x14ac:dyDescent="0.3">
      <c r="A64" s="253" t="s">
        <v>77</v>
      </c>
      <c r="B64" s="176" t="s">
        <v>194</v>
      </c>
      <c r="C64" s="4"/>
      <c r="D64" s="32" t="s">
        <v>70</v>
      </c>
      <c r="E64" s="240" t="s">
        <v>130</v>
      </c>
      <c r="F64" s="296">
        <f>IF(C64="Y",2,0)</f>
        <v>0</v>
      </c>
      <c r="G64" s="47"/>
      <c r="H64" s="357"/>
      <c r="I64" s="358"/>
      <c r="J64" s="358"/>
      <c r="K64" s="358"/>
    </row>
    <row r="65" spans="1:11" x14ac:dyDescent="0.3">
      <c r="A65" s="178"/>
      <c r="B65" s="362" t="s">
        <v>195</v>
      </c>
      <c r="C65" s="363"/>
      <c r="D65" s="363"/>
      <c r="E65" s="363"/>
      <c r="F65" s="311">
        <f>MIN(F63+F64,4)</f>
        <v>0</v>
      </c>
      <c r="G65" s="135"/>
      <c r="H65" s="357"/>
      <c r="I65" s="358"/>
      <c r="J65" s="358"/>
      <c r="K65" s="358"/>
    </row>
    <row r="66" spans="1:11" x14ac:dyDescent="0.3">
      <c r="A66" s="120"/>
      <c r="B66" s="387" t="s">
        <v>196</v>
      </c>
      <c r="C66" s="387"/>
      <c r="D66" s="387"/>
      <c r="E66" s="121">
        <v>2</v>
      </c>
      <c r="F66" s="293">
        <f>MIN(F68+F69,2)</f>
        <v>0</v>
      </c>
      <c r="G66" s="120"/>
      <c r="H66" s="357"/>
      <c r="I66" s="358"/>
      <c r="J66" s="358"/>
      <c r="K66" s="358"/>
    </row>
    <row r="67" spans="1:11" ht="93.6" x14ac:dyDescent="0.3">
      <c r="A67" s="170"/>
      <c r="B67" s="194" t="s">
        <v>197</v>
      </c>
      <c r="C67" s="179"/>
      <c r="D67" s="179"/>
      <c r="E67" s="179" t="s">
        <v>198</v>
      </c>
      <c r="F67" s="315"/>
      <c r="G67" s="156" t="s">
        <v>199</v>
      </c>
      <c r="H67" s="357"/>
      <c r="I67" s="358"/>
      <c r="J67" s="358"/>
      <c r="K67" s="358"/>
    </row>
    <row r="68" spans="1:11" ht="136.5" customHeight="1" x14ac:dyDescent="0.3">
      <c r="A68" s="380"/>
      <c r="B68" s="382" t="s">
        <v>200</v>
      </c>
      <c r="C68" s="201"/>
      <c r="D68" s="74" t="s">
        <v>73</v>
      </c>
      <c r="E68" s="384" t="s">
        <v>201</v>
      </c>
      <c r="F68" s="296">
        <f>C68</f>
        <v>0</v>
      </c>
      <c r="G68" s="81" t="s">
        <v>202</v>
      </c>
      <c r="H68" s="357"/>
      <c r="I68" s="358"/>
      <c r="J68" s="358"/>
      <c r="K68" s="358"/>
    </row>
    <row r="69" spans="1:11" ht="135.9" customHeight="1" x14ac:dyDescent="0.3">
      <c r="A69" s="381"/>
      <c r="B69" s="383"/>
      <c r="C69" s="201"/>
      <c r="D69" s="74" t="s">
        <v>73</v>
      </c>
      <c r="E69" s="384"/>
      <c r="F69" s="296">
        <f>C69</f>
        <v>0</v>
      </c>
      <c r="G69" s="81" t="s">
        <v>203</v>
      </c>
      <c r="H69" s="357"/>
      <c r="I69" s="358"/>
      <c r="J69" s="358"/>
      <c r="K69" s="358"/>
    </row>
  </sheetData>
  <sheetProtection algorithmName="SHA-512" hashValue="L9DCVhSRkRio1xmXWWhXz/QQwU2+zgzLUWt8EmHBrD40F6kakkILDtbs8nwo5M16uiOV+acNQBEF3MaK2wme/w==" saltValue="8fLhxDTssp4ymNt4ZdlaJg==" spinCount="100000" sheet="1" formatCells="0" selectLockedCells="1"/>
  <mergeCells count="96">
    <mergeCell ref="H68:K68"/>
    <mergeCell ref="H69:K69"/>
    <mergeCell ref="H63:K63"/>
    <mergeCell ref="H64:K64"/>
    <mergeCell ref="H65:K65"/>
    <mergeCell ref="H66:K66"/>
    <mergeCell ref="H67:K67"/>
    <mergeCell ref="H58:K58"/>
    <mergeCell ref="H59:K59"/>
    <mergeCell ref="H60:K60"/>
    <mergeCell ref="H61:K61"/>
    <mergeCell ref="H62:K62"/>
    <mergeCell ref="H53:K53"/>
    <mergeCell ref="H54:K54"/>
    <mergeCell ref="H55:K55"/>
    <mergeCell ref="H56:K56"/>
    <mergeCell ref="H57:K57"/>
    <mergeCell ref="H48:K48"/>
    <mergeCell ref="H49:K49"/>
    <mergeCell ref="H50:K50"/>
    <mergeCell ref="H51:K51"/>
    <mergeCell ref="H52:K52"/>
    <mergeCell ref="H43:K43"/>
    <mergeCell ref="H44:K44"/>
    <mergeCell ref="H45:K45"/>
    <mergeCell ref="H46:K46"/>
    <mergeCell ref="H47:K47"/>
    <mergeCell ref="H38:K38"/>
    <mergeCell ref="H39:K39"/>
    <mergeCell ref="H40:K40"/>
    <mergeCell ref="H41:K41"/>
    <mergeCell ref="H42:K42"/>
    <mergeCell ref="H29:K29"/>
    <mergeCell ref="H30:K30"/>
    <mergeCell ref="H35:K35"/>
    <mergeCell ref="H36:K36"/>
    <mergeCell ref="H37:K37"/>
    <mergeCell ref="J32:J33"/>
    <mergeCell ref="K32:K33"/>
    <mergeCell ref="H24:K24"/>
    <mergeCell ref="H25:K25"/>
    <mergeCell ref="H26:K26"/>
    <mergeCell ref="H27:K27"/>
    <mergeCell ref="H28:K28"/>
    <mergeCell ref="H19:K19"/>
    <mergeCell ref="H20:K20"/>
    <mergeCell ref="H21:K21"/>
    <mergeCell ref="H22:K22"/>
    <mergeCell ref="H23:K23"/>
    <mergeCell ref="H7:K7"/>
    <mergeCell ref="H8:K8"/>
    <mergeCell ref="H9:K9"/>
    <mergeCell ref="H10:K10"/>
    <mergeCell ref="H11:K11"/>
    <mergeCell ref="H2:K2"/>
    <mergeCell ref="H3:K3"/>
    <mergeCell ref="H4:K4"/>
    <mergeCell ref="H5:K5"/>
    <mergeCell ref="H6:K6"/>
    <mergeCell ref="A68:A69"/>
    <mergeCell ref="B68:B69"/>
    <mergeCell ref="E68:E69"/>
    <mergeCell ref="F32:F33"/>
    <mergeCell ref="B3:D3"/>
    <mergeCell ref="B23:E23"/>
    <mergeCell ref="B66:D66"/>
    <mergeCell ref="B65:E65"/>
    <mergeCell ref="B8:E8"/>
    <mergeCell ref="B60:E60"/>
    <mergeCell ref="B61:C61"/>
    <mergeCell ref="E14:E15"/>
    <mergeCell ref="F14:F15"/>
    <mergeCell ref="B54:D54"/>
    <mergeCell ref="B47:E47"/>
    <mergeCell ref="B53:E53"/>
    <mergeCell ref="H12:K12"/>
    <mergeCell ref="H13:K13"/>
    <mergeCell ref="H14:K14"/>
    <mergeCell ref="H15:K15"/>
    <mergeCell ref="H16:K16"/>
    <mergeCell ref="H17:K17"/>
    <mergeCell ref="H18:K18"/>
    <mergeCell ref="A2:D2"/>
    <mergeCell ref="B39:E39"/>
    <mergeCell ref="A42:A44"/>
    <mergeCell ref="B27:E27"/>
    <mergeCell ref="B29:C29"/>
    <mergeCell ref="A31:A33"/>
    <mergeCell ref="E32:E33"/>
    <mergeCell ref="B35:E35"/>
    <mergeCell ref="A10:A13"/>
    <mergeCell ref="A14:A15"/>
    <mergeCell ref="B14:B15"/>
    <mergeCell ref="B28:D28"/>
    <mergeCell ref="B16:E16"/>
    <mergeCell ref="B20:E20"/>
  </mergeCells>
  <dataValidations count="9">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37:C38 C63:C64 C58:C59 C6:C7 C50 C52"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 type="decimal" allowBlank="1" showInputMessage="1" showErrorMessage="1" sqref="C57" xr:uid="{00000000-0002-0000-0300-000008000000}">
      <formula1>0</formula1>
      <formula2>1000</formula2>
    </dataValidation>
  </dataValidations>
  <pageMargins left="0.7" right="0.7" top="0.75" bottom="0.75" header="0.3" footer="0.3"/>
  <pageSetup paperSize="9"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18" sqref="E18"/>
    </sheetView>
  </sheetViews>
  <sheetFormatPr defaultColWidth="8.6640625" defaultRowHeight="14.4" x14ac:dyDescent="0.3"/>
  <cols>
    <col min="1" max="1" width="8.33203125" style="235" customWidth="1"/>
    <col min="2" max="2" width="22.33203125" style="235" customWidth="1"/>
    <col min="3" max="3" width="34" style="235" customWidth="1"/>
    <col min="4" max="4" width="21.109375" style="235" customWidth="1"/>
    <col min="5" max="5" width="10.6640625" style="262" customWidth="1"/>
    <col min="6" max="6" width="16.109375" style="259" customWidth="1"/>
    <col min="7" max="7" width="18.109375" style="235" customWidth="1"/>
    <col min="8" max="8" width="10.6640625" style="235" customWidth="1"/>
    <col min="9" max="9" width="30.6640625" style="235" customWidth="1"/>
    <col min="10" max="11" width="50.6640625" style="235" customWidth="1"/>
    <col min="12" max="12" width="15.5546875" style="235" customWidth="1"/>
    <col min="13" max="13" width="17.33203125" style="235" customWidth="1"/>
    <col min="14" max="16384" width="8.6640625" style="235"/>
  </cols>
  <sheetData>
    <row r="1" spans="1:9" ht="46.8" x14ac:dyDescent="0.3">
      <c r="A1" s="2"/>
      <c r="B1" s="402" t="s">
        <v>204</v>
      </c>
      <c r="C1" s="403"/>
      <c r="D1" s="404"/>
      <c r="E1" s="19" t="s">
        <v>65</v>
      </c>
      <c r="F1" s="19" t="s">
        <v>66</v>
      </c>
      <c r="G1" s="20" t="s">
        <v>103</v>
      </c>
      <c r="H1" s="19" t="s">
        <v>104</v>
      </c>
      <c r="I1" s="3" t="s">
        <v>67</v>
      </c>
    </row>
    <row r="2" spans="1:9" ht="21" x14ac:dyDescent="0.3">
      <c r="A2" s="416" t="s">
        <v>31</v>
      </c>
      <c r="B2" s="417"/>
      <c r="C2" s="417"/>
      <c r="D2" s="417"/>
      <c r="E2" s="417"/>
      <c r="F2" s="418"/>
      <c r="G2" s="82">
        <v>15</v>
      </c>
      <c r="H2" s="316">
        <f>MIN(SUM(H3,H30,H69,H80),15)</f>
        <v>0</v>
      </c>
      <c r="I2" s="83" t="s">
        <v>105</v>
      </c>
    </row>
    <row r="3" spans="1:9" ht="15.6" x14ac:dyDescent="0.3">
      <c r="A3" s="84" t="s">
        <v>205</v>
      </c>
      <c r="B3" s="405" t="s">
        <v>206</v>
      </c>
      <c r="C3" s="406"/>
      <c r="D3" s="406"/>
      <c r="E3" s="406"/>
      <c r="F3" s="406"/>
      <c r="G3" s="85">
        <v>5</v>
      </c>
      <c r="H3" s="317">
        <f>MIN(SUM(H16,H25,H29),5)</f>
        <v>0</v>
      </c>
      <c r="I3" s="86"/>
    </row>
    <row r="4" spans="1:9" ht="15.6" x14ac:dyDescent="0.3">
      <c r="A4" s="87" t="s">
        <v>207</v>
      </c>
      <c r="B4" s="396" t="s">
        <v>208</v>
      </c>
      <c r="C4" s="396"/>
      <c r="D4" s="397"/>
      <c r="E4" s="88"/>
      <c r="F4" s="87"/>
      <c r="G4" s="87"/>
      <c r="H4" s="318"/>
      <c r="I4" s="87"/>
    </row>
    <row r="5" spans="1:9" ht="15.6" x14ac:dyDescent="0.3">
      <c r="A5" s="247"/>
      <c r="B5" s="456" t="s">
        <v>512</v>
      </c>
      <c r="C5" s="456"/>
      <c r="D5" s="456"/>
      <c r="E5" s="251"/>
      <c r="F5" s="245"/>
      <c r="G5" s="247"/>
      <c r="H5" s="319"/>
      <c r="I5" s="80"/>
    </row>
    <row r="6" spans="1:9" ht="16.2" thickBot="1" x14ac:dyDescent="0.35">
      <c r="A6" s="339" t="s">
        <v>523</v>
      </c>
      <c r="B6" s="457" t="s">
        <v>209</v>
      </c>
      <c r="C6" s="458"/>
      <c r="D6" s="459"/>
      <c r="E6" s="90"/>
      <c r="F6" s="89"/>
      <c r="G6" s="89"/>
      <c r="H6" s="320"/>
      <c r="I6" s="89"/>
    </row>
    <row r="7" spans="1:9" ht="15.6" x14ac:dyDescent="0.3">
      <c r="A7" s="420"/>
      <c r="B7" s="462" t="s">
        <v>210</v>
      </c>
      <c r="C7" s="463"/>
      <c r="D7" s="421"/>
      <c r="E7" s="424"/>
      <c r="F7" s="420"/>
      <c r="G7" s="420"/>
      <c r="H7" s="386"/>
      <c r="I7" s="464"/>
    </row>
    <row r="8" spans="1:9" ht="15.6" x14ac:dyDescent="0.3">
      <c r="A8" s="420"/>
      <c r="B8" s="441" t="s">
        <v>211</v>
      </c>
      <c r="C8" s="91" t="s">
        <v>212</v>
      </c>
      <c r="D8" s="422"/>
      <c r="E8" s="424"/>
      <c r="F8" s="420"/>
      <c r="G8" s="420"/>
      <c r="H8" s="386"/>
      <c r="I8" s="464"/>
    </row>
    <row r="9" spans="1:9" ht="15.6" x14ac:dyDescent="0.3">
      <c r="A9" s="420"/>
      <c r="B9" s="441"/>
      <c r="C9" s="91" t="s">
        <v>213</v>
      </c>
      <c r="D9" s="422"/>
      <c r="E9" s="424"/>
      <c r="F9" s="420"/>
      <c r="G9" s="420"/>
      <c r="H9" s="386"/>
      <c r="I9" s="464"/>
    </row>
    <row r="10" spans="1:9" ht="15.6" x14ac:dyDescent="0.3">
      <c r="A10" s="420"/>
      <c r="B10" s="441" t="s">
        <v>214</v>
      </c>
      <c r="C10" s="91" t="s">
        <v>215</v>
      </c>
      <c r="D10" s="422"/>
      <c r="E10" s="424"/>
      <c r="F10" s="420"/>
      <c r="G10" s="420"/>
      <c r="H10" s="386"/>
      <c r="I10" s="464"/>
    </row>
    <row r="11" spans="1:9" ht="15.6" x14ac:dyDescent="0.3">
      <c r="A11" s="420"/>
      <c r="B11" s="441"/>
      <c r="C11" s="91" t="s">
        <v>216</v>
      </c>
      <c r="D11" s="422"/>
      <c r="E11" s="424"/>
      <c r="F11" s="420"/>
      <c r="G11" s="420"/>
      <c r="H11" s="386"/>
      <c r="I11" s="464"/>
    </row>
    <row r="12" spans="1:9" ht="15.6" x14ac:dyDescent="0.3">
      <c r="A12" s="420"/>
      <c r="B12" s="441"/>
      <c r="C12" s="91" t="s">
        <v>217</v>
      </c>
      <c r="D12" s="422"/>
      <c r="E12" s="424"/>
      <c r="F12" s="420"/>
      <c r="G12" s="420"/>
      <c r="H12" s="386"/>
      <c r="I12" s="464"/>
    </row>
    <row r="13" spans="1:9" ht="15.6" x14ac:dyDescent="0.3">
      <c r="A13" s="420"/>
      <c r="B13" s="441"/>
      <c r="C13" s="91" t="s">
        <v>218</v>
      </c>
      <c r="D13" s="422"/>
      <c r="E13" s="424"/>
      <c r="F13" s="420"/>
      <c r="G13" s="420"/>
      <c r="H13" s="386"/>
      <c r="I13" s="464"/>
    </row>
    <row r="14" spans="1:9" ht="16.2" thickBot="1" x14ac:dyDescent="0.35">
      <c r="A14" s="420"/>
      <c r="B14" s="442"/>
      <c r="C14" s="92" t="s">
        <v>219</v>
      </c>
      <c r="D14" s="422"/>
      <c r="E14" s="424"/>
      <c r="F14" s="420"/>
      <c r="G14" s="420"/>
      <c r="H14" s="386"/>
      <c r="I14" s="464"/>
    </row>
    <row r="15" spans="1:9" ht="98.4" customHeight="1" x14ac:dyDescent="0.3">
      <c r="A15" s="247"/>
      <c r="B15" s="399" t="s">
        <v>220</v>
      </c>
      <c r="C15" s="456"/>
      <c r="D15" s="456"/>
      <c r="E15" s="93" t="s">
        <v>141</v>
      </c>
      <c r="F15" s="94" t="s">
        <v>141</v>
      </c>
      <c r="G15" s="238" t="s">
        <v>141</v>
      </c>
      <c r="H15" s="321" t="s">
        <v>141</v>
      </c>
      <c r="I15" s="79"/>
    </row>
    <row r="16" spans="1:9" ht="15.6" x14ac:dyDescent="0.3">
      <c r="A16" s="95"/>
      <c r="B16" s="408" t="s">
        <v>221</v>
      </c>
      <c r="C16" s="409"/>
      <c r="D16" s="409"/>
      <c r="E16" s="409"/>
      <c r="F16" s="409"/>
      <c r="G16" s="410"/>
      <c r="H16" s="322">
        <f>SUM(H15)</f>
        <v>0</v>
      </c>
      <c r="I16" s="96"/>
    </row>
    <row r="17" spans="1:9" ht="15.75" customHeight="1" x14ac:dyDescent="0.3">
      <c r="A17" s="339" t="s">
        <v>522</v>
      </c>
      <c r="B17" s="457" t="s">
        <v>222</v>
      </c>
      <c r="C17" s="458"/>
      <c r="D17" s="459"/>
      <c r="E17" s="90"/>
      <c r="F17" s="89"/>
      <c r="G17" s="89"/>
      <c r="H17" s="320"/>
      <c r="I17" s="89"/>
    </row>
    <row r="18" spans="1:9" ht="84.75" customHeight="1" x14ac:dyDescent="0.3">
      <c r="A18" s="340" t="s">
        <v>524</v>
      </c>
      <c r="B18" s="401" t="s">
        <v>525</v>
      </c>
      <c r="C18" s="401"/>
      <c r="D18" s="401"/>
      <c r="E18" s="77"/>
      <c r="F18" s="68" t="s">
        <v>224</v>
      </c>
      <c r="G18" s="6" t="s">
        <v>113</v>
      </c>
      <c r="H18" s="112">
        <f>IF(ISNUMBER(E18), 1, 0)</f>
        <v>0</v>
      </c>
      <c r="I18" s="80"/>
    </row>
    <row r="19" spans="1:9" ht="64.5" customHeight="1" thickBot="1" x14ac:dyDescent="0.35">
      <c r="A19" s="338"/>
      <c r="B19" s="401" t="s">
        <v>526</v>
      </c>
      <c r="C19" s="401"/>
      <c r="D19" s="401"/>
      <c r="E19" s="93" t="s">
        <v>141</v>
      </c>
      <c r="F19" s="94" t="s">
        <v>141</v>
      </c>
      <c r="G19" s="238" t="s">
        <v>141</v>
      </c>
      <c r="H19" s="321" t="s">
        <v>141</v>
      </c>
      <c r="I19" s="80"/>
    </row>
    <row r="20" spans="1:9" ht="31.2" x14ac:dyDescent="0.3">
      <c r="A20" s="420"/>
      <c r="B20" s="97"/>
      <c r="C20" s="98" t="s">
        <v>226</v>
      </c>
      <c r="D20" s="99"/>
      <c r="E20" s="424"/>
      <c r="F20" s="420"/>
      <c r="G20" s="420"/>
      <c r="H20" s="386"/>
      <c r="I20" s="464"/>
    </row>
    <row r="21" spans="1:9" ht="15.6" x14ac:dyDescent="0.3">
      <c r="A21" s="420"/>
      <c r="B21" s="100" t="s">
        <v>227</v>
      </c>
      <c r="C21" s="101">
        <v>1000</v>
      </c>
      <c r="D21" s="102"/>
      <c r="E21" s="424"/>
      <c r="F21" s="420"/>
      <c r="G21" s="420"/>
      <c r="H21" s="386"/>
      <c r="I21" s="464"/>
    </row>
    <row r="22" spans="1:9" ht="15.6" x14ac:dyDescent="0.3">
      <c r="A22" s="420"/>
      <c r="B22" s="100" t="s">
        <v>228</v>
      </c>
      <c r="C22" s="341">
        <v>1300</v>
      </c>
      <c r="D22" s="102"/>
      <c r="E22" s="424"/>
      <c r="F22" s="420"/>
      <c r="G22" s="420"/>
      <c r="H22" s="386"/>
      <c r="I22" s="464"/>
    </row>
    <row r="23" spans="1:9" ht="16.2" thickBot="1" x14ac:dyDescent="0.35">
      <c r="A23" s="420"/>
      <c r="B23" s="103" t="s">
        <v>229</v>
      </c>
      <c r="C23" s="104">
        <v>2500</v>
      </c>
      <c r="D23" s="102"/>
      <c r="E23" s="424"/>
      <c r="F23" s="420"/>
      <c r="G23" s="420"/>
      <c r="H23" s="386"/>
      <c r="I23" s="464"/>
    </row>
    <row r="24" spans="1:9" ht="15.6" x14ac:dyDescent="0.3">
      <c r="A24" s="426"/>
      <c r="B24" s="419" t="s">
        <v>527</v>
      </c>
      <c r="C24" s="419"/>
      <c r="D24" s="419"/>
      <c r="E24" s="465"/>
      <c r="F24" s="426"/>
      <c r="G24" s="426"/>
      <c r="H24" s="385"/>
      <c r="I24" s="464"/>
    </row>
    <row r="25" spans="1:9" ht="15.6" x14ac:dyDescent="0.3">
      <c r="A25" s="95"/>
      <c r="B25" s="408" t="s">
        <v>230</v>
      </c>
      <c r="C25" s="409"/>
      <c r="D25" s="409"/>
      <c r="E25" s="409"/>
      <c r="F25" s="409"/>
      <c r="G25" s="410"/>
      <c r="H25" s="322">
        <f>SUM(H18:H19)</f>
        <v>0</v>
      </c>
      <c r="I25" s="96"/>
    </row>
    <row r="26" spans="1:9" ht="15.6" x14ac:dyDescent="0.3">
      <c r="A26" s="87" t="s">
        <v>231</v>
      </c>
      <c r="B26" s="396" t="s">
        <v>232</v>
      </c>
      <c r="C26" s="396"/>
      <c r="D26" s="397"/>
      <c r="E26" s="88"/>
      <c r="F26" s="87"/>
      <c r="G26" s="87"/>
      <c r="H26" s="318"/>
      <c r="I26" s="87"/>
    </row>
    <row r="27" spans="1:9" ht="47.25" customHeight="1" x14ac:dyDescent="0.3">
      <c r="A27" s="247" t="s">
        <v>223</v>
      </c>
      <c r="B27" s="399" t="s">
        <v>233</v>
      </c>
      <c r="C27" s="399"/>
      <c r="D27" s="399"/>
      <c r="E27" s="77"/>
      <c r="F27" s="248" t="s">
        <v>70</v>
      </c>
      <c r="G27" s="6" t="s">
        <v>234</v>
      </c>
      <c r="H27" s="112">
        <f>IF(E27="Y",3,0)</f>
        <v>0</v>
      </c>
      <c r="I27" s="117"/>
    </row>
    <row r="28" spans="1:9" ht="17.25" customHeight="1" x14ac:dyDescent="0.3">
      <c r="A28" s="247" t="s">
        <v>77</v>
      </c>
      <c r="B28" s="401" t="s">
        <v>528</v>
      </c>
      <c r="C28" s="401"/>
      <c r="D28" s="401"/>
      <c r="E28" s="77"/>
      <c r="F28" s="248" t="s">
        <v>70</v>
      </c>
      <c r="G28" s="6" t="s">
        <v>130</v>
      </c>
      <c r="H28" s="112">
        <f>IF(E28="Y",2,0)</f>
        <v>0</v>
      </c>
      <c r="I28" s="117"/>
    </row>
    <row r="29" spans="1:9" ht="15.6" x14ac:dyDescent="0.3">
      <c r="A29" s="95"/>
      <c r="B29" s="408" t="s">
        <v>235</v>
      </c>
      <c r="C29" s="409"/>
      <c r="D29" s="409"/>
      <c r="E29" s="409"/>
      <c r="F29" s="409"/>
      <c r="G29" s="410"/>
      <c r="H29" s="322">
        <f>H27+H28</f>
        <v>0</v>
      </c>
      <c r="I29" s="96"/>
    </row>
    <row r="30" spans="1:9" ht="15.6" x14ac:dyDescent="0.3">
      <c r="A30" s="84" t="s">
        <v>236</v>
      </c>
      <c r="B30" s="405" t="s">
        <v>237</v>
      </c>
      <c r="C30" s="406"/>
      <c r="D30" s="406"/>
      <c r="E30" s="406"/>
      <c r="F30" s="406"/>
      <c r="G30" s="85">
        <v>5</v>
      </c>
      <c r="H30" s="323">
        <f>MIN(SUM(H57,H62,H68),5)</f>
        <v>0</v>
      </c>
      <c r="I30" s="86"/>
    </row>
    <row r="31" spans="1:9" ht="15.75" customHeight="1" x14ac:dyDescent="0.3">
      <c r="A31" s="87" t="s">
        <v>238</v>
      </c>
      <c r="B31" s="396" t="s">
        <v>239</v>
      </c>
      <c r="C31" s="396"/>
      <c r="D31" s="397"/>
      <c r="E31" s="88"/>
      <c r="F31" s="87"/>
      <c r="G31" s="87"/>
      <c r="H31" s="318"/>
      <c r="I31" s="87"/>
    </row>
    <row r="32" spans="1:9" ht="31.5" customHeight="1" x14ac:dyDescent="0.3">
      <c r="A32" s="105"/>
      <c r="B32" s="400" t="s">
        <v>240</v>
      </c>
      <c r="C32" s="400"/>
      <c r="D32" s="400"/>
      <c r="E32" s="106"/>
      <c r="F32" s="107"/>
      <c r="G32" s="108"/>
      <c r="H32" s="324"/>
      <c r="I32" s="105"/>
    </row>
    <row r="33" spans="1:13" ht="16.2" thickBot="1" x14ac:dyDescent="0.35">
      <c r="A33" s="429" t="s">
        <v>75</v>
      </c>
      <c r="B33" s="448" t="s">
        <v>241</v>
      </c>
      <c r="C33" s="449"/>
      <c r="D33" s="450"/>
      <c r="E33" s="251"/>
      <c r="F33" s="109"/>
      <c r="G33" s="75"/>
      <c r="H33" s="299"/>
      <c r="I33" s="47"/>
    </row>
    <row r="34" spans="1:13" ht="15.6" x14ac:dyDescent="0.3">
      <c r="A34" s="430"/>
      <c r="B34" s="97"/>
      <c r="C34" s="98" t="s">
        <v>242</v>
      </c>
      <c r="D34" s="425"/>
      <c r="E34" s="444"/>
      <c r="F34" s="446" t="s">
        <v>73</v>
      </c>
      <c r="G34" s="429" t="s">
        <v>113</v>
      </c>
      <c r="H34" s="390">
        <f>IF(ISBLANK(E34),0,IF(E34&lt;=0.35,1,0))</f>
        <v>0</v>
      </c>
      <c r="I34" s="466"/>
    </row>
    <row r="35" spans="1:13" ht="15.6" x14ac:dyDescent="0.3">
      <c r="A35" s="430"/>
      <c r="B35" s="100" t="s">
        <v>227</v>
      </c>
      <c r="C35" s="101" t="s">
        <v>243</v>
      </c>
      <c r="D35" s="425"/>
      <c r="E35" s="445"/>
      <c r="F35" s="446"/>
      <c r="G35" s="429"/>
      <c r="H35" s="447"/>
      <c r="I35" s="467"/>
    </row>
    <row r="36" spans="1:13" ht="15.6" x14ac:dyDescent="0.3">
      <c r="A36" s="430"/>
      <c r="B36" s="100" t="s">
        <v>228</v>
      </c>
      <c r="C36" s="101" t="s">
        <v>244</v>
      </c>
      <c r="D36" s="425"/>
      <c r="E36" s="445"/>
      <c r="F36" s="446"/>
      <c r="G36" s="429"/>
      <c r="H36" s="447"/>
      <c r="I36" s="467"/>
    </row>
    <row r="37" spans="1:13" ht="16.2" thickBot="1" x14ac:dyDescent="0.35">
      <c r="A37" s="430"/>
      <c r="B37" s="103" t="s">
        <v>229</v>
      </c>
      <c r="C37" s="104" t="s">
        <v>244</v>
      </c>
      <c r="D37" s="425"/>
      <c r="E37" s="445"/>
      <c r="F37" s="446"/>
      <c r="G37" s="429"/>
      <c r="H37" s="447"/>
      <c r="I37" s="467"/>
    </row>
    <row r="38" spans="1:13" ht="67.5" customHeight="1" thickBot="1" x14ac:dyDescent="0.35">
      <c r="A38" s="431" t="s">
        <v>225</v>
      </c>
      <c r="B38" s="399" t="s">
        <v>245</v>
      </c>
      <c r="C38" s="399"/>
      <c r="D38" s="450"/>
      <c r="E38" s="435"/>
      <c r="F38" s="438"/>
      <c r="G38" s="438"/>
      <c r="H38" s="390"/>
      <c r="I38" s="469"/>
      <c r="K38" s="264"/>
      <c r="L38" s="257"/>
      <c r="M38" s="257"/>
    </row>
    <row r="39" spans="1:13" ht="31.5" customHeight="1" x14ac:dyDescent="0.3">
      <c r="A39" s="432"/>
      <c r="B39" s="97"/>
      <c r="C39" s="110" t="s">
        <v>246</v>
      </c>
      <c r="D39" s="427"/>
      <c r="E39" s="436"/>
      <c r="F39" s="439"/>
      <c r="G39" s="439"/>
      <c r="H39" s="447"/>
      <c r="I39" s="470"/>
      <c r="K39" s="264"/>
      <c r="L39" s="257"/>
      <c r="M39" s="257"/>
    </row>
    <row r="40" spans="1:13" ht="15.75" customHeight="1" x14ac:dyDescent="0.3">
      <c r="A40" s="432"/>
      <c r="B40" s="100" t="s">
        <v>227</v>
      </c>
      <c r="C40" s="101" t="s">
        <v>247</v>
      </c>
      <c r="D40" s="427"/>
      <c r="E40" s="436"/>
      <c r="F40" s="439"/>
      <c r="G40" s="439"/>
      <c r="H40" s="447"/>
      <c r="I40" s="470"/>
      <c r="K40" s="264"/>
      <c r="L40" s="257"/>
      <c r="M40" s="257"/>
    </row>
    <row r="41" spans="1:13" ht="15.75" customHeight="1" thickBot="1" x14ac:dyDescent="0.35">
      <c r="A41" s="432"/>
      <c r="B41" s="103" t="s">
        <v>228</v>
      </c>
      <c r="C41" s="111" t="s">
        <v>248</v>
      </c>
      <c r="D41" s="428"/>
      <c r="E41" s="437"/>
      <c r="F41" s="440"/>
      <c r="G41" s="440"/>
      <c r="H41" s="391"/>
      <c r="I41" s="471"/>
      <c r="K41" s="264"/>
      <c r="L41" s="257"/>
      <c r="M41" s="257"/>
    </row>
    <row r="42" spans="1:13" ht="15.75" customHeight="1" x14ac:dyDescent="0.3">
      <c r="A42" s="433"/>
      <c r="B42" s="452" t="s">
        <v>249</v>
      </c>
      <c r="C42" s="452"/>
      <c r="D42" s="399"/>
      <c r="E42" s="77"/>
      <c r="F42" s="248" t="s">
        <v>79</v>
      </c>
      <c r="G42" s="431" t="s">
        <v>113</v>
      </c>
      <c r="H42" s="390">
        <f>IF(SUM(E42:E46)&gt;=50, 1, 0)</f>
        <v>0</v>
      </c>
      <c r="I42" s="466"/>
      <c r="K42" s="264"/>
      <c r="L42" s="257"/>
      <c r="M42" s="257"/>
    </row>
    <row r="43" spans="1:13" ht="15.6" x14ac:dyDescent="0.3">
      <c r="A43" s="433"/>
      <c r="B43" s="399" t="s">
        <v>250</v>
      </c>
      <c r="C43" s="399"/>
      <c r="D43" s="399"/>
      <c r="E43" s="77"/>
      <c r="F43" s="248" t="s">
        <v>79</v>
      </c>
      <c r="G43" s="433"/>
      <c r="H43" s="447"/>
      <c r="I43" s="467"/>
      <c r="K43" s="264"/>
      <c r="L43" s="265"/>
      <c r="M43" s="262"/>
    </row>
    <row r="44" spans="1:13" ht="15.75" customHeight="1" x14ac:dyDescent="0.3">
      <c r="A44" s="433"/>
      <c r="B44" s="399" t="s">
        <v>251</v>
      </c>
      <c r="C44" s="399"/>
      <c r="D44" s="399"/>
      <c r="E44" s="77"/>
      <c r="F44" s="248" t="s">
        <v>79</v>
      </c>
      <c r="G44" s="433"/>
      <c r="H44" s="447"/>
      <c r="I44" s="467"/>
    </row>
    <row r="45" spans="1:13" ht="15.75" customHeight="1" x14ac:dyDescent="0.3">
      <c r="A45" s="433"/>
      <c r="B45" s="399" t="s">
        <v>252</v>
      </c>
      <c r="C45" s="399"/>
      <c r="D45" s="399"/>
      <c r="E45" s="77"/>
      <c r="F45" s="248" t="s">
        <v>79</v>
      </c>
      <c r="G45" s="433"/>
      <c r="H45" s="447"/>
      <c r="I45" s="467"/>
    </row>
    <row r="46" spans="1:13" ht="47.25" customHeight="1" x14ac:dyDescent="0.3">
      <c r="A46" s="434"/>
      <c r="B46" s="399" t="s">
        <v>253</v>
      </c>
      <c r="C46" s="399"/>
      <c r="D46" s="399"/>
      <c r="E46" s="77"/>
      <c r="F46" s="248" t="s">
        <v>79</v>
      </c>
      <c r="G46" s="434"/>
      <c r="H46" s="391"/>
      <c r="I46" s="468"/>
    </row>
    <row r="47" spans="1:13" ht="47.25" customHeight="1" x14ac:dyDescent="0.3">
      <c r="A47" s="431" t="s">
        <v>80</v>
      </c>
      <c r="B47" s="399" t="s">
        <v>254</v>
      </c>
      <c r="C47" s="399"/>
      <c r="D47" s="399"/>
      <c r="E47" s="251"/>
      <c r="F47" s="248"/>
      <c r="G47"/>
      <c r="H47" s="112"/>
      <c r="I47" s="47"/>
    </row>
    <row r="48" spans="1:13" ht="33" customHeight="1" x14ac:dyDescent="0.3">
      <c r="A48" s="434"/>
      <c r="B48" s="414" t="s">
        <v>255</v>
      </c>
      <c r="C48" s="414"/>
      <c r="D48" s="414"/>
      <c r="E48" s="77"/>
      <c r="F48" s="248" t="s">
        <v>73</v>
      </c>
      <c r="G48" s="240" t="s">
        <v>256</v>
      </c>
      <c r="H48" s="112">
        <f>IF(ISBLANK(E48), ,LEFT(E48,1)*0.25)</f>
        <v>0</v>
      </c>
      <c r="I48" s="47"/>
    </row>
    <row r="49" spans="1:9" ht="83.4" customHeight="1" x14ac:dyDescent="0.3">
      <c r="A49" s="431" t="s">
        <v>85</v>
      </c>
      <c r="B49" s="412" t="s">
        <v>529</v>
      </c>
      <c r="C49" s="401"/>
      <c r="D49" s="413"/>
      <c r="E49" s="251"/>
      <c r="F49" s="248"/>
      <c r="G49" s="72" t="s">
        <v>257</v>
      </c>
      <c r="H49" s="325"/>
      <c r="I49" s="50"/>
    </row>
    <row r="50" spans="1:9" ht="15.6" x14ac:dyDescent="0.3">
      <c r="A50" s="433"/>
      <c r="B50" s="414" t="s">
        <v>258</v>
      </c>
      <c r="C50" s="414"/>
      <c r="D50" s="414"/>
      <c r="E50" s="77"/>
      <c r="F50" s="248" t="s">
        <v>73</v>
      </c>
      <c r="G50" s="6" t="s">
        <v>141</v>
      </c>
      <c r="H50" s="299"/>
      <c r="I50" s="47"/>
    </row>
    <row r="51" spans="1:9" ht="15.6" x14ac:dyDescent="0.3">
      <c r="A51" s="433"/>
      <c r="B51" s="401" t="s">
        <v>530</v>
      </c>
      <c r="C51" s="401"/>
      <c r="D51" s="401"/>
      <c r="E51" s="77"/>
      <c r="F51" s="248" t="s">
        <v>79</v>
      </c>
      <c r="G51" s="388" t="s">
        <v>259</v>
      </c>
      <c r="H51" s="390">
        <f>IF(AND(E51&gt;=20,E52="Y"),0.5,0)</f>
        <v>0</v>
      </c>
      <c r="I51" s="47"/>
    </row>
    <row r="52" spans="1:9" ht="18" customHeight="1" x14ac:dyDescent="0.3">
      <c r="A52" s="433"/>
      <c r="B52" s="401" t="s">
        <v>531</v>
      </c>
      <c r="C52" s="401"/>
      <c r="D52" s="401"/>
      <c r="E52" s="77"/>
      <c r="F52" s="248" t="s">
        <v>70</v>
      </c>
      <c r="G52" s="389"/>
      <c r="H52" s="391"/>
      <c r="I52" s="47"/>
    </row>
    <row r="53" spans="1:9" ht="15.6" x14ac:dyDescent="0.3">
      <c r="A53" s="433"/>
      <c r="B53" s="399" t="s">
        <v>260</v>
      </c>
      <c r="C53" s="399"/>
      <c r="D53" s="399"/>
      <c r="E53" s="77"/>
      <c r="F53" s="68" t="s">
        <v>79</v>
      </c>
      <c r="G53" s="388" t="s">
        <v>259</v>
      </c>
      <c r="H53" s="390">
        <f>IF(OR(AND(E53&lt;=10,E54="Y"),AND(E55&gt;=50,E56="Y")),0.5,0)</f>
        <v>0</v>
      </c>
      <c r="I53" s="47"/>
    </row>
    <row r="54" spans="1:9" ht="15.75" customHeight="1" x14ac:dyDescent="0.3">
      <c r="A54" s="433"/>
      <c r="B54" s="399" t="s">
        <v>261</v>
      </c>
      <c r="C54" s="399"/>
      <c r="D54" s="399"/>
      <c r="E54" s="77"/>
      <c r="F54" s="248" t="s">
        <v>70</v>
      </c>
      <c r="G54" s="461"/>
      <c r="H54" s="447"/>
      <c r="I54" s="47"/>
    </row>
    <row r="55" spans="1:9" ht="15.75" customHeight="1" x14ac:dyDescent="0.3">
      <c r="A55" s="433"/>
      <c r="B55" s="399" t="s">
        <v>262</v>
      </c>
      <c r="C55" s="399"/>
      <c r="D55" s="399"/>
      <c r="E55" s="77"/>
      <c r="F55" s="68" t="s">
        <v>79</v>
      </c>
      <c r="G55" s="461"/>
      <c r="H55" s="447"/>
      <c r="I55" s="47"/>
    </row>
    <row r="56" spans="1:9" ht="15.75" customHeight="1" x14ac:dyDescent="0.3">
      <c r="A56" s="434"/>
      <c r="B56" s="399" t="s">
        <v>263</v>
      </c>
      <c r="C56" s="399"/>
      <c r="D56" s="399"/>
      <c r="E56" s="77"/>
      <c r="F56" s="248" t="s">
        <v>70</v>
      </c>
      <c r="G56" s="389"/>
      <c r="H56" s="391"/>
      <c r="I56" s="47"/>
    </row>
    <row r="57" spans="1:9" ht="15.6" x14ac:dyDescent="0.3">
      <c r="A57" s="95"/>
      <c r="B57" s="408" t="s">
        <v>264</v>
      </c>
      <c r="C57" s="409"/>
      <c r="D57" s="409"/>
      <c r="E57" s="409"/>
      <c r="F57" s="409"/>
      <c r="G57" s="410"/>
      <c r="H57" s="322">
        <f>SUM(H51:H56,H48,H42,H34)</f>
        <v>0</v>
      </c>
      <c r="I57" s="96"/>
    </row>
    <row r="58" spans="1:9" ht="15.75" customHeight="1" x14ac:dyDescent="0.3">
      <c r="A58" s="113" t="s">
        <v>265</v>
      </c>
      <c r="B58" s="423" t="s">
        <v>266</v>
      </c>
      <c r="C58" s="396"/>
      <c r="D58" s="397"/>
      <c r="E58" s="88"/>
      <c r="F58" s="87"/>
      <c r="G58" s="87"/>
      <c r="H58" s="318"/>
      <c r="I58" s="87"/>
    </row>
    <row r="59" spans="1:9" ht="33.9" customHeight="1" x14ac:dyDescent="0.3">
      <c r="A59" s="443" t="s">
        <v>75</v>
      </c>
      <c r="B59" s="448" t="s">
        <v>267</v>
      </c>
      <c r="C59" s="449"/>
      <c r="D59" s="450"/>
      <c r="E59" s="77"/>
      <c r="F59" s="68" t="s">
        <v>268</v>
      </c>
      <c r="G59" s="388" t="s">
        <v>130</v>
      </c>
      <c r="H59" s="454">
        <f>IF(AND(E59="Cost",E60&gt;=60),2,0) + IF(AND(E59="Area",E60&gt;=80),2,0)</f>
        <v>0</v>
      </c>
      <c r="I59" s="47"/>
    </row>
    <row r="60" spans="1:9" ht="30.9" customHeight="1" x14ac:dyDescent="0.3">
      <c r="A60" s="443"/>
      <c r="B60" s="451"/>
      <c r="C60" s="452"/>
      <c r="D60" s="453"/>
      <c r="E60" s="77"/>
      <c r="F60" s="68" t="s">
        <v>79</v>
      </c>
      <c r="G60" s="389"/>
      <c r="H60" s="455"/>
      <c r="I60" s="47"/>
    </row>
    <row r="61" spans="1:9" ht="48" customHeight="1" x14ac:dyDescent="0.3">
      <c r="A61" s="247" t="s">
        <v>77</v>
      </c>
      <c r="B61" s="398" t="s">
        <v>269</v>
      </c>
      <c r="C61" s="399"/>
      <c r="D61" s="399"/>
      <c r="E61" s="77"/>
      <c r="F61" s="68" t="s">
        <v>79</v>
      </c>
      <c r="G61" s="240" t="s">
        <v>234</v>
      </c>
      <c r="H61" s="326">
        <f>IF(E61&gt;=60,3,0)</f>
        <v>0</v>
      </c>
      <c r="I61" s="47"/>
    </row>
    <row r="62" spans="1:9" ht="15.75" customHeight="1" x14ac:dyDescent="0.3">
      <c r="A62" s="114"/>
      <c r="B62" s="408" t="s">
        <v>270</v>
      </c>
      <c r="C62" s="409"/>
      <c r="D62" s="409"/>
      <c r="E62" s="409"/>
      <c r="F62" s="409"/>
      <c r="G62" s="410"/>
      <c r="H62" s="322">
        <f>SUM(H59:H61)</f>
        <v>0</v>
      </c>
      <c r="I62" s="96"/>
    </row>
    <row r="63" spans="1:9" ht="15.6" x14ac:dyDescent="0.3">
      <c r="A63" s="87" t="s">
        <v>271</v>
      </c>
      <c r="B63" s="396" t="s">
        <v>272</v>
      </c>
      <c r="C63" s="396"/>
      <c r="D63" s="397"/>
      <c r="E63" s="88"/>
      <c r="F63" s="87"/>
      <c r="G63" s="87"/>
      <c r="H63" s="318"/>
      <c r="I63" s="87"/>
    </row>
    <row r="64" spans="1:9" ht="65.25" customHeight="1" x14ac:dyDescent="0.3">
      <c r="A64" s="247"/>
      <c r="B64" s="398" t="s">
        <v>273</v>
      </c>
      <c r="C64" s="399"/>
      <c r="D64" s="399"/>
      <c r="E64" s="251"/>
      <c r="F64" s="68"/>
      <c r="G64" s="288"/>
      <c r="H64" s="112"/>
      <c r="I64" s="289"/>
    </row>
    <row r="65" spans="1:9" ht="15.6" x14ac:dyDescent="0.3">
      <c r="A65" s="247" t="s">
        <v>75</v>
      </c>
      <c r="B65" s="398" t="s">
        <v>274</v>
      </c>
      <c r="C65" s="399"/>
      <c r="D65" s="399"/>
      <c r="E65" s="77"/>
      <c r="F65" s="248" t="s">
        <v>70</v>
      </c>
      <c r="G65" s="238" t="s">
        <v>113</v>
      </c>
      <c r="H65" s="326">
        <f>IF(E65="Y",1,0)</f>
        <v>0</v>
      </c>
      <c r="I65" s="47"/>
    </row>
    <row r="66" spans="1:9" ht="47.25" customHeight="1" x14ac:dyDescent="0.3">
      <c r="A66" s="247" t="s">
        <v>225</v>
      </c>
      <c r="B66" s="398" t="s">
        <v>275</v>
      </c>
      <c r="C66" s="399"/>
      <c r="D66" s="399"/>
      <c r="E66" s="77"/>
      <c r="F66" s="248" t="s">
        <v>70</v>
      </c>
      <c r="G66" s="238" t="s">
        <v>113</v>
      </c>
      <c r="H66" s="326">
        <f>IF(E66="Y",1,0)</f>
        <v>0</v>
      </c>
      <c r="I66" s="47"/>
    </row>
    <row r="67" spans="1:9" ht="51.6" customHeight="1" x14ac:dyDescent="0.3">
      <c r="A67" s="247" t="s">
        <v>276</v>
      </c>
      <c r="B67" s="398" t="s">
        <v>277</v>
      </c>
      <c r="C67" s="399"/>
      <c r="D67" s="399"/>
      <c r="E67" s="77"/>
      <c r="F67" s="248" t="s">
        <v>70</v>
      </c>
      <c r="G67" s="238" t="s">
        <v>113</v>
      </c>
      <c r="H67" s="326">
        <f>IF(E67="Y",1,0)</f>
        <v>0</v>
      </c>
      <c r="I67" s="47"/>
    </row>
    <row r="68" spans="1:9" ht="15.6" x14ac:dyDescent="0.3">
      <c r="A68" s="114"/>
      <c r="B68" s="408" t="s">
        <v>278</v>
      </c>
      <c r="C68" s="409"/>
      <c r="D68" s="409"/>
      <c r="E68" s="409"/>
      <c r="F68" s="409"/>
      <c r="G68" s="410"/>
      <c r="H68" s="322">
        <f>SUM(H65:H67)</f>
        <v>0</v>
      </c>
      <c r="I68" s="96"/>
    </row>
    <row r="69" spans="1:9" ht="15.6" customHeight="1" x14ac:dyDescent="0.3">
      <c r="A69" s="84" t="s">
        <v>279</v>
      </c>
      <c r="B69" s="405" t="s">
        <v>280</v>
      </c>
      <c r="C69" s="406"/>
      <c r="D69" s="406"/>
      <c r="E69" s="406"/>
      <c r="F69" s="406"/>
      <c r="G69" s="115">
        <v>5</v>
      </c>
      <c r="H69" s="323">
        <f>MIN(SUM(H72,H76,H79),5)</f>
        <v>0</v>
      </c>
      <c r="I69" s="86"/>
    </row>
    <row r="70" spans="1:9" ht="18.899999999999999" customHeight="1" x14ac:dyDescent="0.3">
      <c r="A70" s="87" t="s">
        <v>281</v>
      </c>
      <c r="B70" s="396" t="s">
        <v>282</v>
      </c>
      <c r="C70" s="396"/>
      <c r="D70" s="397"/>
      <c r="E70" s="88"/>
      <c r="F70" s="87"/>
      <c r="G70" s="87"/>
      <c r="H70" s="318"/>
      <c r="I70" s="87"/>
    </row>
    <row r="71" spans="1:9" ht="98.4" customHeight="1" x14ac:dyDescent="0.3">
      <c r="A71" s="116"/>
      <c r="B71" s="398" t="s">
        <v>283</v>
      </c>
      <c r="C71" s="399"/>
      <c r="D71" s="399"/>
      <c r="E71" s="77"/>
      <c r="F71" s="68" t="s">
        <v>79</v>
      </c>
      <c r="G71" s="240" t="s">
        <v>284</v>
      </c>
      <c r="H71" s="296">
        <f>IF(E71=100,3,IF(E71&gt;=70,2,IF(E71&gt;=50,1,0)))</f>
        <v>0</v>
      </c>
      <c r="I71" s="47"/>
    </row>
    <row r="72" spans="1:9" ht="15.6" x14ac:dyDescent="0.3">
      <c r="A72" s="95"/>
      <c r="B72" s="408" t="s">
        <v>285</v>
      </c>
      <c r="C72" s="409"/>
      <c r="D72" s="409"/>
      <c r="E72" s="409"/>
      <c r="F72" s="409"/>
      <c r="G72" s="410"/>
      <c r="H72" s="322">
        <f>H71</f>
        <v>0</v>
      </c>
      <c r="I72" s="96"/>
    </row>
    <row r="73" spans="1:9" ht="16.5" customHeight="1" x14ac:dyDescent="0.3">
      <c r="A73" s="87" t="s">
        <v>286</v>
      </c>
      <c r="B73" s="396" t="s">
        <v>287</v>
      </c>
      <c r="C73" s="396"/>
      <c r="D73" s="397"/>
      <c r="E73" s="88"/>
      <c r="F73" s="87"/>
      <c r="G73" s="87"/>
      <c r="H73" s="318"/>
      <c r="I73" s="87"/>
    </row>
    <row r="74" spans="1:9" ht="48.75" customHeight="1" x14ac:dyDescent="0.3">
      <c r="A74" s="247" t="s">
        <v>75</v>
      </c>
      <c r="B74" s="460" t="s">
        <v>532</v>
      </c>
      <c r="C74" s="401"/>
      <c r="D74" s="401"/>
      <c r="E74" s="77"/>
      <c r="F74" s="68" t="s">
        <v>79</v>
      </c>
      <c r="G74" s="240" t="s">
        <v>113</v>
      </c>
      <c r="H74" s="296">
        <f>IF(E74&gt;=80,1,0)</f>
        <v>0</v>
      </c>
      <c r="I74" s="81"/>
    </row>
    <row r="75" spans="1:9" ht="50.4" customHeight="1" x14ac:dyDescent="0.3">
      <c r="A75" s="247" t="s">
        <v>225</v>
      </c>
      <c r="B75" s="398" t="s">
        <v>288</v>
      </c>
      <c r="C75" s="399"/>
      <c r="D75" s="399"/>
      <c r="E75" s="77"/>
      <c r="F75" s="68" t="s">
        <v>79</v>
      </c>
      <c r="G75" s="240" t="s">
        <v>113</v>
      </c>
      <c r="H75" s="296">
        <f>IF(E75&gt;=80,1,0)</f>
        <v>0</v>
      </c>
      <c r="I75" s="81"/>
    </row>
    <row r="76" spans="1:9" ht="15.6" x14ac:dyDescent="0.3">
      <c r="A76" s="95"/>
      <c r="B76" s="408" t="s">
        <v>289</v>
      </c>
      <c r="C76" s="409"/>
      <c r="D76" s="409"/>
      <c r="E76" s="409"/>
      <c r="F76" s="409"/>
      <c r="G76" s="410"/>
      <c r="H76" s="322">
        <f>SUM(H74:H75)</f>
        <v>0</v>
      </c>
      <c r="I76" s="96"/>
    </row>
    <row r="77" spans="1:9" ht="15.6" x14ac:dyDescent="0.3">
      <c r="A77" s="87" t="s">
        <v>290</v>
      </c>
      <c r="B77" s="396" t="s">
        <v>291</v>
      </c>
      <c r="C77" s="396"/>
      <c r="D77" s="397"/>
      <c r="E77" s="88"/>
      <c r="F77" s="87"/>
      <c r="G77" s="87"/>
      <c r="H77" s="318"/>
      <c r="I77" s="87"/>
    </row>
    <row r="78" spans="1:9" ht="99.9" customHeight="1" x14ac:dyDescent="0.3">
      <c r="A78" s="247"/>
      <c r="B78" s="415" t="s">
        <v>292</v>
      </c>
      <c r="C78" s="415"/>
      <c r="D78" s="415"/>
      <c r="E78" s="77"/>
      <c r="F78" s="68" t="s">
        <v>79</v>
      </c>
      <c r="G78" s="240" t="s">
        <v>284</v>
      </c>
      <c r="H78" s="296">
        <f>IF(E78&gt;=90,3,IF(E78&gt;=60,2,IF(E78&gt;=30,1,0)))</f>
        <v>0</v>
      </c>
      <c r="I78" s="18"/>
    </row>
    <row r="79" spans="1:9" ht="15.6" x14ac:dyDescent="0.3">
      <c r="A79" s="95"/>
      <c r="B79" s="408" t="s">
        <v>293</v>
      </c>
      <c r="C79" s="409"/>
      <c r="D79" s="409"/>
      <c r="E79" s="409"/>
      <c r="F79" s="409"/>
      <c r="G79" s="410"/>
      <c r="H79" s="322">
        <f>H78</f>
        <v>0</v>
      </c>
      <c r="I79" s="96"/>
    </row>
    <row r="80" spans="1:9" s="266" customFormat="1" ht="18.600000000000001" customHeight="1" x14ac:dyDescent="0.3">
      <c r="A80" s="84"/>
      <c r="B80" s="405" t="s">
        <v>294</v>
      </c>
      <c r="C80" s="406"/>
      <c r="D80" s="406"/>
      <c r="E80" s="406"/>
      <c r="F80" s="406"/>
      <c r="G80" s="115">
        <v>2</v>
      </c>
      <c r="H80" s="323">
        <f>SUM(H82:H83)</f>
        <v>0</v>
      </c>
      <c r="I80" s="86"/>
    </row>
    <row r="81" spans="1:9" ht="65.099999999999994" customHeight="1" x14ac:dyDescent="0.3">
      <c r="A81" s="87"/>
      <c r="B81" s="411" t="s">
        <v>295</v>
      </c>
      <c r="C81" s="411"/>
      <c r="D81" s="411"/>
      <c r="E81" s="88"/>
      <c r="F81" s="87"/>
      <c r="G81" s="88" t="s">
        <v>198</v>
      </c>
      <c r="H81" s="318"/>
      <c r="I81" s="249" t="s">
        <v>199</v>
      </c>
    </row>
    <row r="82" spans="1:9" ht="183" customHeight="1" x14ac:dyDescent="0.3">
      <c r="A82" s="247"/>
      <c r="B82" s="407" t="s">
        <v>533</v>
      </c>
      <c r="C82" s="407"/>
      <c r="D82" s="407"/>
      <c r="E82" s="77"/>
      <c r="F82" s="74" t="s">
        <v>73</v>
      </c>
      <c r="G82" s="384" t="s">
        <v>201</v>
      </c>
      <c r="H82" s="296">
        <f>E82</f>
        <v>0</v>
      </c>
      <c r="I82" s="81" t="s">
        <v>202</v>
      </c>
    </row>
    <row r="83" spans="1:9" ht="183" customHeight="1" x14ac:dyDescent="0.3">
      <c r="A83" s="75"/>
      <c r="B83" s="407"/>
      <c r="C83" s="407"/>
      <c r="D83" s="407"/>
      <c r="E83" s="77"/>
      <c r="F83" s="74" t="s">
        <v>73</v>
      </c>
      <c r="G83" s="384"/>
      <c r="H83" s="296">
        <f>E83</f>
        <v>0</v>
      </c>
      <c r="I83" s="81" t="s">
        <v>203</v>
      </c>
    </row>
  </sheetData>
  <sheetProtection algorithmName="SHA-512" hashValue="Xj3k9/XMcLimeURYGOsBdreifLGhyCBJdD2r3QP/MZtuedeFihexh1eE4STWALiIDBTIeBNIvyKIDoKcDyh73w==" saltValue="DBiOfoYHiQjtYynor90Fmw==" spinCount="100000" sheet="1" formatCells="0" selectLockedCells="1"/>
  <mergeCells count="105">
    <mergeCell ref="I7:I14"/>
    <mergeCell ref="E20:E24"/>
    <mergeCell ref="F20:F24"/>
    <mergeCell ref="G20:G24"/>
    <mergeCell ref="I42:I46"/>
    <mergeCell ref="H38:H41"/>
    <mergeCell ref="I38:I41"/>
    <mergeCell ref="I34:I37"/>
    <mergeCell ref="H20:H24"/>
    <mergeCell ref="I20:I24"/>
    <mergeCell ref="H7:H14"/>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A59:A60"/>
    <mergeCell ref="E34:E37"/>
    <mergeCell ref="F34:F37"/>
    <mergeCell ref="G34:G37"/>
    <mergeCell ref="H34:H37"/>
    <mergeCell ref="G59:G60"/>
    <mergeCell ref="B59:D60"/>
    <mergeCell ref="B48:D48"/>
    <mergeCell ref="B33:D33"/>
    <mergeCell ref="H42:H46"/>
    <mergeCell ref="H59:H60"/>
    <mergeCell ref="H51:H52"/>
    <mergeCell ref="H53:H56"/>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 ref="B28:D28"/>
  </mergeCells>
  <dataValidations count="9">
    <dataValidation type="decimal" allowBlank="1" showErrorMessage="1" error="Please enter 0.5 or 1 or 1.5 or 2." prompt="Please Enter 0 or 1 or 1.5 or 2." sqref="H82 H74:H75"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27:E28 E65:E67" xr:uid="{00000000-0002-0000-0400-000003000000}">
      <formula1>"Y,N"</formula1>
    </dataValidation>
    <dataValidation type="decimal" allowBlank="1" showInputMessage="1" showErrorMessage="1" sqref="E53 E34:E37 E42:E46 E60:E61 E51 E71 E74:E75 E55 E78" xr:uid="{00000000-0002-0000-0400-000004000000}">
      <formula1>0</formula1>
      <formula2>100</formula2>
    </dataValidation>
    <dataValidation type="list" allowBlank="1" showInputMessage="1" showErrorMessage="1" sqref="E48" xr:uid="{00000000-0002-0000-0400-000005000000}">
      <formula1>"2 ticks, 3 ticks, 4 ticks"</formula1>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71FEE-F68D-4FA8-B66A-B295AB46A63F}">
  <dimension ref="A1:I95"/>
  <sheetViews>
    <sheetView workbookViewId="0">
      <selection activeCell="E60" sqref="E60"/>
    </sheetView>
  </sheetViews>
  <sheetFormatPr defaultColWidth="8.6640625" defaultRowHeight="14.4" x14ac:dyDescent="0.3"/>
  <cols>
    <col min="1" max="1" width="8.33203125" style="235" customWidth="1"/>
    <col min="2" max="2" width="22.33203125" style="235" customWidth="1"/>
    <col min="3" max="3" width="46.44140625" style="235" customWidth="1"/>
    <col min="4" max="4" width="10.5546875" style="235" customWidth="1"/>
    <col min="5" max="5" width="10.6640625" style="262" customWidth="1"/>
    <col min="6" max="6" width="16.109375" style="259" customWidth="1"/>
    <col min="7" max="7" width="18.109375" style="235" customWidth="1"/>
    <col min="8" max="8" width="10.6640625" style="268" customWidth="1"/>
    <col min="9" max="9" width="30.6640625" style="235" customWidth="1"/>
    <col min="10" max="11" width="50.6640625" style="235" customWidth="1"/>
    <col min="12" max="12" width="15.5546875" style="235" customWidth="1"/>
    <col min="13" max="13" width="17.33203125" style="235" customWidth="1"/>
    <col min="14" max="16384" width="8.6640625" style="235"/>
  </cols>
  <sheetData>
    <row r="1" spans="1:9" ht="46.8" x14ac:dyDescent="0.3">
      <c r="A1" s="2"/>
      <c r="B1" s="402" t="s">
        <v>296</v>
      </c>
      <c r="C1" s="403"/>
      <c r="D1" s="404"/>
      <c r="E1" s="19" t="s">
        <v>65</v>
      </c>
      <c r="F1" s="19" t="s">
        <v>66</v>
      </c>
      <c r="G1" s="20" t="s">
        <v>103</v>
      </c>
      <c r="H1" s="19" t="s">
        <v>104</v>
      </c>
      <c r="I1" s="3" t="s">
        <v>67</v>
      </c>
    </row>
    <row r="2" spans="1:9" ht="21" x14ac:dyDescent="0.3">
      <c r="A2" s="509" t="s">
        <v>297</v>
      </c>
      <c r="B2" s="510"/>
      <c r="C2" s="510"/>
      <c r="D2" s="510"/>
      <c r="E2" s="510"/>
      <c r="F2" s="511"/>
      <c r="G2" s="51">
        <v>15</v>
      </c>
      <c r="H2" s="327">
        <f>MIN(SUM(H3,H44,H69,H92),15)</f>
        <v>0</v>
      </c>
      <c r="I2" s="52" t="s">
        <v>105</v>
      </c>
    </row>
    <row r="3" spans="1:9" ht="15.6" x14ac:dyDescent="0.3">
      <c r="A3" s="53" t="s">
        <v>298</v>
      </c>
      <c r="B3" s="512" t="s">
        <v>299</v>
      </c>
      <c r="C3" s="513"/>
      <c r="D3" s="513"/>
      <c r="E3" s="513"/>
      <c r="F3" s="513"/>
      <c r="G3" s="54">
        <v>5</v>
      </c>
      <c r="H3" s="328">
        <f>MIN(SUM(H8,H12,H21,H34,H39,H43), 5)</f>
        <v>0</v>
      </c>
      <c r="I3" s="55"/>
    </row>
    <row r="4" spans="1:9" ht="15.6" x14ac:dyDescent="0.3">
      <c r="A4" s="56" t="s">
        <v>300</v>
      </c>
      <c r="B4" s="514" t="s">
        <v>301</v>
      </c>
      <c r="C4" s="514"/>
      <c r="D4" s="515"/>
      <c r="E4" s="57"/>
      <c r="F4" s="56"/>
      <c r="G4" s="56"/>
      <c r="H4" s="329"/>
      <c r="I4" s="56"/>
    </row>
    <row r="5" spans="1:9" ht="15.6" x14ac:dyDescent="0.3">
      <c r="A5" s="58" t="s">
        <v>302</v>
      </c>
      <c r="B5" s="516" t="s">
        <v>303</v>
      </c>
      <c r="C5" s="516"/>
      <c r="D5" s="516"/>
      <c r="E5" s="59"/>
      <c r="F5" s="58"/>
      <c r="G5" s="60"/>
      <c r="H5" s="330"/>
      <c r="I5" s="60"/>
    </row>
    <row r="6" spans="1:9" ht="15.6" x14ac:dyDescent="0.3">
      <c r="A6" s="6" t="s">
        <v>223</v>
      </c>
      <c r="B6" s="415" t="s">
        <v>514</v>
      </c>
      <c r="C6" s="415"/>
      <c r="D6" s="415"/>
      <c r="E6" s="77"/>
      <c r="F6" s="248" t="s">
        <v>70</v>
      </c>
      <c r="G6" s="6" t="s">
        <v>113</v>
      </c>
      <c r="H6" s="112">
        <f>IF(E6="Y",1,0)</f>
        <v>0</v>
      </c>
      <c r="I6" s="78"/>
    </row>
    <row r="7" spans="1:9" ht="15.6" x14ac:dyDescent="0.3">
      <c r="A7" s="6" t="s">
        <v>225</v>
      </c>
      <c r="B7" s="415" t="s">
        <v>515</v>
      </c>
      <c r="C7" s="415"/>
      <c r="D7" s="415"/>
      <c r="E7" s="77"/>
      <c r="F7" s="248" t="s">
        <v>70</v>
      </c>
      <c r="G7" s="6" t="s">
        <v>113</v>
      </c>
      <c r="H7" s="112">
        <f>IF(E7="Y",1,0)</f>
        <v>0</v>
      </c>
      <c r="I7" s="78"/>
    </row>
    <row r="8" spans="1:9" ht="15.6" x14ac:dyDescent="0.3">
      <c r="A8" s="472" t="s">
        <v>304</v>
      </c>
      <c r="B8" s="472"/>
      <c r="C8" s="472"/>
      <c r="D8" s="472"/>
      <c r="E8" s="472"/>
      <c r="F8" s="472"/>
      <c r="G8" s="472"/>
      <c r="H8" s="331">
        <f>SUM(H6:H7)</f>
        <v>0</v>
      </c>
      <c r="I8" s="61"/>
    </row>
    <row r="9" spans="1:9" ht="15.6" x14ac:dyDescent="0.3">
      <c r="A9" s="58" t="s">
        <v>305</v>
      </c>
      <c r="B9" s="490" t="s">
        <v>306</v>
      </c>
      <c r="C9" s="490"/>
      <c r="D9" s="490"/>
      <c r="E9" s="59"/>
      <c r="F9" s="58"/>
      <c r="G9" s="60"/>
      <c r="H9" s="330"/>
      <c r="I9" s="60"/>
    </row>
    <row r="10" spans="1:9" ht="31.2" x14ac:dyDescent="0.3">
      <c r="A10" s="6" t="s">
        <v>75</v>
      </c>
      <c r="B10" s="398" t="s">
        <v>307</v>
      </c>
      <c r="C10" s="399"/>
      <c r="D10" s="501"/>
      <c r="E10" s="77"/>
      <c r="F10" s="248" t="s">
        <v>79</v>
      </c>
      <c r="G10" s="240" t="s">
        <v>308</v>
      </c>
      <c r="H10" s="112">
        <f>IF(E10=100,1,IF(E10&gt;=50,0.5,0))</f>
        <v>0</v>
      </c>
      <c r="I10" s="78"/>
    </row>
    <row r="11" spans="1:9" ht="31.2" x14ac:dyDescent="0.3">
      <c r="A11" s="6" t="s">
        <v>77</v>
      </c>
      <c r="B11" s="399" t="s">
        <v>309</v>
      </c>
      <c r="C11" s="399"/>
      <c r="D11" s="399"/>
      <c r="E11" s="77"/>
      <c r="F11" s="248" t="s">
        <v>79</v>
      </c>
      <c r="G11" s="240" t="s">
        <v>308</v>
      </c>
      <c r="H11" s="112">
        <f>IF(E11&gt;=90,1,IF(E11&gt;=50,0.5,0))</f>
        <v>0</v>
      </c>
      <c r="I11" s="78"/>
    </row>
    <row r="12" spans="1:9" ht="15.6" x14ac:dyDescent="0.3">
      <c r="A12" s="472" t="s">
        <v>310</v>
      </c>
      <c r="B12" s="472"/>
      <c r="C12" s="472"/>
      <c r="D12" s="472"/>
      <c r="E12" s="472"/>
      <c r="F12" s="472"/>
      <c r="G12" s="472"/>
      <c r="H12" s="331">
        <f>SUM(H10:H11)</f>
        <v>0</v>
      </c>
      <c r="I12" s="61"/>
    </row>
    <row r="13" spans="1:9" ht="15.6" x14ac:dyDescent="0.3">
      <c r="A13" s="56" t="s">
        <v>311</v>
      </c>
      <c r="B13" s="489" t="s">
        <v>312</v>
      </c>
      <c r="C13" s="489"/>
      <c r="D13" s="498"/>
      <c r="E13" s="57"/>
      <c r="F13" s="56"/>
      <c r="G13" s="56"/>
      <c r="H13" s="329"/>
      <c r="I13" s="56"/>
    </row>
    <row r="14" spans="1:9" ht="16.2" thickBot="1" x14ac:dyDescent="0.35">
      <c r="A14" s="499"/>
      <c r="B14" s="448" t="s">
        <v>313</v>
      </c>
      <c r="C14" s="449"/>
      <c r="D14" s="501"/>
      <c r="E14" s="251"/>
      <c r="F14" s="245"/>
      <c r="G14" s="8"/>
      <c r="H14" s="112"/>
      <c r="I14" s="267"/>
    </row>
    <row r="15" spans="1:9" ht="15.6" x14ac:dyDescent="0.3">
      <c r="A15" s="500"/>
      <c r="B15" s="502" t="s">
        <v>314</v>
      </c>
      <c r="C15" s="503"/>
      <c r="D15" s="504"/>
      <c r="E15" s="505"/>
      <c r="F15" s="446"/>
      <c r="G15" s="443"/>
      <c r="H15" s="385"/>
      <c r="I15" s="491"/>
    </row>
    <row r="16" spans="1:9" x14ac:dyDescent="0.3">
      <c r="A16" s="500"/>
      <c r="B16" s="494" t="s">
        <v>315</v>
      </c>
      <c r="C16" s="495"/>
      <c r="D16" s="427"/>
      <c r="E16" s="505"/>
      <c r="F16" s="446"/>
      <c r="G16" s="443"/>
      <c r="H16" s="385"/>
      <c r="I16" s="492"/>
    </row>
    <row r="17" spans="1:9" ht="57.6" x14ac:dyDescent="0.3">
      <c r="A17" s="500"/>
      <c r="B17" s="62" t="s">
        <v>316</v>
      </c>
      <c r="C17" s="63" t="s">
        <v>317</v>
      </c>
      <c r="D17" s="427"/>
      <c r="E17" s="505"/>
      <c r="F17" s="446"/>
      <c r="G17" s="443"/>
      <c r="H17" s="385"/>
      <c r="I17" s="492"/>
    </row>
    <row r="18" spans="1:9" ht="57.6" x14ac:dyDescent="0.3">
      <c r="A18" s="500"/>
      <c r="B18" s="64" t="s">
        <v>318</v>
      </c>
      <c r="C18" s="63" t="s">
        <v>319</v>
      </c>
      <c r="D18" s="427"/>
      <c r="E18" s="505"/>
      <c r="F18" s="446"/>
      <c r="G18" s="443"/>
      <c r="H18" s="385"/>
      <c r="I18" s="492"/>
    </row>
    <row r="19" spans="1:9" ht="15" thickBot="1" x14ac:dyDescent="0.35">
      <c r="A19" s="500"/>
      <c r="B19" s="496" t="s">
        <v>320</v>
      </c>
      <c r="C19" s="497"/>
      <c r="D19" s="428"/>
      <c r="E19" s="505"/>
      <c r="F19" s="446"/>
      <c r="G19" s="443"/>
      <c r="H19" s="385"/>
      <c r="I19" s="493"/>
    </row>
    <row r="20" spans="1:9" ht="15.6" x14ac:dyDescent="0.3">
      <c r="A20" s="500"/>
      <c r="B20" s="506" t="s">
        <v>321</v>
      </c>
      <c r="C20" s="507"/>
      <c r="D20" s="508"/>
      <c r="E20" s="77"/>
      <c r="F20" s="248" t="s">
        <v>79</v>
      </c>
      <c r="G20" s="240" t="s">
        <v>113</v>
      </c>
      <c r="H20" s="332">
        <f>IF(E20&gt;=80,1,0)</f>
        <v>0</v>
      </c>
      <c r="I20" s="79"/>
    </row>
    <row r="21" spans="1:9" ht="15.6" x14ac:dyDescent="0.3">
      <c r="A21" s="472" t="s">
        <v>322</v>
      </c>
      <c r="B21" s="472"/>
      <c r="C21" s="472"/>
      <c r="D21" s="472"/>
      <c r="E21" s="472"/>
      <c r="F21" s="472"/>
      <c r="G21" s="472"/>
      <c r="H21" s="331">
        <f>SUM(H14:H20)</f>
        <v>0</v>
      </c>
      <c r="I21" s="61"/>
    </row>
    <row r="22" spans="1:9" ht="15.6" x14ac:dyDescent="0.3">
      <c r="A22" s="56" t="s">
        <v>323</v>
      </c>
      <c r="B22" s="489" t="s">
        <v>324</v>
      </c>
      <c r="C22" s="489"/>
      <c r="D22" s="489"/>
      <c r="E22" s="57"/>
      <c r="F22" s="65"/>
      <c r="G22" s="56"/>
      <c r="H22" s="329"/>
      <c r="I22" s="56"/>
    </row>
    <row r="23" spans="1:9" ht="15.6" x14ac:dyDescent="0.3">
      <c r="A23" s="58" t="s">
        <v>325</v>
      </c>
      <c r="B23" s="490" t="s">
        <v>326</v>
      </c>
      <c r="C23" s="490"/>
      <c r="D23" s="490"/>
      <c r="E23" s="59"/>
      <c r="F23" s="66"/>
      <c r="G23" s="60"/>
      <c r="H23" s="330"/>
      <c r="I23" s="60"/>
    </row>
    <row r="24" spans="1:9" ht="15.6" x14ac:dyDescent="0.3">
      <c r="A24" s="431" t="s">
        <v>223</v>
      </c>
      <c r="B24" s="414" t="s">
        <v>327</v>
      </c>
      <c r="C24" s="414"/>
      <c r="D24" s="414"/>
      <c r="E24" s="251"/>
      <c r="F24" s="67"/>
      <c r="G24" s="6"/>
      <c r="H24" s="112"/>
      <c r="I24" s="80"/>
    </row>
    <row r="25" spans="1:9" ht="15.6" customHeight="1" x14ac:dyDescent="0.3">
      <c r="A25" s="433"/>
      <c r="B25" s="480" t="s">
        <v>516</v>
      </c>
      <c r="C25" s="414"/>
      <c r="D25" s="481"/>
      <c r="E25" s="77"/>
      <c r="F25" s="67" t="s">
        <v>70</v>
      </c>
      <c r="G25" s="388" t="s">
        <v>308</v>
      </c>
      <c r="H25" s="390">
        <f>IF(AND(E25="Y",E26="Y",E27&gt;=90),1,IF(AND(E25="Y",E26="Y",E27&gt;=50),0.5,0))</f>
        <v>0</v>
      </c>
      <c r="I25" s="80"/>
    </row>
    <row r="26" spans="1:9" ht="15.6" x14ac:dyDescent="0.3">
      <c r="A26" s="433"/>
      <c r="B26" s="480" t="s">
        <v>517</v>
      </c>
      <c r="C26" s="414"/>
      <c r="D26" s="481"/>
      <c r="E26" s="77"/>
      <c r="F26" s="67" t="s">
        <v>70</v>
      </c>
      <c r="G26" s="433"/>
      <c r="H26" s="447"/>
      <c r="I26" s="80"/>
    </row>
    <row r="27" spans="1:9" ht="15.6" x14ac:dyDescent="0.3">
      <c r="A27" s="434"/>
      <c r="B27" s="480" t="s">
        <v>328</v>
      </c>
      <c r="C27" s="414"/>
      <c r="D27" s="481"/>
      <c r="E27" s="77"/>
      <c r="F27" s="67" t="s">
        <v>79</v>
      </c>
      <c r="G27" s="434"/>
      <c r="H27" s="391"/>
      <c r="I27" s="80"/>
    </row>
    <row r="28" spans="1:9" ht="15.6" x14ac:dyDescent="0.3">
      <c r="A28" s="431" t="s">
        <v>225</v>
      </c>
      <c r="B28" s="482" t="s">
        <v>329</v>
      </c>
      <c r="C28" s="483"/>
      <c r="D28" s="484"/>
      <c r="E28" s="251"/>
      <c r="F28" s="67"/>
      <c r="G28" s="246"/>
      <c r="H28" s="333"/>
      <c r="I28" s="80"/>
    </row>
    <row r="29" spans="1:9" ht="15.6" x14ac:dyDescent="0.3">
      <c r="A29" s="433"/>
      <c r="B29" s="485" t="s">
        <v>330</v>
      </c>
      <c r="C29" s="483"/>
      <c r="D29" s="484"/>
      <c r="E29" s="77"/>
      <c r="F29" s="68" t="s">
        <v>73</v>
      </c>
      <c r="G29" s="6" t="s">
        <v>113</v>
      </c>
      <c r="H29" s="112">
        <f>IF(ISBLANK(E29),0,IF(AND(E29&lt;0.5,E29&gt;-0.5),1,0))</f>
        <v>0</v>
      </c>
      <c r="I29" s="80"/>
    </row>
    <row r="30" spans="1:9" ht="15.6" x14ac:dyDescent="0.3">
      <c r="A30" s="433"/>
      <c r="B30" s="485" t="s">
        <v>331</v>
      </c>
      <c r="C30" s="483"/>
      <c r="D30" s="484"/>
      <c r="E30" s="77"/>
      <c r="F30" s="68" t="s">
        <v>79</v>
      </c>
      <c r="G30" s="6" t="s">
        <v>113</v>
      </c>
      <c r="H30" s="112">
        <f>IF(E30&gt;=70,1,0)</f>
        <v>0</v>
      </c>
      <c r="I30" s="80"/>
    </row>
    <row r="31" spans="1:9" ht="15.6" x14ac:dyDescent="0.3">
      <c r="A31" s="433"/>
      <c r="B31" s="486" t="s">
        <v>332</v>
      </c>
      <c r="C31" s="486"/>
      <c r="D31" s="486"/>
      <c r="E31" s="69"/>
      <c r="F31" s="68"/>
      <c r="G31" s="6"/>
      <c r="H31" s="112"/>
      <c r="I31" s="80"/>
    </row>
    <row r="32" spans="1:9" ht="46.8" x14ac:dyDescent="0.3">
      <c r="A32" s="433"/>
      <c r="B32" s="487" t="s">
        <v>333</v>
      </c>
      <c r="C32" s="487"/>
      <c r="D32" s="487"/>
      <c r="E32" s="77"/>
      <c r="F32" s="68" t="s">
        <v>79</v>
      </c>
      <c r="G32" s="240" t="s">
        <v>334</v>
      </c>
      <c r="H32" s="112">
        <f>MIN(ROUNDDOWN(E32*0.01,1),0.5)</f>
        <v>0</v>
      </c>
      <c r="I32" s="80"/>
    </row>
    <row r="33" spans="1:9" ht="31.2" x14ac:dyDescent="0.3">
      <c r="A33" s="434"/>
      <c r="B33" s="488" t="s">
        <v>335</v>
      </c>
      <c r="C33" s="488"/>
      <c r="D33" s="488"/>
      <c r="E33" s="77"/>
      <c r="F33" s="68" t="s">
        <v>79</v>
      </c>
      <c r="G33" s="240" t="s">
        <v>308</v>
      </c>
      <c r="H33" s="112">
        <f>IF(E33&gt;=70,1,IF(E33&gt;=50,0.5,0))</f>
        <v>0</v>
      </c>
      <c r="I33" s="80"/>
    </row>
    <row r="34" spans="1:9" ht="15.6" x14ac:dyDescent="0.3">
      <c r="A34" s="472" t="s">
        <v>336</v>
      </c>
      <c r="B34" s="472"/>
      <c r="C34" s="472"/>
      <c r="D34" s="472"/>
      <c r="E34" s="472"/>
      <c r="F34" s="472"/>
      <c r="G34" s="472"/>
      <c r="H34" s="331">
        <f>SUM(H25,MAX(H29,H30,MIN(SUM(H32:H33),1)))</f>
        <v>0</v>
      </c>
      <c r="I34" s="61"/>
    </row>
    <row r="35" spans="1:9" ht="15.6" x14ac:dyDescent="0.3">
      <c r="A35" s="58" t="s">
        <v>337</v>
      </c>
      <c r="B35" s="477" t="s">
        <v>338</v>
      </c>
      <c r="C35" s="477"/>
      <c r="D35" s="477"/>
      <c r="E35" s="59"/>
      <c r="F35" s="58"/>
      <c r="G35" s="60"/>
      <c r="H35" s="330"/>
      <c r="I35" s="60"/>
    </row>
    <row r="36" spans="1:9" ht="31.2" x14ac:dyDescent="0.3">
      <c r="A36" s="238" t="s">
        <v>75</v>
      </c>
      <c r="B36" s="415" t="s">
        <v>339</v>
      </c>
      <c r="C36" s="415"/>
      <c r="D36" s="415"/>
      <c r="E36" s="77"/>
      <c r="F36" s="68" t="s">
        <v>343</v>
      </c>
      <c r="G36" s="240" t="s">
        <v>518</v>
      </c>
      <c r="H36" s="112">
        <f>IF(E36="A",1,IF(E36="B",2,0))</f>
        <v>0</v>
      </c>
      <c r="I36" s="80"/>
    </row>
    <row r="37" spans="1:9" ht="15.6" x14ac:dyDescent="0.3">
      <c r="A37" s="238" t="s">
        <v>77</v>
      </c>
      <c r="B37" s="415" t="s">
        <v>341</v>
      </c>
      <c r="C37" s="415"/>
      <c r="D37" s="415"/>
      <c r="E37" s="77"/>
      <c r="F37" s="68" t="s">
        <v>70</v>
      </c>
      <c r="G37" s="240" t="s">
        <v>259</v>
      </c>
      <c r="H37" s="112">
        <f>IF(E37="Y",0.5,0)</f>
        <v>0</v>
      </c>
      <c r="I37" s="80"/>
    </row>
    <row r="38" spans="1:9" ht="31.2" x14ac:dyDescent="0.3">
      <c r="A38" s="238" t="s">
        <v>80</v>
      </c>
      <c r="B38" s="415" t="s">
        <v>342</v>
      </c>
      <c r="C38" s="415"/>
      <c r="D38" s="415"/>
      <c r="E38" s="77"/>
      <c r="F38" s="68" t="s">
        <v>343</v>
      </c>
      <c r="G38" s="240" t="s">
        <v>344</v>
      </c>
      <c r="H38" s="112">
        <f>IF(E38="A",0.5,IF(E38="B",1,0))</f>
        <v>0</v>
      </c>
      <c r="I38" s="80"/>
    </row>
    <row r="39" spans="1:9" ht="15.6" x14ac:dyDescent="0.3">
      <c r="A39" s="472" t="s">
        <v>345</v>
      </c>
      <c r="B39" s="472"/>
      <c r="C39" s="472"/>
      <c r="D39" s="472"/>
      <c r="E39" s="472"/>
      <c r="F39" s="472"/>
      <c r="G39" s="472"/>
      <c r="H39" s="331">
        <f>SUM(H36:H38)</f>
        <v>0</v>
      </c>
      <c r="I39" s="61"/>
    </row>
    <row r="40" spans="1:9" ht="15.6" x14ac:dyDescent="0.3">
      <c r="A40" s="58" t="s">
        <v>346</v>
      </c>
      <c r="B40" s="477" t="s">
        <v>347</v>
      </c>
      <c r="C40" s="477"/>
      <c r="D40" s="477"/>
      <c r="E40" s="59"/>
      <c r="F40" s="58"/>
      <c r="G40" s="60"/>
      <c r="H40" s="330"/>
      <c r="I40" s="60"/>
    </row>
    <row r="41" spans="1:9" ht="15.6" x14ac:dyDescent="0.3">
      <c r="A41" s="238" t="s">
        <v>75</v>
      </c>
      <c r="B41" s="479" t="s">
        <v>348</v>
      </c>
      <c r="C41" s="479"/>
      <c r="D41" s="479"/>
      <c r="E41" s="77"/>
      <c r="F41" s="68" t="s">
        <v>70</v>
      </c>
      <c r="G41" s="240" t="s">
        <v>259</v>
      </c>
      <c r="H41" s="112">
        <f>IF(E41="Y",0.5,0)</f>
        <v>0</v>
      </c>
      <c r="I41" s="80"/>
    </row>
    <row r="42" spans="1:9" ht="15.6" x14ac:dyDescent="0.3">
      <c r="A42" s="238" t="s">
        <v>77</v>
      </c>
      <c r="B42" s="415" t="s">
        <v>349</v>
      </c>
      <c r="C42" s="415"/>
      <c r="D42" s="415"/>
      <c r="E42" s="77"/>
      <c r="F42" s="68" t="s">
        <v>70</v>
      </c>
      <c r="G42" s="240" t="s">
        <v>113</v>
      </c>
      <c r="H42" s="112">
        <f>IF(E42="Y",1,0)</f>
        <v>0</v>
      </c>
      <c r="I42" s="80"/>
    </row>
    <row r="43" spans="1:9" ht="15.6" x14ac:dyDescent="0.3">
      <c r="A43" s="472" t="s">
        <v>350</v>
      </c>
      <c r="B43" s="472"/>
      <c r="C43" s="472"/>
      <c r="D43" s="472"/>
      <c r="E43" s="472"/>
      <c r="F43" s="472"/>
      <c r="G43" s="472"/>
      <c r="H43" s="331">
        <f>SUM(H41:H42)</f>
        <v>0</v>
      </c>
      <c r="I43" s="61"/>
    </row>
    <row r="44" spans="1:9" ht="15.6" x14ac:dyDescent="0.3">
      <c r="A44" s="53" t="s">
        <v>351</v>
      </c>
      <c r="B44" s="473" t="s">
        <v>352</v>
      </c>
      <c r="C44" s="473"/>
      <c r="D44" s="473"/>
      <c r="E44" s="473"/>
      <c r="F44" s="473"/>
      <c r="G44" s="53">
        <v>5</v>
      </c>
      <c r="H44" s="334">
        <f>MIN(SUM(H51,H57,H61,H68),5)</f>
        <v>0</v>
      </c>
      <c r="I44" s="70"/>
    </row>
    <row r="45" spans="1:9" ht="15.6" x14ac:dyDescent="0.3">
      <c r="A45" s="56" t="s">
        <v>353</v>
      </c>
      <c r="B45" s="475" t="s">
        <v>354</v>
      </c>
      <c r="C45" s="476"/>
      <c r="D45" s="476"/>
      <c r="E45" s="57"/>
      <c r="F45" s="56"/>
      <c r="G45" s="56">
        <v>5</v>
      </c>
      <c r="H45" s="329"/>
      <c r="I45" s="56"/>
    </row>
    <row r="46" spans="1:9" ht="15.6" x14ac:dyDescent="0.3">
      <c r="A46" s="71"/>
      <c r="B46" s="407" t="s">
        <v>355</v>
      </c>
      <c r="C46" s="407"/>
      <c r="D46" s="407"/>
      <c r="E46" s="251"/>
      <c r="F46" s="68"/>
      <c r="G46" s="240"/>
      <c r="H46" s="112"/>
      <c r="I46" s="80"/>
    </row>
    <row r="47" spans="1:9" ht="15.6" x14ac:dyDescent="0.3">
      <c r="A47" s="238" t="s">
        <v>75</v>
      </c>
      <c r="B47" s="415" t="s">
        <v>356</v>
      </c>
      <c r="C47" s="415"/>
      <c r="D47" s="415"/>
      <c r="E47" s="77"/>
      <c r="F47" s="68" t="s">
        <v>70</v>
      </c>
      <c r="G47" s="240" t="s">
        <v>113</v>
      </c>
      <c r="H47" s="112">
        <f>IF(E47="Y",1,0)</f>
        <v>0</v>
      </c>
      <c r="I47" s="80"/>
    </row>
    <row r="48" spans="1:9" ht="15.6" x14ac:dyDescent="0.3">
      <c r="A48" s="238" t="s">
        <v>77</v>
      </c>
      <c r="B48" s="415" t="s">
        <v>357</v>
      </c>
      <c r="C48" s="415"/>
      <c r="D48" s="415"/>
      <c r="E48" s="77"/>
      <c r="F48" s="68" t="s">
        <v>70</v>
      </c>
      <c r="G48" s="240" t="s">
        <v>113</v>
      </c>
      <c r="H48" s="112">
        <f>IF(E48="Y",1,0)</f>
        <v>0</v>
      </c>
      <c r="I48" s="80"/>
    </row>
    <row r="49" spans="1:9" ht="15.6" x14ac:dyDescent="0.3">
      <c r="A49" s="238" t="s">
        <v>80</v>
      </c>
      <c r="B49" s="415" t="s">
        <v>358</v>
      </c>
      <c r="C49" s="415"/>
      <c r="D49" s="415"/>
      <c r="E49" s="77"/>
      <c r="F49" s="68" t="s">
        <v>70</v>
      </c>
      <c r="G49" s="240" t="s">
        <v>259</v>
      </c>
      <c r="H49" s="112">
        <f>IF(E49="Y",0.5,0)</f>
        <v>0</v>
      </c>
      <c r="I49" s="80"/>
    </row>
    <row r="50" spans="1:9" ht="15.6" x14ac:dyDescent="0.3">
      <c r="A50" s="238" t="s">
        <v>85</v>
      </c>
      <c r="B50" s="415" t="s">
        <v>359</v>
      </c>
      <c r="C50" s="415"/>
      <c r="D50" s="415"/>
      <c r="E50" s="77"/>
      <c r="F50" s="68" t="s">
        <v>70</v>
      </c>
      <c r="G50" s="240" t="s">
        <v>259</v>
      </c>
      <c r="H50" s="112">
        <f>IF(E50="Y",0.5,0)</f>
        <v>0</v>
      </c>
      <c r="I50" s="80"/>
    </row>
    <row r="51" spans="1:9" ht="15.6" x14ac:dyDescent="0.3">
      <c r="A51" s="472" t="s">
        <v>360</v>
      </c>
      <c r="B51" s="472"/>
      <c r="C51" s="472"/>
      <c r="D51" s="472"/>
      <c r="E51" s="472"/>
      <c r="F51" s="472"/>
      <c r="G51" s="472"/>
      <c r="H51" s="331">
        <f>SUM(H47:H50)</f>
        <v>0</v>
      </c>
      <c r="I51" s="61"/>
    </row>
    <row r="52" spans="1:9" ht="15.6" x14ac:dyDescent="0.3">
      <c r="A52" s="56" t="s">
        <v>361</v>
      </c>
      <c r="B52" s="475" t="s">
        <v>362</v>
      </c>
      <c r="C52" s="476"/>
      <c r="D52" s="476"/>
      <c r="E52" s="57"/>
      <c r="F52" s="56"/>
      <c r="G52" s="56"/>
      <c r="H52" s="329"/>
      <c r="I52" s="56"/>
    </row>
    <row r="53" spans="1:9" ht="15.6" x14ac:dyDescent="0.3">
      <c r="A53" s="238"/>
      <c r="B53" s="415" t="s">
        <v>363</v>
      </c>
      <c r="C53" s="415"/>
      <c r="D53" s="415"/>
      <c r="E53" s="251"/>
      <c r="F53" s="248"/>
      <c r="G53" s="6"/>
      <c r="H53" s="112"/>
      <c r="I53" s="47"/>
    </row>
    <row r="54" spans="1:9" ht="93.9" customHeight="1" x14ac:dyDescent="0.3">
      <c r="A54" s="238" t="s">
        <v>75</v>
      </c>
      <c r="B54" s="415" t="s">
        <v>536</v>
      </c>
      <c r="C54" s="415"/>
      <c r="D54" s="415"/>
      <c r="E54" s="77"/>
      <c r="F54" s="68" t="s">
        <v>343</v>
      </c>
      <c r="G54" s="240" t="s">
        <v>308</v>
      </c>
      <c r="H54" s="112">
        <f>IF(E54="A",0.5,IF(E54="B",1,0))</f>
        <v>0</v>
      </c>
      <c r="I54" s="47"/>
    </row>
    <row r="55" spans="1:9" ht="15.6" x14ac:dyDescent="0.3">
      <c r="A55" s="238" t="s">
        <v>77</v>
      </c>
      <c r="B55" s="415" t="s">
        <v>364</v>
      </c>
      <c r="C55" s="415"/>
      <c r="D55" s="415"/>
      <c r="E55" s="77"/>
      <c r="F55" s="248" t="s">
        <v>70</v>
      </c>
      <c r="G55" s="6" t="s">
        <v>259</v>
      </c>
      <c r="H55" s="112">
        <f>IF(E55="Y",0.5,0)</f>
        <v>0</v>
      </c>
      <c r="I55" s="47"/>
    </row>
    <row r="56" spans="1:9" ht="31.2" x14ac:dyDescent="0.3">
      <c r="A56" s="238" t="s">
        <v>80</v>
      </c>
      <c r="B56" s="415" t="s">
        <v>365</v>
      </c>
      <c r="C56" s="415"/>
      <c r="D56" s="415"/>
      <c r="E56" s="77"/>
      <c r="F56" s="248" t="s">
        <v>343</v>
      </c>
      <c r="G56" s="240" t="s">
        <v>340</v>
      </c>
      <c r="H56" s="112">
        <f>IF(E56="A",1,IF(E56="B",2,0))</f>
        <v>0</v>
      </c>
      <c r="I56" s="47"/>
    </row>
    <row r="57" spans="1:9" ht="15.6" x14ac:dyDescent="0.3">
      <c r="A57" s="472" t="s">
        <v>366</v>
      </c>
      <c r="B57" s="472"/>
      <c r="C57" s="472"/>
      <c r="D57" s="472"/>
      <c r="E57" s="472"/>
      <c r="F57" s="472"/>
      <c r="G57" s="472"/>
      <c r="H57" s="331">
        <f>SUM(H54:H56)</f>
        <v>0</v>
      </c>
      <c r="I57" s="61"/>
    </row>
    <row r="58" spans="1:9" ht="15.6" x14ac:dyDescent="0.3">
      <c r="A58" s="56" t="s">
        <v>367</v>
      </c>
      <c r="B58" s="475" t="s">
        <v>368</v>
      </c>
      <c r="C58" s="476"/>
      <c r="D58" s="476"/>
      <c r="E58" s="57"/>
      <c r="F58" s="56"/>
      <c r="G58" s="56"/>
      <c r="H58" s="329"/>
      <c r="I58" s="56"/>
    </row>
    <row r="59" spans="1:9" ht="15.6" x14ac:dyDescent="0.3">
      <c r="A59" s="58" t="s">
        <v>369</v>
      </c>
      <c r="B59" s="477" t="s">
        <v>370</v>
      </c>
      <c r="C59" s="477"/>
      <c r="D59" s="477"/>
      <c r="E59" s="59"/>
      <c r="F59" s="58"/>
      <c r="G59" s="60"/>
      <c r="H59" s="330"/>
      <c r="I59" s="60"/>
    </row>
    <row r="60" spans="1:9" ht="15.6" x14ac:dyDescent="0.3">
      <c r="A60" s="238"/>
      <c r="B60" s="415" t="s">
        <v>371</v>
      </c>
      <c r="C60" s="415"/>
      <c r="D60" s="415"/>
      <c r="E60" s="77"/>
      <c r="F60" s="248" t="s">
        <v>70</v>
      </c>
      <c r="G60" s="240" t="s">
        <v>259</v>
      </c>
      <c r="H60" s="112">
        <f>IF(E60="Y",0.5,0)</f>
        <v>0</v>
      </c>
      <c r="I60" s="47"/>
    </row>
    <row r="61" spans="1:9" ht="15.6" x14ac:dyDescent="0.3">
      <c r="A61" s="472" t="s">
        <v>372</v>
      </c>
      <c r="B61" s="472"/>
      <c r="C61" s="472"/>
      <c r="D61" s="472"/>
      <c r="E61" s="472"/>
      <c r="F61" s="472"/>
      <c r="G61" s="472"/>
      <c r="H61" s="331">
        <f>H60</f>
        <v>0</v>
      </c>
      <c r="I61" s="61"/>
    </row>
    <row r="62" spans="1:9" ht="15.6" x14ac:dyDescent="0.3">
      <c r="A62" s="58" t="s">
        <v>373</v>
      </c>
      <c r="B62" s="477" t="s">
        <v>374</v>
      </c>
      <c r="C62" s="477"/>
      <c r="D62" s="477"/>
      <c r="E62" s="59"/>
      <c r="F62" s="58" t="s">
        <v>79</v>
      </c>
      <c r="G62" s="60"/>
      <c r="H62" s="330"/>
      <c r="I62" s="60"/>
    </row>
    <row r="63" spans="1:9" ht="15.6" x14ac:dyDescent="0.3">
      <c r="A63" s="238"/>
      <c r="B63" s="415" t="s">
        <v>375</v>
      </c>
      <c r="C63" s="478"/>
      <c r="D63" s="478"/>
      <c r="E63" s="251"/>
      <c r="F63" s="248"/>
      <c r="G63" s="240"/>
      <c r="H63" s="112"/>
      <c r="I63" s="47"/>
    </row>
    <row r="64" spans="1:9" ht="15.6" x14ac:dyDescent="0.3">
      <c r="A64" s="238" t="s">
        <v>75</v>
      </c>
      <c r="B64" s="415" t="s">
        <v>376</v>
      </c>
      <c r="C64" s="478"/>
      <c r="D64" s="478"/>
      <c r="E64" s="251" t="s">
        <v>141</v>
      </c>
      <c r="F64" s="248" t="s">
        <v>141</v>
      </c>
      <c r="G64" s="240" t="s">
        <v>141</v>
      </c>
      <c r="H64" s="112" t="s">
        <v>141</v>
      </c>
      <c r="I64" s="47"/>
    </row>
    <row r="65" spans="1:9" ht="15.6" x14ac:dyDescent="0.3">
      <c r="A65" s="238" t="s">
        <v>77</v>
      </c>
      <c r="B65" s="415" t="s">
        <v>519</v>
      </c>
      <c r="C65" s="478"/>
      <c r="D65" s="478"/>
      <c r="E65" s="77"/>
      <c r="F65" s="248" t="s">
        <v>70</v>
      </c>
      <c r="G65" s="240" t="s">
        <v>259</v>
      </c>
      <c r="H65" s="112">
        <f>IF(E65="Y",0.5,0)</f>
        <v>0</v>
      </c>
      <c r="I65" s="47"/>
    </row>
    <row r="66" spans="1:9" ht="15.6" x14ac:dyDescent="0.3">
      <c r="A66" s="238" t="s">
        <v>80</v>
      </c>
      <c r="B66" s="415" t="s">
        <v>377</v>
      </c>
      <c r="C66" s="478"/>
      <c r="D66" s="478"/>
      <c r="E66" s="77"/>
      <c r="F66" s="248" t="s">
        <v>70</v>
      </c>
      <c r="G66" s="240" t="s">
        <v>259</v>
      </c>
      <c r="H66" s="112">
        <f>IF(E66="Y",0.5,0)</f>
        <v>0</v>
      </c>
      <c r="I66" s="47"/>
    </row>
    <row r="67" spans="1:9" ht="15.6" x14ac:dyDescent="0.3">
      <c r="A67" s="238" t="s">
        <v>85</v>
      </c>
      <c r="B67" s="415" t="s">
        <v>378</v>
      </c>
      <c r="C67" s="478"/>
      <c r="D67" s="478"/>
      <c r="E67" s="77"/>
      <c r="F67" s="248" t="s">
        <v>70</v>
      </c>
      <c r="G67" s="240" t="s">
        <v>113</v>
      </c>
      <c r="H67" s="112">
        <f>IF(E67="Y",1,0)</f>
        <v>0</v>
      </c>
      <c r="I67" s="47"/>
    </row>
    <row r="68" spans="1:9" ht="15.6" x14ac:dyDescent="0.3">
      <c r="A68" s="472" t="s">
        <v>379</v>
      </c>
      <c r="B68" s="472"/>
      <c r="C68" s="472"/>
      <c r="D68" s="472"/>
      <c r="E68" s="472"/>
      <c r="F68" s="472"/>
      <c r="G68" s="472"/>
      <c r="H68" s="331">
        <f>SUM(H65:H67)</f>
        <v>0</v>
      </c>
      <c r="I68" s="61"/>
    </row>
    <row r="69" spans="1:9" ht="15.6" x14ac:dyDescent="0.3">
      <c r="A69" s="53" t="s">
        <v>380</v>
      </c>
      <c r="B69" s="473" t="s">
        <v>381</v>
      </c>
      <c r="C69" s="473"/>
      <c r="D69" s="473"/>
      <c r="E69" s="473"/>
      <c r="F69" s="473"/>
      <c r="G69" s="53">
        <v>5</v>
      </c>
      <c r="H69" s="334">
        <f>MIN(SUM(H72,H78,H81,H85,H91),5)</f>
        <v>0</v>
      </c>
      <c r="I69" s="70"/>
    </row>
    <row r="70" spans="1:9" ht="15.6" x14ac:dyDescent="0.3">
      <c r="A70" s="56" t="s">
        <v>382</v>
      </c>
      <c r="B70" s="475" t="s">
        <v>383</v>
      </c>
      <c r="C70" s="476"/>
      <c r="D70" s="476"/>
      <c r="E70" s="57"/>
      <c r="F70" s="56" t="s">
        <v>73</v>
      </c>
      <c r="G70" s="56" t="s">
        <v>141</v>
      </c>
      <c r="H70" s="329"/>
      <c r="I70" s="56"/>
    </row>
    <row r="71" spans="1:9" ht="31.2" x14ac:dyDescent="0.3">
      <c r="A71" s="238"/>
      <c r="B71" s="478" t="s">
        <v>384</v>
      </c>
      <c r="C71" s="478"/>
      <c r="D71" s="478"/>
      <c r="E71" s="77"/>
      <c r="F71" s="248" t="s">
        <v>343</v>
      </c>
      <c r="G71" s="240" t="s">
        <v>518</v>
      </c>
      <c r="H71" s="112">
        <f>IF(E71="A",1,IF(E71="B",2,0))</f>
        <v>0</v>
      </c>
      <c r="I71" s="47"/>
    </row>
    <row r="72" spans="1:9" ht="15.6" x14ac:dyDescent="0.3">
      <c r="A72" s="472" t="s">
        <v>385</v>
      </c>
      <c r="B72" s="472"/>
      <c r="C72" s="472"/>
      <c r="D72" s="472"/>
      <c r="E72" s="472"/>
      <c r="F72" s="472"/>
      <c r="G72" s="472"/>
      <c r="H72" s="331">
        <f>H71</f>
        <v>0</v>
      </c>
      <c r="I72" s="61"/>
    </row>
    <row r="73" spans="1:9" ht="15.6" x14ac:dyDescent="0.3">
      <c r="A73" s="56" t="s">
        <v>386</v>
      </c>
      <c r="B73" s="475" t="s">
        <v>387</v>
      </c>
      <c r="C73" s="476"/>
      <c r="D73" s="476"/>
      <c r="E73" s="57"/>
      <c r="F73" s="56"/>
      <c r="G73" s="56"/>
      <c r="H73" s="329"/>
      <c r="I73" s="56"/>
    </row>
    <row r="74" spans="1:9" ht="15.6" x14ac:dyDescent="0.3">
      <c r="A74" s="58" t="s">
        <v>388</v>
      </c>
      <c r="B74" s="477" t="s">
        <v>520</v>
      </c>
      <c r="C74" s="477"/>
      <c r="D74" s="477"/>
      <c r="E74" s="59"/>
      <c r="F74" s="58"/>
      <c r="G74" s="60"/>
      <c r="H74" s="330"/>
      <c r="I74" s="60"/>
    </row>
    <row r="75" spans="1:9" ht="15.6" x14ac:dyDescent="0.3">
      <c r="A75" s="238"/>
      <c r="B75" s="415" t="s">
        <v>389</v>
      </c>
      <c r="C75" s="415"/>
      <c r="D75" s="415"/>
      <c r="E75" s="251"/>
      <c r="F75" s="248"/>
      <c r="G75" s="72"/>
      <c r="H75" s="326"/>
      <c r="I75" s="50"/>
    </row>
    <row r="76" spans="1:9" ht="15.6" x14ac:dyDescent="0.3">
      <c r="A76" s="238" t="s">
        <v>75</v>
      </c>
      <c r="B76" s="415" t="s">
        <v>390</v>
      </c>
      <c r="C76" s="415"/>
      <c r="D76" s="415"/>
      <c r="E76" s="77"/>
      <c r="F76" s="248" t="s">
        <v>70</v>
      </c>
      <c r="G76" s="240" t="s">
        <v>169</v>
      </c>
      <c r="H76" s="112">
        <f>IF(E76="Y",0.5,0)</f>
        <v>0</v>
      </c>
      <c r="I76" s="50"/>
    </row>
    <row r="77" spans="1:9" ht="15.6" x14ac:dyDescent="0.3">
      <c r="A77" s="238" t="s">
        <v>77</v>
      </c>
      <c r="B77" s="415" t="s">
        <v>391</v>
      </c>
      <c r="C77" s="415"/>
      <c r="D77" s="415"/>
      <c r="E77" s="77"/>
      <c r="F77" s="248" t="s">
        <v>70</v>
      </c>
      <c r="G77" s="240" t="s">
        <v>113</v>
      </c>
      <c r="H77" s="112">
        <f>IF(E77="Y",1,0)</f>
        <v>0</v>
      </c>
      <c r="I77" s="50"/>
    </row>
    <row r="78" spans="1:9" ht="15.6" x14ac:dyDescent="0.3">
      <c r="A78" s="472" t="s">
        <v>392</v>
      </c>
      <c r="B78" s="472"/>
      <c r="C78" s="472"/>
      <c r="D78" s="472"/>
      <c r="E78" s="472"/>
      <c r="F78" s="472"/>
      <c r="G78" s="472"/>
      <c r="H78" s="331">
        <f>SUM(H76:H77)</f>
        <v>0</v>
      </c>
      <c r="I78" s="61"/>
    </row>
    <row r="79" spans="1:9" ht="15.6" x14ac:dyDescent="0.3">
      <c r="A79" s="58" t="s">
        <v>393</v>
      </c>
      <c r="B79" s="477" t="s">
        <v>394</v>
      </c>
      <c r="C79" s="477"/>
      <c r="D79" s="477"/>
      <c r="E79" s="59"/>
      <c r="F79" s="58"/>
      <c r="G79" s="60"/>
      <c r="H79" s="330"/>
      <c r="I79" s="60"/>
    </row>
    <row r="80" spans="1:9" ht="15.6" x14ac:dyDescent="0.3">
      <c r="A80" s="238"/>
      <c r="B80" s="415" t="s">
        <v>521</v>
      </c>
      <c r="C80" s="415"/>
      <c r="D80" s="415"/>
      <c r="E80" s="77"/>
      <c r="F80" s="248" t="s">
        <v>70</v>
      </c>
      <c r="G80" s="240" t="s">
        <v>113</v>
      </c>
      <c r="H80" s="112">
        <f>IF(E80="Y",1,0)</f>
        <v>0</v>
      </c>
      <c r="I80" s="50"/>
    </row>
    <row r="81" spans="1:9" ht="15.6" x14ac:dyDescent="0.3">
      <c r="A81" s="472" t="s">
        <v>395</v>
      </c>
      <c r="B81" s="472"/>
      <c r="C81" s="472"/>
      <c r="D81" s="472"/>
      <c r="E81" s="472"/>
      <c r="F81" s="472"/>
      <c r="G81" s="472"/>
      <c r="H81" s="331">
        <f>SUM(H79:H80)</f>
        <v>0</v>
      </c>
      <c r="I81" s="61"/>
    </row>
    <row r="82" spans="1:9" ht="15.6" x14ac:dyDescent="0.3">
      <c r="A82" s="56" t="s">
        <v>396</v>
      </c>
      <c r="B82" s="475" t="s">
        <v>397</v>
      </c>
      <c r="C82" s="476"/>
      <c r="D82" s="476"/>
      <c r="E82" s="57"/>
      <c r="F82" s="56"/>
      <c r="G82" s="56"/>
      <c r="H82" s="329"/>
      <c r="I82" s="56"/>
    </row>
    <row r="83" spans="1:9" ht="15.6" x14ac:dyDescent="0.3">
      <c r="A83" s="58" t="s">
        <v>398</v>
      </c>
      <c r="B83" s="477" t="s">
        <v>399</v>
      </c>
      <c r="C83" s="477"/>
      <c r="D83" s="477"/>
      <c r="E83" s="59"/>
      <c r="F83" s="58"/>
      <c r="G83" s="60"/>
      <c r="H83" s="330"/>
      <c r="I83" s="60"/>
    </row>
    <row r="84" spans="1:9" ht="15.6" x14ac:dyDescent="0.3">
      <c r="A84" s="247" t="s">
        <v>75</v>
      </c>
      <c r="B84" s="415" t="s">
        <v>400</v>
      </c>
      <c r="C84" s="415"/>
      <c r="D84" s="415"/>
      <c r="E84" s="77"/>
      <c r="F84" s="68" t="s">
        <v>70</v>
      </c>
      <c r="G84" s="240" t="s">
        <v>259</v>
      </c>
      <c r="H84" s="112">
        <f>IF(E84="Y",0.5,0)</f>
        <v>0</v>
      </c>
      <c r="I84" s="47"/>
    </row>
    <row r="85" spans="1:9" ht="15.6" x14ac:dyDescent="0.3">
      <c r="A85" s="472" t="s">
        <v>401</v>
      </c>
      <c r="B85" s="472"/>
      <c r="C85" s="472"/>
      <c r="D85" s="472"/>
      <c r="E85" s="472"/>
      <c r="F85" s="472"/>
      <c r="G85" s="472"/>
      <c r="H85" s="331">
        <f>H84</f>
        <v>0</v>
      </c>
      <c r="I85" s="61"/>
    </row>
    <row r="86" spans="1:9" ht="15.6" x14ac:dyDescent="0.3">
      <c r="A86" s="58" t="s">
        <v>402</v>
      </c>
      <c r="B86" s="477" t="s">
        <v>403</v>
      </c>
      <c r="C86" s="477"/>
      <c r="D86" s="477"/>
      <c r="E86" s="59"/>
      <c r="F86" s="58"/>
      <c r="G86" s="60"/>
      <c r="H86" s="330"/>
      <c r="I86" s="60"/>
    </row>
    <row r="87" spans="1:9" ht="15.6" x14ac:dyDescent="0.3">
      <c r="A87" s="247"/>
      <c r="B87" s="415" t="s">
        <v>404</v>
      </c>
      <c r="C87" s="415"/>
      <c r="D87" s="415"/>
      <c r="E87" s="251"/>
      <c r="F87" s="68"/>
      <c r="G87" s="240"/>
      <c r="H87" s="296"/>
      <c r="I87" s="47"/>
    </row>
    <row r="88" spans="1:9" ht="15.6" x14ac:dyDescent="0.3">
      <c r="A88" s="6" t="s">
        <v>75</v>
      </c>
      <c r="B88" s="415" t="s">
        <v>405</v>
      </c>
      <c r="C88" s="415"/>
      <c r="D88" s="415"/>
      <c r="E88" s="77"/>
      <c r="F88" s="68" t="s">
        <v>70</v>
      </c>
      <c r="G88" s="240" t="s">
        <v>259</v>
      </c>
      <c r="H88" s="112">
        <f>IF(E88="Y",0.5,0)</f>
        <v>0</v>
      </c>
      <c r="I88" s="47"/>
    </row>
    <row r="89" spans="1:9" ht="15.6" x14ac:dyDescent="0.3">
      <c r="A89" s="247" t="s">
        <v>77</v>
      </c>
      <c r="B89" s="415" t="s">
        <v>406</v>
      </c>
      <c r="C89" s="415"/>
      <c r="D89" s="415"/>
      <c r="E89" s="77"/>
      <c r="F89" s="68" t="s">
        <v>70</v>
      </c>
      <c r="G89" s="240" t="s">
        <v>259</v>
      </c>
      <c r="H89" s="112">
        <f>IF(E89="Y",0.5,0)</f>
        <v>0</v>
      </c>
      <c r="I89" s="47"/>
    </row>
    <row r="90" spans="1:9" ht="15.6" x14ac:dyDescent="0.3">
      <c r="A90" s="247" t="s">
        <v>80</v>
      </c>
      <c r="B90" s="415" t="s">
        <v>407</v>
      </c>
      <c r="C90" s="415"/>
      <c r="D90" s="415"/>
      <c r="E90" s="77"/>
      <c r="F90" s="68" t="s">
        <v>70</v>
      </c>
      <c r="G90" s="240" t="s">
        <v>259</v>
      </c>
      <c r="H90" s="112">
        <f>IF(E90="Y",0.5,0)</f>
        <v>0</v>
      </c>
      <c r="I90" s="47"/>
    </row>
    <row r="91" spans="1:9" ht="15.6" x14ac:dyDescent="0.3">
      <c r="A91" s="472" t="s">
        <v>408</v>
      </c>
      <c r="B91" s="472"/>
      <c r="C91" s="472"/>
      <c r="D91" s="472"/>
      <c r="E91" s="472"/>
      <c r="F91" s="472"/>
      <c r="G91" s="472"/>
      <c r="H91" s="331">
        <f>SUM(H88:H90)</f>
        <v>0</v>
      </c>
      <c r="I91" s="61"/>
    </row>
    <row r="92" spans="1:9" ht="15.6" x14ac:dyDescent="0.3">
      <c r="A92" s="53"/>
      <c r="B92" s="473" t="s">
        <v>294</v>
      </c>
      <c r="C92" s="473"/>
      <c r="D92" s="473"/>
      <c r="E92" s="473"/>
      <c r="F92" s="473"/>
      <c r="G92" s="53">
        <v>2</v>
      </c>
      <c r="H92" s="334">
        <f>MIN(SUM(H94:H95),2)</f>
        <v>0</v>
      </c>
      <c r="I92" s="70"/>
    </row>
    <row r="93" spans="1:9" ht="62.4" x14ac:dyDescent="0.3">
      <c r="A93" s="58"/>
      <c r="B93" s="474" t="s">
        <v>409</v>
      </c>
      <c r="C93" s="474"/>
      <c r="D93" s="474"/>
      <c r="E93" s="73"/>
      <c r="F93" s="58"/>
      <c r="G93" s="73" t="s">
        <v>198</v>
      </c>
      <c r="H93" s="330"/>
      <c r="I93" s="250" t="s">
        <v>199</v>
      </c>
    </row>
    <row r="94" spans="1:9" ht="31.2" x14ac:dyDescent="0.3">
      <c r="A94" s="247"/>
      <c r="B94" s="415" t="s">
        <v>410</v>
      </c>
      <c r="C94" s="415"/>
      <c r="D94" s="415"/>
      <c r="E94" s="77"/>
      <c r="F94" s="74" t="s">
        <v>73</v>
      </c>
      <c r="G94" s="384" t="s">
        <v>411</v>
      </c>
      <c r="H94" s="296">
        <f>E94</f>
        <v>0</v>
      </c>
      <c r="I94" s="81" t="s">
        <v>202</v>
      </c>
    </row>
    <row r="95" spans="1:9" ht="31.2" x14ac:dyDescent="0.3">
      <c r="A95" s="75"/>
      <c r="B95" s="415"/>
      <c r="C95" s="415"/>
      <c r="D95" s="415"/>
      <c r="E95" s="77"/>
      <c r="F95" s="74" t="s">
        <v>73</v>
      </c>
      <c r="G95" s="384"/>
      <c r="H95" s="296">
        <f>E95</f>
        <v>0</v>
      </c>
      <c r="I95" s="81" t="s">
        <v>203</v>
      </c>
    </row>
  </sheetData>
  <sheetProtection algorithmName="SHA-512" hashValue="feIo0ZPKuObJP4uG/F2y8FXPpgy/cIlCqy+w+/Knokko99u7a1lblosWxTgYytckzn707m7R8ZBsxseNXYUI7Q==" saltValue="haDe2nMrEX8sTGXXx6axYw==" spinCount="100000" sheet="1" formatCells="0" selectLockedCells="1"/>
  <mergeCells count="104">
    <mergeCell ref="B7:D7"/>
    <mergeCell ref="A8:G8"/>
    <mergeCell ref="B9:D9"/>
    <mergeCell ref="B10:D10"/>
    <mergeCell ref="B11:D11"/>
    <mergeCell ref="A12:G12"/>
    <mergeCell ref="B1:D1"/>
    <mergeCell ref="A2:F2"/>
    <mergeCell ref="B3:F3"/>
    <mergeCell ref="B4:D4"/>
    <mergeCell ref="B5:D5"/>
    <mergeCell ref="B6:D6"/>
    <mergeCell ref="H15:H19"/>
    <mergeCell ref="I15:I19"/>
    <mergeCell ref="B16:C16"/>
    <mergeCell ref="B19:C19"/>
    <mergeCell ref="B13:D13"/>
    <mergeCell ref="A14:A20"/>
    <mergeCell ref="B14:D14"/>
    <mergeCell ref="B15:C15"/>
    <mergeCell ref="D15:D19"/>
    <mergeCell ref="E15:E19"/>
    <mergeCell ref="B20:D20"/>
    <mergeCell ref="A21:G21"/>
    <mergeCell ref="B22:D22"/>
    <mergeCell ref="B23:D23"/>
    <mergeCell ref="A24:A27"/>
    <mergeCell ref="B24:D24"/>
    <mergeCell ref="B25:D25"/>
    <mergeCell ref="G25:G27"/>
    <mergeCell ref="F15:F19"/>
    <mergeCell ref="G15:G19"/>
    <mergeCell ref="H25:H27"/>
    <mergeCell ref="B26:D26"/>
    <mergeCell ref="B27:D27"/>
    <mergeCell ref="A28:A33"/>
    <mergeCell ref="B28:D28"/>
    <mergeCell ref="B29:D29"/>
    <mergeCell ref="B30:D30"/>
    <mergeCell ref="B31:D31"/>
    <mergeCell ref="B32:D32"/>
    <mergeCell ref="B33:D33"/>
    <mergeCell ref="B40:D40"/>
    <mergeCell ref="B41:D41"/>
    <mergeCell ref="B42:D42"/>
    <mergeCell ref="A43:G43"/>
    <mergeCell ref="B44:F44"/>
    <mergeCell ref="B45:D45"/>
    <mergeCell ref="A34:G34"/>
    <mergeCell ref="B35:D35"/>
    <mergeCell ref="B36:D36"/>
    <mergeCell ref="B37:D37"/>
    <mergeCell ref="B38:D38"/>
    <mergeCell ref="A39:G39"/>
    <mergeCell ref="B52:D52"/>
    <mergeCell ref="B53:D53"/>
    <mergeCell ref="B54:D54"/>
    <mergeCell ref="B55:D55"/>
    <mergeCell ref="B56:D56"/>
    <mergeCell ref="A57:G57"/>
    <mergeCell ref="B46:D46"/>
    <mergeCell ref="B47:D47"/>
    <mergeCell ref="B48:D48"/>
    <mergeCell ref="B49:D49"/>
    <mergeCell ref="B50:D50"/>
    <mergeCell ref="A51:G51"/>
    <mergeCell ref="B64:D64"/>
    <mergeCell ref="B65:D65"/>
    <mergeCell ref="B66:D66"/>
    <mergeCell ref="B67:D67"/>
    <mergeCell ref="A68:G68"/>
    <mergeCell ref="B69:F69"/>
    <mergeCell ref="B58:D58"/>
    <mergeCell ref="B59:D59"/>
    <mergeCell ref="B60:D60"/>
    <mergeCell ref="A61:G61"/>
    <mergeCell ref="B62:D62"/>
    <mergeCell ref="B63:D63"/>
    <mergeCell ref="B76:D76"/>
    <mergeCell ref="B77:D77"/>
    <mergeCell ref="A78:G78"/>
    <mergeCell ref="B79:D79"/>
    <mergeCell ref="B80:D80"/>
    <mergeCell ref="A81:G81"/>
    <mergeCell ref="B70:D70"/>
    <mergeCell ref="B71:D71"/>
    <mergeCell ref="A72:G72"/>
    <mergeCell ref="B73:D73"/>
    <mergeCell ref="B74:D74"/>
    <mergeCell ref="B75:D75"/>
    <mergeCell ref="B94:D95"/>
    <mergeCell ref="G94:G95"/>
    <mergeCell ref="B88:D88"/>
    <mergeCell ref="B89:D89"/>
    <mergeCell ref="B90:D90"/>
    <mergeCell ref="A91:G91"/>
    <mergeCell ref="B92:F92"/>
    <mergeCell ref="B93:D93"/>
    <mergeCell ref="B82:D82"/>
    <mergeCell ref="B83:D83"/>
    <mergeCell ref="B84:D84"/>
    <mergeCell ref="A85:G85"/>
    <mergeCell ref="B86:D86"/>
    <mergeCell ref="B87:D87"/>
  </mergeCells>
  <dataValidations count="8">
    <dataValidation allowBlank="1" showErrorMessage="1" sqref="H95" xr:uid="{BC714FBF-33C0-4506-A085-38834FACC103}"/>
    <dataValidation allowBlank="1" showInputMessage="1" showErrorMessage="1" prompt="Please list down short description of your innovation." sqref="I94:I95" xr:uid="{66A6464C-AB25-4AEB-BFC8-5B8004F4E6FB}"/>
    <dataValidation type="decimal" allowBlank="1" showErrorMessage="1" error="Please enter 0.5 or 1 or 1.5 or 2." prompt="Please Enter 0 or 1 or 1.5 or 2." sqref="H94" xr:uid="{0E22BD61-202B-48BC-89D7-C8B8D96ED393}">
      <formula1>0</formula1>
      <formula2>2</formula2>
    </dataValidation>
    <dataValidation type="list" allowBlank="1" showInputMessage="1" showErrorMessage="1" sqref="E6:E7 E41:E42 E37 E47:E50 E84 E60 E65:E67 E55 E80 E88:E90 E25:E26 E76:E77" xr:uid="{0DCD7BD0-0B8C-4293-BBE4-318C1DB7B1D0}">
      <formula1>"Y,N"</formula1>
    </dataValidation>
    <dataValidation type="decimal" allowBlank="1" showInputMessage="1" showErrorMessage="1" sqref="E10:E11 E27:E28 E20 E32:E33 E30" xr:uid="{690D971A-AA34-451B-81F6-A32220EE5D23}">
      <formula1>0</formula1>
      <formula2>100</formula2>
    </dataValidation>
    <dataValidation type="list" allowBlank="1" showInputMessage="1" showErrorMessage="1" sqref="E56 E71 E38 E54 E36" xr:uid="{7AC906DC-F6D7-43B8-BCD3-0FDA3109B38B}">
      <formula1>"A,B"</formula1>
    </dataValidation>
    <dataValidation type="list" showErrorMessage="1" error="Please enter 0.5 or 1 or 1.5 or 2." prompt="Please Enter 0.5 or 1 or 1.5 or 2." sqref="E94:E95" xr:uid="{A59CE850-73B2-4C05-8DE7-969A05461DBC}">
      <formula1>"0, 0.5, 1.0, 1.5, 2.0"</formula1>
    </dataValidation>
    <dataValidation type="decimal" allowBlank="1" showInputMessage="1" showErrorMessage="1" sqref="E29" xr:uid="{DAA0331A-841A-4964-A43A-BD4A4D5CFC45}">
      <formula1>-1000</formula1>
      <formula2>1000</formula2>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4"/>
  <sheetViews>
    <sheetView zoomScaleNormal="100" workbookViewId="0">
      <selection activeCell="C5" sqref="C5"/>
    </sheetView>
  </sheetViews>
  <sheetFormatPr defaultColWidth="8.6640625" defaultRowHeight="15.6" x14ac:dyDescent="0.3"/>
  <cols>
    <col min="1" max="1" width="8.33203125" style="263" customWidth="1"/>
    <col min="2" max="2" width="73.88671875" style="235" customWidth="1"/>
    <col min="3" max="4" width="10.6640625" style="235" customWidth="1"/>
    <col min="5" max="5" width="19" style="235" customWidth="1"/>
    <col min="6" max="6" width="10.6640625" style="235" customWidth="1"/>
    <col min="7" max="7" width="30.6640625" style="235" customWidth="1"/>
    <col min="8" max="9" width="50.6640625" style="235" customWidth="1"/>
    <col min="10" max="10" width="15.5546875" style="235" customWidth="1"/>
    <col min="11" max="11" width="17.33203125" style="235" customWidth="1"/>
    <col min="12" max="16384" width="8.6640625" style="235"/>
  </cols>
  <sheetData>
    <row r="1" spans="1:7" ht="46.8" x14ac:dyDescent="0.3">
      <c r="A1" s="2"/>
      <c r="B1" s="3" t="s">
        <v>412</v>
      </c>
      <c r="C1" s="19" t="s">
        <v>65</v>
      </c>
      <c r="D1" s="19" t="s">
        <v>66</v>
      </c>
      <c r="E1" s="20" t="s">
        <v>103</v>
      </c>
      <c r="F1" s="19" t="s">
        <v>104</v>
      </c>
      <c r="G1" s="3" t="s">
        <v>67</v>
      </c>
    </row>
    <row r="2" spans="1:7" ht="21" x14ac:dyDescent="0.3">
      <c r="A2" s="525" t="s">
        <v>33</v>
      </c>
      <c r="B2" s="525"/>
      <c r="C2" s="525"/>
      <c r="D2" s="525"/>
      <c r="E2" s="21">
        <v>15</v>
      </c>
      <c r="F2" s="22">
        <f>MIN(SUM(F3,F21,F35,F61),15)</f>
        <v>0</v>
      </c>
      <c r="G2" s="23" t="s">
        <v>105</v>
      </c>
    </row>
    <row r="3" spans="1:7" x14ac:dyDescent="0.3">
      <c r="A3" s="24" t="s">
        <v>413</v>
      </c>
      <c r="B3" s="517" t="s">
        <v>56</v>
      </c>
      <c r="C3" s="517"/>
      <c r="D3" s="517"/>
      <c r="E3" s="25">
        <v>5</v>
      </c>
      <c r="F3" s="26">
        <f>MIN(SUM(F20,F10), 5)</f>
        <v>0</v>
      </c>
      <c r="G3" s="24"/>
    </row>
    <row r="4" spans="1:7" x14ac:dyDescent="0.3">
      <c r="A4" s="27" t="s">
        <v>414</v>
      </c>
      <c r="B4" s="28" t="s">
        <v>415</v>
      </c>
      <c r="C4" s="28"/>
      <c r="D4" s="29"/>
      <c r="E4" s="30"/>
      <c r="F4" s="31"/>
      <c r="G4" s="30"/>
    </row>
    <row r="5" spans="1:7" ht="31.2" x14ac:dyDescent="0.3">
      <c r="A5" s="6" t="s">
        <v>75</v>
      </c>
      <c r="B5" s="7" t="s">
        <v>416</v>
      </c>
      <c r="C5" s="10"/>
      <c r="D5" s="32" t="s">
        <v>70</v>
      </c>
      <c r="E5" s="240" t="s">
        <v>130</v>
      </c>
      <c r="F5" s="33">
        <f>IF(C5="Y",2,0)</f>
        <v>0</v>
      </c>
      <c r="G5" s="48"/>
    </row>
    <row r="6" spans="1:7" ht="31.2" x14ac:dyDescent="0.3">
      <c r="A6" s="429" t="s">
        <v>77</v>
      </c>
      <c r="B6" s="7" t="s">
        <v>417</v>
      </c>
      <c r="C6" s="34"/>
      <c r="D6" s="32"/>
      <c r="E6" s="240"/>
      <c r="F6" s="33"/>
      <c r="G6" s="47"/>
    </row>
    <row r="7" spans="1:7" x14ac:dyDescent="0.3">
      <c r="A7" s="429"/>
      <c r="B7" s="7" t="s">
        <v>418</v>
      </c>
      <c r="C7" s="35" t="s">
        <v>141</v>
      </c>
      <c r="D7" s="32" t="s">
        <v>141</v>
      </c>
      <c r="E7" s="11" t="s">
        <v>141</v>
      </c>
      <c r="F7" s="32" t="s">
        <v>141</v>
      </c>
      <c r="G7" s="47"/>
    </row>
    <row r="8" spans="1:7" ht="31.2" x14ac:dyDescent="0.3">
      <c r="A8" s="429"/>
      <c r="B8" s="7" t="s">
        <v>419</v>
      </c>
      <c r="C8" s="35" t="s">
        <v>141</v>
      </c>
      <c r="D8" s="32" t="s">
        <v>141</v>
      </c>
      <c r="E8" s="11" t="s">
        <v>141</v>
      </c>
      <c r="F8" s="32" t="s">
        <v>141</v>
      </c>
      <c r="G8" s="47"/>
    </row>
    <row r="9" spans="1:7" ht="46.8" x14ac:dyDescent="0.3">
      <c r="A9" s="6" t="s">
        <v>80</v>
      </c>
      <c r="B9" s="7" t="s">
        <v>420</v>
      </c>
      <c r="C9" s="10"/>
      <c r="D9" s="32" t="s">
        <v>70</v>
      </c>
      <c r="E9" s="240" t="s">
        <v>113</v>
      </c>
      <c r="F9" s="33">
        <f>IF(C9="Y",1,0)</f>
        <v>0</v>
      </c>
      <c r="G9" s="47"/>
    </row>
    <row r="10" spans="1:7" x14ac:dyDescent="0.3">
      <c r="A10" s="36"/>
      <c r="B10" s="518" t="s">
        <v>421</v>
      </c>
      <c r="C10" s="518"/>
      <c r="D10" s="518"/>
      <c r="E10" s="518"/>
      <c r="F10" s="37">
        <f>SUM(F5:F9)</f>
        <v>0</v>
      </c>
      <c r="G10" s="38"/>
    </row>
    <row r="11" spans="1:7" x14ac:dyDescent="0.3">
      <c r="A11" s="27" t="s">
        <v>422</v>
      </c>
      <c r="B11" s="28" t="s">
        <v>423</v>
      </c>
      <c r="C11" s="28"/>
      <c r="D11" s="29"/>
      <c r="E11" s="30"/>
      <c r="F11" s="31"/>
      <c r="G11" s="30"/>
    </row>
    <row r="12" spans="1:7" ht="46.8" x14ac:dyDescent="0.3">
      <c r="A12" s="6"/>
      <c r="B12" s="337" t="s">
        <v>513</v>
      </c>
      <c r="C12" s="32"/>
      <c r="D12" s="32"/>
      <c r="E12" s="68"/>
      <c r="F12" s="33"/>
      <c r="G12" s="47"/>
    </row>
    <row r="13" spans="1:7" ht="31.2" x14ac:dyDescent="0.3">
      <c r="A13" s="371" t="s">
        <v>75</v>
      </c>
      <c r="B13" s="7" t="s">
        <v>424</v>
      </c>
      <c r="C13" s="34"/>
      <c r="D13" s="32"/>
      <c r="E13" s="240"/>
      <c r="F13" s="33"/>
      <c r="G13" s="47"/>
    </row>
    <row r="14" spans="1:7" ht="31.2" x14ac:dyDescent="0.3">
      <c r="A14" s="372"/>
      <c r="B14" s="9" t="s">
        <v>425</v>
      </c>
      <c r="C14" s="10"/>
      <c r="D14" s="32" t="s">
        <v>70</v>
      </c>
      <c r="E14" s="40" t="s">
        <v>113</v>
      </c>
      <c r="F14" s="33">
        <f>IF(C14="Y",1,0)</f>
        <v>0</v>
      </c>
      <c r="G14" s="47"/>
    </row>
    <row r="15" spans="1:7" ht="31.2" x14ac:dyDescent="0.3">
      <c r="A15" s="524"/>
      <c r="B15" s="7" t="s">
        <v>426</v>
      </c>
      <c r="C15" s="10"/>
      <c r="D15" s="32" t="s">
        <v>70</v>
      </c>
      <c r="E15" s="40" t="s">
        <v>113</v>
      </c>
      <c r="F15" s="33">
        <f>IF(C15="Y",1,0)</f>
        <v>0</v>
      </c>
      <c r="G15" s="47"/>
    </row>
    <row r="16" spans="1:7" x14ac:dyDescent="0.3">
      <c r="A16" s="371" t="s">
        <v>77</v>
      </c>
      <c r="B16" s="41" t="s">
        <v>427</v>
      </c>
      <c r="C16" s="34"/>
      <c r="D16" s="32"/>
      <c r="E16" s="240"/>
      <c r="F16" s="33"/>
      <c r="G16" s="47"/>
    </row>
    <row r="17" spans="1:7" ht="46.8" x14ac:dyDescent="0.3">
      <c r="A17" s="372"/>
      <c r="B17" s="7" t="s">
        <v>428</v>
      </c>
      <c r="C17" s="10"/>
      <c r="D17" s="32" t="s">
        <v>70</v>
      </c>
      <c r="E17" s="240" t="s">
        <v>113</v>
      </c>
      <c r="F17" s="33">
        <f>IF(C17="Y",1,0)</f>
        <v>0</v>
      </c>
      <c r="G17" s="47"/>
    </row>
    <row r="18" spans="1:7" x14ac:dyDescent="0.3">
      <c r="A18" s="524"/>
      <c r="B18" s="7" t="s">
        <v>534</v>
      </c>
      <c r="C18" s="10"/>
      <c r="D18" s="32" t="s">
        <v>70</v>
      </c>
      <c r="E18" s="240" t="s">
        <v>113</v>
      </c>
      <c r="F18" s="33">
        <f>IF(C18="Y",1,0)</f>
        <v>0</v>
      </c>
      <c r="G18" s="47"/>
    </row>
    <row r="19" spans="1:7" ht="60.9" customHeight="1" x14ac:dyDescent="0.3">
      <c r="A19" s="244" t="s">
        <v>80</v>
      </c>
      <c r="B19" s="7" t="s">
        <v>429</v>
      </c>
      <c r="C19" s="10"/>
      <c r="D19" s="32" t="s">
        <v>70</v>
      </c>
      <c r="E19" s="240" t="s">
        <v>113</v>
      </c>
      <c r="F19" s="33">
        <f>IF(C19="Y",1,0)</f>
        <v>0</v>
      </c>
      <c r="G19" s="47"/>
    </row>
    <row r="20" spans="1:7" x14ac:dyDescent="0.3">
      <c r="A20" s="36"/>
      <c r="B20" s="518" t="s">
        <v>430</v>
      </c>
      <c r="C20" s="518"/>
      <c r="D20" s="518"/>
      <c r="E20" s="518"/>
      <c r="F20" s="37">
        <f>SUM(F14:F19)</f>
        <v>0</v>
      </c>
      <c r="G20" s="38"/>
    </row>
    <row r="21" spans="1:7" x14ac:dyDescent="0.3">
      <c r="A21" s="24" t="s">
        <v>431</v>
      </c>
      <c r="B21" s="517" t="s">
        <v>58</v>
      </c>
      <c r="C21" s="517"/>
      <c r="D21" s="517"/>
      <c r="E21" s="25">
        <v>5</v>
      </c>
      <c r="F21" s="26">
        <f>MIN(SUM(F26,F31, F34),5)</f>
        <v>0</v>
      </c>
      <c r="G21" s="24"/>
    </row>
    <row r="22" spans="1:7" x14ac:dyDescent="0.3">
      <c r="A22" s="27" t="s">
        <v>432</v>
      </c>
      <c r="B22" s="28" t="s">
        <v>433</v>
      </c>
      <c r="C22" s="28"/>
      <c r="D22" s="29"/>
      <c r="E22" s="30"/>
      <c r="F22" s="31"/>
      <c r="G22" s="30"/>
    </row>
    <row r="23" spans="1:7" ht="46.8" x14ac:dyDescent="0.3">
      <c r="A23" s="244" t="s">
        <v>75</v>
      </c>
      <c r="B23" s="7" t="s">
        <v>434</v>
      </c>
      <c r="C23" s="10"/>
      <c r="D23" s="32" t="s">
        <v>70</v>
      </c>
      <c r="E23" s="240" t="s">
        <v>113</v>
      </c>
      <c r="F23" s="33">
        <f>IF(C23="Y",1,0)</f>
        <v>0</v>
      </c>
      <c r="G23" s="47"/>
    </row>
    <row r="24" spans="1:7" ht="62.4" x14ac:dyDescent="0.3">
      <c r="A24" s="244" t="s">
        <v>77</v>
      </c>
      <c r="B24" s="7" t="s">
        <v>435</v>
      </c>
      <c r="C24" s="10"/>
      <c r="D24" s="32" t="s">
        <v>70</v>
      </c>
      <c r="E24" s="240" t="s">
        <v>130</v>
      </c>
      <c r="F24" s="33">
        <f>IF(C24="Y",2,0)</f>
        <v>0</v>
      </c>
      <c r="G24" s="47"/>
    </row>
    <row r="25" spans="1:7" ht="31.2" x14ac:dyDescent="0.3">
      <c r="A25" s="244" t="s">
        <v>80</v>
      </c>
      <c r="B25" s="7" t="s">
        <v>436</v>
      </c>
      <c r="C25" s="10"/>
      <c r="D25" s="32" t="s">
        <v>70</v>
      </c>
      <c r="E25" s="240" t="s">
        <v>113</v>
      </c>
      <c r="F25" s="33">
        <f>IF(C25="Y",1,0)</f>
        <v>0</v>
      </c>
      <c r="G25" s="47"/>
    </row>
    <row r="26" spans="1:7" x14ac:dyDescent="0.3">
      <c r="A26" s="36"/>
      <c r="B26" s="518" t="s">
        <v>437</v>
      </c>
      <c r="C26" s="518"/>
      <c r="D26" s="518"/>
      <c r="E26" s="518"/>
      <c r="F26" s="37">
        <f>SUM(F23:F25)</f>
        <v>0</v>
      </c>
      <c r="G26" s="38"/>
    </row>
    <row r="27" spans="1:7" x14ac:dyDescent="0.3">
      <c r="A27" s="27" t="s">
        <v>438</v>
      </c>
      <c r="B27" s="28" t="s">
        <v>439</v>
      </c>
      <c r="C27" s="28"/>
      <c r="D27" s="29"/>
      <c r="E27" s="30"/>
      <c r="F27" s="31"/>
      <c r="G27" s="30"/>
    </row>
    <row r="28" spans="1:7" ht="62.4" x14ac:dyDescent="0.3">
      <c r="A28" s="244" t="s">
        <v>75</v>
      </c>
      <c r="B28" s="335" t="s">
        <v>440</v>
      </c>
      <c r="C28" s="10"/>
      <c r="D28" s="32" t="s">
        <v>70</v>
      </c>
      <c r="E28" s="42" t="s">
        <v>169</v>
      </c>
      <c r="F28" s="33">
        <f>IF(C28="Y",0.5,0)</f>
        <v>0</v>
      </c>
      <c r="G28" s="47"/>
    </row>
    <row r="29" spans="1:7" ht="31.2" x14ac:dyDescent="0.3">
      <c r="A29" s="244" t="s">
        <v>77</v>
      </c>
      <c r="B29" s="335" t="s">
        <v>441</v>
      </c>
      <c r="C29" s="10"/>
      <c r="D29" s="32" t="s">
        <v>70</v>
      </c>
      <c r="E29" s="42" t="s">
        <v>169</v>
      </c>
      <c r="F29" s="33">
        <f t="shared" ref="F29:F30" si="0">IF(C29="Y",0.5,0)</f>
        <v>0</v>
      </c>
      <c r="G29" s="49"/>
    </row>
    <row r="30" spans="1:7" ht="31.2" x14ac:dyDescent="0.3">
      <c r="A30" s="244" t="s">
        <v>80</v>
      </c>
      <c r="B30" s="335" t="s">
        <v>442</v>
      </c>
      <c r="C30" s="10"/>
      <c r="D30" s="32" t="s">
        <v>70</v>
      </c>
      <c r="E30" s="42" t="s">
        <v>169</v>
      </c>
      <c r="F30" s="33">
        <f t="shared" si="0"/>
        <v>0</v>
      </c>
      <c r="G30" s="49"/>
    </row>
    <row r="31" spans="1:7" x14ac:dyDescent="0.3">
      <c r="A31" s="36"/>
      <c r="B31" s="518" t="s">
        <v>443</v>
      </c>
      <c r="C31" s="518"/>
      <c r="D31" s="518"/>
      <c r="E31" s="518"/>
      <c r="F31" s="37">
        <f>SUM(F28:F30)</f>
        <v>0</v>
      </c>
      <c r="G31" s="38"/>
    </row>
    <row r="32" spans="1:7" x14ac:dyDescent="0.3">
      <c r="A32" s="27" t="s">
        <v>444</v>
      </c>
      <c r="B32" s="28" t="s">
        <v>445</v>
      </c>
      <c r="C32" s="28"/>
      <c r="D32" s="29"/>
      <c r="E32" s="30"/>
      <c r="F32" s="31"/>
      <c r="G32" s="30"/>
    </row>
    <row r="33" spans="1:7" ht="109.2" x14ac:dyDescent="0.3">
      <c r="A33" s="244" t="s">
        <v>75</v>
      </c>
      <c r="B33" s="335" t="s">
        <v>446</v>
      </c>
      <c r="C33" s="10"/>
      <c r="D33" s="32" t="s">
        <v>70</v>
      </c>
      <c r="E33" s="42" t="s">
        <v>130</v>
      </c>
      <c r="F33" s="33">
        <f>IF(C33="Y",2,0)</f>
        <v>0</v>
      </c>
      <c r="G33" s="47"/>
    </row>
    <row r="34" spans="1:7" x14ac:dyDescent="0.3">
      <c r="A34" s="36"/>
      <c r="B34" s="518" t="s">
        <v>447</v>
      </c>
      <c r="C34" s="518"/>
      <c r="D34" s="518"/>
      <c r="E34" s="518"/>
      <c r="F34" s="37">
        <f>SUM(F33:F33)</f>
        <v>0</v>
      </c>
      <c r="G34" s="38"/>
    </row>
    <row r="35" spans="1:7" x14ac:dyDescent="0.3">
      <c r="A35" s="24" t="s">
        <v>448</v>
      </c>
      <c r="B35" s="517" t="s">
        <v>60</v>
      </c>
      <c r="C35" s="517"/>
      <c r="D35" s="517"/>
      <c r="E35" s="25">
        <v>5</v>
      </c>
      <c r="F35" s="26">
        <f>MIN(SUM(F41,F46,F49, F52, F60),5)</f>
        <v>0</v>
      </c>
      <c r="G35" s="24"/>
    </row>
    <row r="36" spans="1:7" x14ac:dyDescent="0.3">
      <c r="A36" s="27" t="s">
        <v>449</v>
      </c>
      <c r="B36" s="28" t="s">
        <v>450</v>
      </c>
      <c r="C36" s="28"/>
      <c r="D36" s="29"/>
      <c r="E36" s="30"/>
      <c r="F36" s="31"/>
      <c r="G36" s="30"/>
    </row>
    <row r="37" spans="1:7" ht="46.8" x14ac:dyDescent="0.3">
      <c r="A37" s="244" t="s">
        <v>75</v>
      </c>
      <c r="B37" s="7" t="s">
        <v>451</v>
      </c>
      <c r="C37" s="10"/>
      <c r="D37" s="32" t="s">
        <v>70</v>
      </c>
      <c r="E37" s="240" t="s">
        <v>169</v>
      </c>
      <c r="F37" s="33">
        <f>IF(C37="Y",0.5,0)</f>
        <v>0</v>
      </c>
      <c r="G37" s="47"/>
    </row>
    <row r="38" spans="1:7" ht="46.8" x14ac:dyDescent="0.3">
      <c r="A38" s="244" t="s">
        <v>77</v>
      </c>
      <c r="B38" s="252" t="s">
        <v>452</v>
      </c>
      <c r="C38" s="10"/>
      <c r="D38" s="32" t="s">
        <v>70</v>
      </c>
      <c r="E38" s="240" t="s">
        <v>113</v>
      </c>
      <c r="F38" s="33">
        <f>IF(C38="Y",1,0)</f>
        <v>0</v>
      </c>
      <c r="G38" s="47"/>
    </row>
    <row r="39" spans="1:7" ht="62.4" x14ac:dyDescent="0.3">
      <c r="A39" s="244" t="s">
        <v>80</v>
      </c>
      <c r="B39" s="252" t="s">
        <v>453</v>
      </c>
      <c r="C39" s="10"/>
      <c r="D39" s="32" t="s">
        <v>70</v>
      </c>
      <c r="E39" s="240" t="s">
        <v>169</v>
      </c>
      <c r="F39" s="33">
        <f>IF(C39="Y",0.5,0)</f>
        <v>0</v>
      </c>
      <c r="G39" s="47"/>
    </row>
    <row r="40" spans="1:7" ht="46.8" x14ac:dyDescent="0.3">
      <c r="A40" s="244" t="s">
        <v>85</v>
      </c>
      <c r="B40" s="252" t="s">
        <v>454</v>
      </c>
      <c r="C40" s="10"/>
      <c r="D40" s="32" t="s">
        <v>70</v>
      </c>
      <c r="E40" s="240" t="s">
        <v>113</v>
      </c>
      <c r="F40" s="33">
        <f>IF(C40="Y",1,0)</f>
        <v>0</v>
      </c>
      <c r="G40" s="47"/>
    </row>
    <row r="41" spans="1:7" x14ac:dyDescent="0.3">
      <c r="A41" s="36"/>
      <c r="B41" s="518" t="s">
        <v>455</v>
      </c>
      <c r="C41" s="518"/>
      <c r="D41" s="518"/>
      <c r="E41" s="518"/>
      <c r="F41" s="37">
        <f>SUM(F37:F40)</f>
        <v>0</v>
      </c>
      <c r="G41" s="38"/>
    </row>
    <row r="42" spans="1:7" x14ac:dyDescent="0.3">
      <c r="A42" s="27" t="s">
        <v>456</v>
      </c>
      <c r="B42" s="28" t="s">
        <v>457</v>
      </c>
      <c r="C42" s="28"/>
      <c r="D42" s="29"/>
      <c r="E42" s="30"/>
      <c r="F42" s="31"/>
      <c r="G42" s="30"/>
    </row>
    <row r="43" spans="1:7" x14ac:dyDescent="0.3">
      <c r="A43" s="8"/>
      <c r="B43" s="9" t="s">
        <v>458</v>
      </c>
      <c r="C43" s="34"/>
      <c r="D43" s="32"/>
      <c r="E43" s="240"/>
      <c r="F43" s="33"/>
      <c r="G43" s="47"/>
    </row>
    <row r="44" spans="1:7" ht="31.2" x14ac:dyDescent="0.3">
      <c r="A44" s="244" t="s">
        <v>75</v>
      </c>
      <c r="B44" s="43" t="s">
        <v>459</v>
      </c>
      <c r="C44" s="10"/>
      <c r="D44" s="32" t="s">
        <v>70</v>
      </c>
      <c r="E44" s="240" t="s">
        <v>169</v>
      </c>
      <c r="F44" s="33">
        <f>IF(C44="Y",0.5,0)</f>
        <v>0</v>
      </c>
      <c r="G44" s="47"/>
    </row>
    <row r="45" spans="1:7" x14ac:dyDescent="0.3">
      <c r="A45" s="244" t="s">
        <v>77</v>
      </c>
      <c r="B45" s="43" t="s">
        <v>460</v>
      </c>
      <c r="C45" s="10"/>
      <c r="D45" s="32" t="s">
        <v>70</v>
      </c>
      <c r="E45" s="240" t="s">
        <v>169</v>
      </c>
      <c r="F45" s="33">
        <f>IF(C45="Y",0.5,0)</f>
        <v>0</v>
      </c>
      <c r="G45" s="47"/>
    </row>
    <row r="46" spans="1:7" ht="15.6" customHeight="1" x14ac:dyDescent="0.3">
      <c r="A46" s="36"/>
      <c r="B46" s="518" t="s">
        <v>461</v>
      </c>
      <c r="C46" s="518"/>
      <c r="D46" s="518"/>
      <c r="E46" s="518"/>
      <c r="F46" s="37">
        <f>SUM(F44:F45)</f>
        <v>0</v>
      </c>
      <c r="G46" s="38"/>
    </row>
    <row r="47" spans="1:7" ht="31.2" x14ac:dyDescent="0.3">
      <c r="A47" s="27" t="s">
        <v>462</v>
      </c>
      <c r="B47" s="28" t="s">
        <v>463</v>
      </c>
      <c r="C47" s="28"/>
      <c r="D47" s="29"/>
      <c r="E47" s="30"/>
      <c r="F47" s="31"/>
      <c r="G47" s="30"/>
    </row>
    <row r="48" spans="1:7" ht="31.2" x14ac:dyDescent="0.3">
      <c r="A48" s="336"/>
      <c r="B48" s="43" t="s">
        <v>464</v>
      </c>
      <c r="C48" s="10"/>
      <c r="D48" s="32" t="s">
        <v>70</v>
      </c>
      <c r="E48" s="240" t="s">
        <v>113</v>
      </c>
      <c r="F48" s="33">
        <f>IF(C48="Y",1,0)</f>
        <v>0</v>
      </c>
      <c r="G48" s="47"/>
    </row>
    <row r="49" spans="1:7" ht="15.6" customHeight="1" x14ac:dyDescent="0.3">
      <c r="A49" s="36"/>
      <c r="B49" s="518" t="s">
        <v>465</v>
      </c>
      <c r="C49" s="518"/>
      <c r="D49" s="518"/>
      <c r="E49" s="518"/>
      <c r="F49" s="37">
        <f>SUM(F48:F48)</f>
        <v>0</v>
      </c>
      <c r="G49" s="38"/>
    </row>
    <row r="50" spans="1:7" x14ac:dyDescent="0.3">
      <c r="A50" s="27" t="s">
        <v>466</v>
      </c>
      <c r="B50" s="28" t="s">
        <v>467</v>
      </c>
      <c r="C50" s="28"/>
      <c r="D50" s="29"/>
      <c r="E50" s="30"/>
      <c r="F50" s="31"/>
      <c r="G50" s="30"/>
    </row>
    <row r="51" spans="1:7" ht="46.8" x14ac:dyDescent="0.3">
      <c r="A51" s="336"/>
      <c r="B51" s="43" t="s">
        <v>468</v>
      </c>
      <c r="C51" s="10"/>
      <c r="D51" s="32" t="s">
        <v>70</v>
      </c>
      <c r="E51" s="240" t="s">
        <v>113</v>
      </c>
      <c r="F51" s="33">
        <f>IF(C51="Y",1,0)</f>
        <v>0</v>
      </c>
      <c r="G51" s="47"/>
    </row>
    <row r="52" spans="1:7" ht="15.6" customHeight="1" x14ac:dyDescent="0.3">
      <c r="A52" s="36"/>
      <c r="B52" s="518" t="s">
        <v>469</v>
      </c>
      <c r="C52" s="518"/>
      <c r="D52" s="518"/>
      <c r="E52" s="518"/>
      <c r="F52" s="37">
        <f>SUM(F51:F51)</f>
        <v>0</v>
      </c>
      <c r="G52" s="38"/>
    </row>
    <row r="53" spans="1:7" x14ac:dyDescent="0.3">
      <c r="A53" s="27" t="s">
        <v>470</v>
      </c>
      <c r="B53" s="28" t="s">
        <v>471</v>
      </c>
      <c r="C53" s="28"/>
      <c r="D53" s="29"/>
      <c r="E53" s="30"/>
      <c r="F53" s="31"/>
      <c r="G53" s="30"/>
    </row>
    <row r="54" spans="1:7" ht="93.6" x14ac:dyDescent="0.3">
      <c r="A54" s="244" t="s">
        <v>75</v>
      </c>
      <c r="B54" s="43" t="s">
        <v>472</v>
      </c>
      <c r="C54" s="10"/>
      <c r="D54" s="32" t="s">
        <v>70</v>
      </c>
      <c r="E54" s="240" t="s">
        <v>169</v>
      </c>
      <c r="F54" s="33">
        <f>IF(C54="Y",0.5,0)</f>
        <v>0</v>
      </c>
      <c r="G54" s="47"/>
    </row>
    <row r="55" spans="1:7" ht="46.8" x14ac:dyDescent="0.3">
      <c r="A55" s="244" t="s">
        <v>77</v>
      </c>
      <c r="B55" s="43" t="s">
        <v>473</v>
      </c>
      <c r="C55" s="10"/>
      <c r="D55" s="32" t="s">
        <v>70</v>
      </c>
      <c r="E55" s="240" t="s">
        <v>169</v>
      </c>
      <c r="F55" s="33">
        <f t="shared" ref="F55" si="1">IF(C55="Y",0.5,0)</f>
        <v>0</v>
      </c>
      <c r="G55" s="47"/>
    </row>
    <row r="56" spans="1:7" ht="46.8" x14ac:dyDescent="0.3">
      <c r="A56" s="371" t="s">
        <v>80</v>
      </c>
      <c r="B56" s="43" t="s">
        <v>474</v>
      </c>
      <c r="C56" s="35" t="s">
        <v>141</v>
      </c>
      <c r="D56" s="32" t="s">
        <v>141</v>
      </c>
      <c r="E56" s="11" t="s">
        <v>141</v>
      </c>
      <c r="F56" s="32" t="s">
        <v>141</v>
      </c>
      <c r="G56" s="47"/>
    </row>
    <row r="57" spans="1:7" x14ac:dyDescent="0.3">
      <c r="A57" s="524"/>
      <c r="B57" s="43" t="s">
        <v>475</v>
      </c>
      <c r="C57" s="35" t="s">
        <v>141</v>
      </c>
      <c r="D57" s="32" t="s">
        <v>141</v>
      </c>
      <c r="E57" s="11" t="s">
        <v>141</v>
      </c>
      <c r="F57" s="32" t="s">
        <v>141</v>
      </c>
      <c r="G57" s="47"/>
    </row>
    <row r="58" spans="1:7" ht="46.8" x14ac:dyDescent="0.3">
      <c r="A58" s="371" t="s">
        <v>85</v>
      </c>
      <c r="B58" s="43" t="s">
        <v>476</v>
      </c>
      <c r="C58" s="35" t="s">
        <v>141</v>
      </c>
      <c r="D58" s="32" t="s">
        <v>141</v>
      </c>
      <c r="E58" s="11" t="s">
        <v>141</v>
      </c>
      <c r="F58" s="32" t="s">
        <v>141</v>
      </c>
      <c r="G58" s="47"/>
    </row>
    <row r="59" spans="1:7" x14ac:dyDescent="0.3">
      <c r="A59" s="524"/>
      <c r="B59" s="43" t="s">
        <v>477</v>
      </c>
      <c r="C59" s="35" t="s">
        <v>141</v>
      </c>
      <c r="D59" s="32" t="s">
        <v>141</v>
      </c>
      <c r="E59" s="11" t="s">
        <v>141</v>
      </c>
      <c r="F59" s="32" t="s">
        <v>141</v>
      </c>
      <c r="G59" s="47"/>
    </row>
    <row r="60" spans="1:7" ht="15.6" customHeight="1" x14ac:dyDescent="0.3">
      <c r="A60" s="36"/>
      <c r="B60" s="518" t="s">
        <v>478</v>
      </c>
      <c r="C60" s="518"/>
      <c r="D60" s="518"/>
      <c r="E60" s="518"/>
      <c r="F60" s="37">
        <f>SUM(F54:F59)</f>
        <v>0</v>
      </c>
      <c r="G60" s="38"/>
    </row>
    <row r="61" spans="1:7" x14ac:dyDescent="0.3">
      <c r="A61" s="24"/>
      <c r="B61" s="517" t="s">
        <v>479</v>
      </c>
      <c r="C61" s="517"/>
      <c r="D61" s="517"/>
      <c r="E61" s="25">
        <v>2</v>
      </c>
      <c r="F61" s="26">
        <f>MIN(SUM(F63:F64),2)</f>
        <v>0</v>
      </c>
      <c r="G61" s="24"/>
    </row>
    <row r="62" spans="1:7" ht="62.4" x14ac:dyDescent="0.3">
      <c r="A62" s="27"/>
      <c r="B62" s="28" t="s">
        <v>480</v>
      </c>
      <c r="C62" s="28"/>
      <c r="D62" s="521" t="s">
        <v>198</v>
      </c>
      <c r="E62" s="522"/>
      <c r="F62" s="523"/>
      <c r="G62" s="46" t="s">
        <v>199</v>
      </c>
    </row>
    <row r="63" spans="1:7" ht="151.5" customHeight="1" x14ac:dyDescent="0.3">
      <c r="A63" s="429"/>
      <c r="B63" s="519" t="s">
        <v>535</v>
      </c>
      <c r="C63" s="10"/>
      <c r="D63" s="32" t="s">
        <v>73</v>
      </c>
      <c r="E63" s="388" t="s">
        <v>481</v>
      </c>
      <c r="F63" s="296">
        <f>C63</f>
        <v>0</v>
      </c>
      <c r="G63" s="78" t="s">
        <v>202</v>
      </c>
    </row>
    <row r="64" spans="1:7" ht="160.5" customHeight="1" x14ac:dyDescent="0.3">
      <c r="A64" s="429"/>
      <c r="B64" s="520"/>
      <c r="C64" s="10"/>
      <c r="D64" s="32" t="s">
        <v>73</v>
      </c>
      <c r="E64" s="389"/>
      <c r="F64" s="296">
        <f>C64</f>
        <v>0</v>
      </c>
      <c r="G64" s="269" t="s">
        <v>482</v>
      </c>
    </row>
  </sheetData>
  <sheetProtection algorithmName="SHA-512" hashValue="i93YkBDeusJY9KKT0NGWP9Sh6k9NCrJbe+yFxcFbOgeOIqbNLVjNJHYN0aIPpIc5cwrlUyOPU2Pmrcc6SuvyTw==" saltValue="F0LvxnfctCb6VG+WXl7WnQ==" spinCount="100000" sheet="1" formatCells="0" selectLockedCells="1"/>
  <mergeCells count="24">
    <mergeCell ref="A2:D2"/>
    <mergeCell ref="B3:D3"/>
    <mergeCell ref="B10:E10"/>
    <mergeCell ref="B20:E20"/>
    <mergeCell ref="A6:A8"/>
    <mergeCell ref="A16:A18"/>
    <mergeCell ref="A13:A15"/>
    <mergeCell ref="B63:B64"/>
    <mergeCell ref="A63:A64"/>
    <mergeCell ref="B26:E26"/>
    <mergeCell ref="B31:E31"/>
    <mergeCell ref="B41:E41"/>
    <mergeCell ref="B61:D61"/>
    <mergeCell ref="B52:E52"/>
    <mergeCell ref="B60:E60"/>
    <mergeCell ref="D62:F62"/>
    <mergeCell ref="E63:E64"/>
    <mergeCell ref="A56:A57"/>
    <mergeCell ref="A58:A59"/>
    <mergeCell ref="B21:D21"/>
    <mergeCell ref="B35:D35"/>
    <mergeCell ref="B46:E46"/>
    <mergeCell ref="B49:E49"/>
    <mergeCell ref="B34:E34"/>
  </mergeCells>
  <conditionalFormatting sqref="E12">
    <cfRule type="expression" dxfId="0" priority="1">
      <formula>$E$12="Assessor, Please check GM application date"</formula>
    </cfRule>
  </conditionalFormatting>
  <dataValidations count="3">
    <dataValidation type="list" allowBlank="1" showInputMessage="1" showErrorMessage="1" sqref="C33 C23:C25 C37:C40 C48 C5 C9 C28:C30 C51 C17:C19 C14:C15 C44:C45 C54:C55" xr:uid="{00000000-0002-0000-0600-000000000000}">
      <formula1>"Y,N"</formula1>
    </dataValidation>
    <dataValidation type="decimal" allowBlank="1" showErrorMessage="1" error="Please enter 0.5 or 1 or 1.5 or 2." prompt="Please Enter 0 or 1 or 1.5 or 2." sqref="F63:F64" xr:uid="{00000000-0002-0000-0600-000001000000}">
      <formula1>0</formula1>
      <formula2>2</formula2>
    </dataValidation>
    <dataValidation allowBlank="1" showInputMessage="1" showErrorMessage="1" prompt="Please list down short description of your innovation." sqref="G63:G64" xr:uid="{00000000-0002-0000-0600-000002000000}"/>
  </dataValidations>
  <pageMargins left="0.7" right="0.7" top="0.75" bottom="0.75" header="0.3" footer="0.3"/>
  <pageSetup paperSize="9" orientation="portrait" r:id="rId1"/>
  <ignoredErrors>
    <ignoredError sqref="F38:F39 F24"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4"/>
  <sheetViews>
    <sheetView zoomScale="85" zoomScaleNormal="85" workbookViewId="0">
      <selection activeCell="H6" sqref="H6"/>
    </sheetView>
  </sheetViews>
  <sheetFormatPr defaultRowHeight="15.6" x14ac:dyDescent="0.3"/>
  <cols>
    <col min="1" max="1" width="8.33203125" style="1" customWidth="1"/>
    <col min="2" max="2" width="65.6640625" customWidth="1"/>
    <col min="3" max="3" width="9.44140625" customWidth="1"/>
    <col min="4" max="4" width="12.44140625" customWidth="1"/>
    <col min="5" max="6" width="12" style="13" customWidth="1"/>
    <col min="7" max="7" width="18.44140625" customWidth="1"/>
    <col min="8" max="8" width="50.44140625" style="281" customWidth="1"/>
    <col min="9" max="9" width="50.6640625" style="281" customWidth="1"/>
    <col min="10" max="10" width="17.33203125" hidden="1" customWidth="1"/>
    <col min="11" max="14" width="9.109375" hidden="1" customWidth="1"/>
  </cols>
  <sheetData>
    <row r="1" spans="1:14" ht="16.2" thickBot="1" x14ac:dyDescent="0.35">
      <c r="H1" s="258"/>
      <c r="I1" s="258"/>
    </row>
    <row r="2" spans="1:14" ht="21" x14ac:dyDescent="0.3">
      <c r="A2" s="527" t="s">
        <v>483</v>
      </c>
      <c r="B2" s="528"/>
      <c r="C2" s="528"/>
      <c r="D2" s="528"/>
      <c r="E2" s="528"/>
      <c r="F2" s="528"/>
      <c r="G2" s="529"/>
      <c r="H2" s="258"/>
      <c r="I2" s="258"/>
    </row>
    <row r="3" spans="1:14" ht="85.5" customHeight="1" x14ac:dyDescent="0.3">
      <c r="A3" s="541"/>
      <c r="B3" s="542"/>
      <c r="C3" s="542"/>
      <c r="D3" s="542"/>
      <c r="E3" s="542"/>
      <c r="F3" s="542"/>
      <c r="G3" s="543"/>
      <c r="H3" s="258"/>
      <c r="I3" s="258"/>
    </row>
    <row r="4" spans="1:14" ht="190.5" customHeight="1" thickBot="1" x14ac:dyDescent="0.35">
      <c r="A4" s="544" t="s">
        <v>484</v>
      </c>
      <c r="B4" s="545"/>
      <c r="C4" s="545"/>
      <c r="D4" s="545"/>
      <c r="E4" s="545"/>
      <c r="F4" s="545"/>
      <c r="G4" s="546"/>
      <c r="H4" s="258"/>
      <c r="I4" s="258"/>
    </row>
    <row r="5" spans="1:14" x14ac:dyDescent="0.3">
      <c r="H5" s="258"/>
      <c r="I5" s="258"/>
    </row>
    <row r="6" spans="1:14" ht="30.9" customHeight="1" x14ac:dyDescent="0.3">
      <c r="A6" s="2"/>
      <c r="B6" s="3" t="s">
        <v>485</v>
      </c>
      <c r="C6" s="538" t="s">
        <v>103</v>
      </c>
      <c r="D6" s="538"/>
      <c r="E6" s="538" t="s">
        <v>486</v>
      </c>
      <c r="F6" s="538"/>
      <c r="G6" s="19" t="s">
        <v>487</v>
      </c>
      <c r="H6" s="258"/>
      <c r="I6" s="258"/>
      <c r="K6" s="538" t="s">
        <v>486</v>
      </c>
      <c r="L6" s="538"/>
      <c r="M6" s="538" t="s">
        <v>486</v>
      </c>
      <c r="N6" s="538"/>
    </row>
    <row r="7" spans="1:14" ht="18" x14ac:dyDescent="0.3">
      <c r="A7" s="536" t="s">
        <v>34</v>
      </c>
      <c r="B7" s="537"/>
      <c r="C7" s="539">
        <f>'[3]Maintainability Score Summary'!$K$37</f>
        <v>124</v>
      </c>
      <c r="D7" s="351"/>
      <c r="E7" s="351"/>
      <c r="F7" s="351"/>
      <c r="G7" s="275"/>
      <c r="H7" s="258"/>
      <c r="I7" s="258"/>
      <c r="K7" s="351"/>
      <c r="L7" s="351"/>
      <c r="M7" s="351"/>
      <c r="N7" s="351"/>
    </row>
    <row r="8" spans="1:14" x14ac:dyDescent="0.3">
      <c r="A8" s="533" t="s">
        <v>488</v>
      </c>
      <c r="B8" s="533"/>
      <c r="C8" s="534">
        <f>'[3]Maintainability Score Summary'!$E$6</f>
        <v>8.5</v>
      </c>
      <c r="D8" s="534"/>
      <c r="E8" s="534">
        <f t="shared" ref="E8:E10" si="0">MAX(K8:N8)</f>
        <v>0</v>
      </c>
      <c r="F8" s="534"/>
      <c r="G8" s="274" t="str">
        <f>IF(G9="","",G9)</f>
        <v/>
      </c>
      <c r="H8" s="258"/>
      <c r="I8" s="258"/>
      <c r="K8" s="559">
        <f>'[3]Maintainability Score Summary'!$F$6</f>
        <v>0</v>
      </c>
      <c r="L8" s="534"/>
      <c r="M8" s="559">
        <f>IF(K8=0,'[4]Maintainability Score Summary'!$F$6,0)</f>
        <v>0</v>
      </c>
      <c r="N8" s="534"/>
    </row>
    <row r="9" spans="1:14" x14ac:dyDescent="0.3">
      <c r="A9" s="11">
        <v>0.1</v>
      </c>
      <c r="B9" s="12" t="str">
        <f>'[3]Maintainability Score Summary'!$B$7</f>
        <v>General Project Requirement</v>
      </c>
      <c r="C9" s="540">
        <f>'[3]Maintainability Score Summary'!$E$7</f>
        <v>8.5</v>
      </c>
      <c r="D9" s="540"/>
      <c r="E9" s="540">
        <f t="shared" si="0"/>
        <v>0</v>
      </c>
      <c r="F9" s="540"/>
      <c r="G9" s="280"/>
      <c r="H9" s="258"/>
      <c r="I9" s="258"/>
      <c r="K9" s="554">
        <f>'[3]Maintainability Score Summary'!$F$7</f>
        <v>0</v>
      </c>
      <c r="L9" s="384"/>
      <c r="M9" s="554">
        <f>IF(K9=0,'[4]Maintainability Score Summary'!$F$7,0)</f>
        <v>0</v>
      </c>
      <c r="N9" s="384"/>
    </row>
    <row r="10" spans="1:14" x14ac:dyDescent="0.3">
      <c r="A10" s="533" t="s">
        <v>489</v>
      </c>
      <c r="B10" s="533"/>
      <c r="C10" s="534">
        <f>'[3]Maintainability Score Summary'!$E$8</f>
        <v>14.5</v>
      </c>
      <c r="D10" s="534"/>
      <c r="E10" s="534">
        <f t="shared" si="0"/>
        <v>0</v>
      </c>
      <c r="F10" s="534"/>
      <c r="G10" s="274" t="str">
        <f>IF(OR(G11="",G13="",G17=""),"",SUM(G17,G13,G11))</f>
        <v/>
      </c>
      <c r="H10" s="258"/>
      <c r="I10" s="258"/>
      <c r="K10" s="559">
        <f>'[3]Maintainability Score Summary'!$F$8</f>
        <v>0</v>
      </c>
      <c r="L10" s="534"/>
      <c r="M10" s="559">
        <f>IF(K10=0,'[4]Maintainability Score Summary'!$F$8,0)</f>
        <v>0</v>
      </c>
      <c r="N10" s="534"/>
    </row>
    <row r="11" spans="1:14" x14ac:dyDescent="0.3">
      <c r="A11" s="530" t="str">
        <f>'[3]Maintainability Score Summary'!$A$9</f>
        <v>Part A - General Façade</v>
      </c>
      <c r="B11" s="531"/>
      <c r="C11" s="532">
        <f>'[3]Maintainability Score Summary'!$E$9</f>
        <v>2</v>
      </c>
      <c r="D11" s="532"/>
      <c r="E11" s="532">
        <f>MAX(K11:N11)</f>
        <v>0</v>
      </c>
      <c r="F11" s="532"/>
      <c r="G11" s="276" t="str">
        <f>IF(G12="","",G12)</f>
        <v/>
      </c>
      <c r="H11" s="258"/>
      <c r="I11" s="258"/>
      <c r="K11" s="555">
        <f>'[3]Maintainability Score Summary'!$F$9</f>
        <v>0</v>
      </c>
      <c r="L11" s="532"/>
      <c r="M11" s="555">
        <f>IF(K11=0,'[4]Maintainability Score Summary'!$F$9,0)</f>
        <v>0</v>
      </c>
      <c r="N11" s="532"/>
    </row>
    <row r="12" spans="1:14" x14ac:dyDescent="0.3">
      <c r="A12" s="6">
        <v>1.1000000000000001</v>
      </c>
      <c r="B12" s="7" t="str">
        <f>'[3]Maintainability Score Summary'!$B$10</f>
        <v>General Façade</v>
      </c>
      <c r="C12" s="384">
        <f>'[3]Maintainability Score Summary'!$E$10</f>
        <v>2</v>
      </c>
      <c r="D12" s="384"/>
      <c r="E12" s="384">
        <f t="shared" ref="E12:E13" si="1">MAX(K12:N12)</f>
        <v>0</v>
      </c>
      <c r="F12" s="384"/>
      <c r="G12" s="280"/>
      <c r="H12" s="258"/>
      <c r="I12" s="258"/>
      <c r="K12" s="554">
        <f>'[3]Maintainability Score Summary'!$F$10</f>
        <v>0</v>
      </c>
      <c r="L12" s="384"/>
      <c r="M12" s="554">
        <f>IF(K12=0,'[4]Maintainability Score Summary'!$F$10,0)</f>
        <v>0</v>
      </c>
      <c r="N12" s="384"/>
    </row>
    <row r="13" spans="1:14" x14ac:dyDescent="0.3">
      <c r="A13" s="530" t="str">
        <f>'[3]Maintainability Score Summary'!$A$11</f>
        <v>Part B - Façade System</v>
      </c>
      <c r="B13" s="531"/>
      <c r="C13" s="532">
        <f>'[3]Maintainability Score Summary'!$E$11</f>
        <v>4</v>
      </c>
      <c r="D13" s="532"/>
      <c r="E13" s="532">
        <f t="shared" si="1"/>
        <v>0</v>
      </c>
      <c r="F13" s="532"/>
      <c r="G13" s="276" t="str">
        <f>IF(G14="","",G14)</f>
        <v/>
      </c>
      <c r="H13" s="258"/>
      <c r="I13" s="258"/>
      <c r="K13" s="555">
        <f>'[3]Maintainability Score Summary'!$F$11</f>
        <v>0</v>
      </c>
      <c r="L13" s="532"/>
      <c r="M13" s="555">
        <f>IF(K13=0,'[4]Maintainability Score Summary'!$F$11,0)</f>
        <v>0</v>
      </c>
      <c r="N13" s="532"/>
    </row>
    <row r="14" spans="1:14" x14ac:dyDescent="0.3">
      <c r="A14" s="6">
        <v>1.2</v>
      </c>
      <c r="B14" s="7" t="str">
        <f>'[3]Maintainability Score Summary'!$B$12</f>
        <v>Cladding system: Tile/ Stone/ Metal/ Others</v>
      </c>
      <c r="C14" s="384">
        <f>'[3]Maintainability Score Summary'!$E$12</f>
        <v>4</v>
      </c>
      <c r="D14" s="384"/>
      <c r="E14" s="384">
        <f>MAX(K14:N14)</f>
        <v>0</v>
      </c>
      <c r="F14" s="384"/>
      <c r="G14" s="547"/>
      <c r="H14" s="258"/>
      <c r="I14" s="258"/>
      <c r="K14" s="560">
        <f>'[3]Maintainability Score Summary'!$F$12</f>
        <v>0</v>
      </c>
      <c r="L14" s="560"/>
      <c r="M14" s="560">
        <f>IF(K14=0,'[4]Maintainability Score Summary'!$F$12,0)</f>
        <v>0</v>
      </c>
      <c r="N14" s="560"/>
    </row>
    <row r="15" spans="1:14" x14ac:dyDescent="0.3">
      <c r="A15" s="6">
        <v>1.3</v>
      </c>
      <c r="B15" s="7" t="str">
        <f>'[3]Maintainability Score Summary'!$B$13</f>
        <v>Curtain Wall: Glazing/ Others</v>
      </c>
      <c r="C15" s="384"/>
      <c r="D15" s="384"/>
      <c r="E15" s="384"/>
      <c r="F15" s="384"/>
      <c r="G15" s="547"/>
      <c r="H15" s="258"/>
      <c r="I15" s="258"/>
      <c r="K15" s="560"/>
      <c r="L15" s="560"/>
      <c r="M15" s="560"/>
      <c r="N15" s="560"/>
    </row>
    <row r="16" spans="1:14" x14ac:dyDescent="0.3">
      <c r="A16" s="6">
        <v>1.4</v>
      </c>
      <c r="B16" s="7" t="str">
        <f>'[3]Maintainability Score Summary'!$B$14</f>
        <v>Masonry and Lightweight Concrete Panels</v>
      </c>
      <c r="C16" s="384"/>
      <c r="D16" s="384"/>
      <c r="E16" s="384"/>
      <c r="F16" s="384"/>
      <c r="G16" s="547"/>
      <c r="H16" s="258"/>
      <c r="I16" s="258"/>
      <c r="K16" s="560"/>
      <c r="L16" s="560"/>
      <c r="M16" s="560"/>
      <c r="N16" s="560"/>
    </row>
    <row r="17" spans="1:14" x14ac:dyDescent="0.3">
      <c r="A17" s="530" t="str">
        <f>'[3]Maintainability Score Summary'!$A$15</f>
        <v>Part C - Others</v>
      </c>
      <c r="B17" s="531"/>
      <c r="C17" s="532">
        <f>'[3]Maintainability Score Summary'!$E$15</f>
        <v>8.5</v>
      </c>
      <c r="D17" s="532"/>
      <c r="E17" s="532">
        <f t="shared" ref="E17:E66" si="2">MAX(K17:N17)</f>
        <v>0</v>
      </c>
      <c r="F17" s="532"/>
      <c r="G17" s="276" t="str">
        <f>IF(OR(G18="",G19="",G20=""),"",SUM(G18:G20))</f>
        <v/>
      </c>
      <c r="H17" s="258"/>
      <c r="I17" s="258"/>
      <c r="K17" s="555">
        <f>'[3]Maintainability Score Summary'!$F$15</f>
        <v>0</v>
      </c>
      <c r="L17" s="555"/>
      <c r="M17" s="555">
        <f>IF(K17=0,'[4]Maintainability Score Summary'!$F$15,0)</f>
        <v>0</v>
      </c>
      <c r="N17" s="555"/>
    </row>
    <row r="18" spans="1:14" x14ac:dyDescent="0.3">
      <c r="A18" s="6" t="s">
        <v>490</v>
      </c>
      <c r="B18" s="7" t="str">
        <f>'[3]Maintainability Score Summary'!$B$16</f>
        <v>Façade Features/ considerations</v>
      </c>
      <c r="C18" s="384">
        <f>'[3]Maintainability Score Summary'!$E$16</f>
        <v>3.5</v>
      </c>
      <c r="D18" s="384"/>
      <c r="E18" s="384">
        <f t="shared" si="2"/>
        <v>0</v>
      </c>
      <c r="F18" s="384"/>
      <c r="G18" s="280"/>
      <c r="H18" s="258"/>
      <c r="I18" s="258"/>
      <c r="K18" s="554">
        <f>'[3]Maintainability Score Summary'!$F$16</f>
        <v>0</v>
      </c>
      <c r="L18" s="554"/>
      <c r="M18" s="554">
        <f>IF(K18=0,'[4]Maintainability Score Summary'!$F$16,0)</f>
        <v>0</v>
      </c>
      <c r="N18" s="554"/>
    </row>
    <row r="19" spans="1:14" x14ac:dyDescent="0.3">
      <c r="A19" s="6" t="s">
        <v>491</v>
      </c>
      <c r="B19" s="7" t="str">
        <f>'[3]Maintainability Score Summary'!$B$17</f>
        <v>Entrance lobby</v>
      </c>
      <c r="C19" s="384">
        <f>'[3]Maintainability Score Summary'!$E$17</f>
        <v>3</v>
      </c>
      <c r="D19" s="384"/>
      <c r="E19" s="384">
        <f t="shared" si="2"/>
        <v>0</v>
      </c>
      <c r="F19" s="384"/>
      <c r="G19" s="280"/>
      <c r="H19" s="258"/>
      <c r="I19" s="258"/>
      <c r="K19" s="554">
        <f>'[3]Maintainability Score Summary'!$F$17</f>
        <v>0</v>
      </c>
      <c r="L19" s="554"/>
      <c r="M19" s="554">
        <f>IF(K19=0,'[4]Maintainability Score Summary'!$F$17,0)</f>
        <v>0</v>
      </c>
      <c r="N19" s="554"/>
    </row>
    <row r="20" spans="1:14" x14ac:dyDescent="0.3">
      <c r="A20" s="6" t="s">
        <v>492</v>
      </c>
      <c r="B20" s="7" t="str">
        <f>'[3]Maintainability Score Summary'!$B$18</f>
        <v>Roof</v>
      </c>
      <c r="C20" s="384">
        <f>'[3]Maintainability Score Summary'!$E$18</f>
        <v>2</v>
      </c>
      <c r="D20" s="384"/>
      <c r="E20" s="384">
        <f t="shared" si="2"/>
        <v>0</v>
      </c>
      <c r="F20" s="384"/>
      <c r="G20" s="280"/>
      <c r="H20" s="258"/>
      <c r="I20" s="258"/>
      <c r="K20" s="554">
        <f>'[3]Maintainability Score Summary'!$F$18</f>
        <v>0</v>
      </c>
      <c r="L20" s="554"/>
      <c r="M20" s="554">
        <f>IF(K20=0,'[4]Maintainability Score Summary'!$F$18,0)</f>
        <v>0</v>
      </c>
      <c r="N20" s="554"/>
    </row>
    <row r="21" spans="1:14" x14ac:dyDescent="0.3">
      <c r="A21" s="533" t="s">
        <v>493</v>
      </c>
      <c r="B21" s="533" t="s">
        <v>58</v>
      </c>
      <c r="C21" s="534">
        <f>'[3]Maintainability Score Summary'!$E$19</f>
        <v>19</v>
      </c>
      <c r="D21" s="534"/>
      <c r="E21" s="534">
        <f t="shared" si="2"/>
        <v>0</v>
      </c>
      <c r="F21" s="534"/>
      <c r="G21" s="274" t="str">
        <f>IF(OR(G22="",G23="",G24="",G25=""),"",SUM(G22:G25))</f>
        <v/>
      </c>
      <c r="H21" s="258"/>
      <c r="I21" s="258"/>
      <c r="K21" s="559">
        <f>'[3]Maintainability Score Summary'!$F$19</f>
        <v>0</v>
      </c>
      <c r="L21" s="534"/>
      <c r="M21" s="559">
        <f>IF(K21=0,'[4]Maintainability Score Summary'!$F$19,0)</f>
        <v>0</v>
      </c>
      <c r="N21" s="534"/>
    </row>
    <row r="22" spans="1:14" x14ac:dyDescent="0.3">
      <c r="A22" s="6">
        <v>2.1</v>
      </c>
      <c r="B22" s="9" t="str">
        <f>'[3]Maintainability Score Summary'!$B$20</f>
        <v>Floors</v>
      </c>
      <c r="C22" s="384">
        <f>'[3]Maintainability Score Summary'!$E$20</f>
        <v>2.5</v>
      </c>
      <c r="D22" s="384"/>
      <c r="E22" s="384">
        <f t="shared" si="2"/>
        <v>0</v>
      </c>
      <c r="F22" s="384"/>
      <c r="G22" s="280"/>
      <c r="H22" s="258"/>
      <c r="I22" s="258"/>
      <c r="K22" s="554">
        <f>'[3]Maintainability Score Summary'!$F$20</f>
        <v>0</v>
      </c>
      <c r="L22" s="384"/>
      <c r="M22" s="554">
        <f>IF(K22=0,'[4]Maintainability Score Summary'!$F$20,0)</f>
        <v>0</v>
      </c>
      <c r="N22" s="384"/>
    </row>
    <row r="23" spans="1:14" x14ac:dyDescent="0.3">
      <c r="A23" s="6">
        <v>2.2999999999999998</v>
      </c>
      <c r="B23" s="9" t="str">
        <f>'[3]Maintainability Score Summary'!$B$21</f>
        <v>Ceiling</v>
      </c>
      <c r="C23" s="384">
        <f>'[3]Maintainability Score Summary'!$E$21</f>
        <v>5</v>
      </c>
      <c r="D23" s="384"/>
      <c r="E23" s="384">
        <f t="shared" si="2"/>
        <v>0</v>
      </c>
      <c r="F23" s="384"/>
      <c r="G23" s="280"/>
      <c r="H23" s="258"/>
      <c r="I23" s="258"/>
      <c r="K23" s="554">
        <f>'[3]Maintainability Score Summary'!$F$21</f>
        <v>0</v>
      </c>
      <c r="L23" s="384"/>
      <c r="M23" s="554">
        <f>IF(K23=0,'[4]Maintainability Score Summary'!$F$22,0)</f>
        <v>0</v>
      </c>
      <c r="N23" s="384"/>
    </row>
    <row r="24" spans="1:14" x14ac:dyDescent="0.3">
      <c r="A24" s="6">
        <v>2.4</v>
      </c>
      <c r="B24" s="9" t="str">
        <f>'[3]Maintainability Score Summary'!$B$22</f>
        <v>Wet Rooms and Storage</v>
      </c>
      <c r="C24" s="384">
        <f>'[3]Maintainability Score Summary'!$E$22</f>
        <v>8</v>
      </c>
      <c r="D24" s="384"/>
      <c r="E24" s="384">
        <f t="shared" si="2"/>
        <v>0</v>
      </c>
      <c r="F24" s="384"/>
      <c r="G24" s="280"/>
      <c r="H24" s="258"/>
      <c r="I24" s="258"/>
      <c r="K24" s="554">
        <f>'[3]Maintainability Score Summary'!$F$22</f>
        <v>0</v>
      </c>
      <c r="L24" s="384"/>
      <c r="M24" s="554">
        <f>IF(K24=0,'[4]Maintainability Score Summary'!$F$23,0)</f>
        <v>0</v>
      </c>
      <c r="N24" s="384"/>
    </row>
    <row r="25" spans="1:14" x14ac:dyDescent="0.3">
      <c r="A25" s="6">
        <v>2.6</v>
      </c>
      <c r="B25" s="9" t="str">
        <f>'[3]Maintainability Score Summary'!$B$23</f>
        <v>Loading Bay/ Back of House Service Areas</v>
      </c>
      <c r="C25" s="384">
        <f>'[3]Maintainability Score Summary'!$E$23</f>
        <v>3.5</v>
      </c>
      <c r="D25" s="384"/>
      <c r="E25" s="384">
        <f t="shared" si="2"/>
        <v>0</v>
      </c>
      <c r="F25" s="384"/>
      <c r="G25" s="280"/>
      <c r="H25" s="258"/>
      <c r="I25" s="258"/>
      <c r="K25" s="554">
        <f>'[3]Maintainability Score Summary'!$F$23</f>
        <v>0</v>
      </c>
      <c r="L25" s="384"/>
      <c r="M25" s="554">
        <f>IF(K25=0,'[4]Maintainability Score Summary'!$F$25,0)</f>
        <v>0</v>
      </c>
      <c r="N25" s="384"/>
    </row>
    <row r="26" spans="1:14" x14ac:dyDescent="0.3">
      <c r="A26" s="533" t="s">
        <v>494</v>
      </c>
      <c r="B26" s="533"/>
      <c r="C26" s="534">
        <f>'[3]Maintainability Score Summary'!$E$24</f>
        <v>27</v>
      </c>
      <c r="D26" s="534"/>
      <c r="E26" s="534">
        <f t="shared" si="2"/>
        <v>0</v>
      </c>
      <c r="F26" s="534"/>
      <c r="G26" s="274" t="str">
        <f>IF(OR(G27="",G30=""),"",G27+G30)</f>
        <v/>
      </c>
      <c r="H26" s="258"/>
      <c r="I26" s="258"/>
      <c r="K26" s="559">
        <f>'[3]Maintainability Score Summary'!$F$24</f>
        <v>0</v>
      </c>
      <c r="L26" s="534"/>
      <c r="M26" s="559">
        <f>IF(K26=0,'[4]Maintainability Score Summary'!$F$26,0)</f>
        <v>0</v>
      </c>
      <c r="N26" s="534"/>
    </row>
    <row r="27" spans="1:14" x14ac:dyDescent="0.3">
      <c r="A27" s="530" t="str">
        <f>'[3]Maintainability Score Summary'!$A$25</f>
        <v>Part A - Cooling Systems</v>
      </c>
      <c r="B27" s="531"/>
      <c r="C27" s="532">
        <f>'[3]Maintainability Score Summary'!$E$25</f>
        <v>13.5</v>
      </c>
      <c r="D27" s="532"/>
      <c r="E27" s="532">
        <f t="shared" si="2"/>
        <v>0</v>
      </c>
      <c r="F27" s="532"/>
      <c r="G27" s="276" t="str">
        <f>IF(OR(G28="",G29=""),"",SUM(G28:G29))</f>
        <v/>
      </c>
      <c r="H27" s="258"/>
      <c r="I27" s="258"/>
      <c r="K27" s="555">
        <f>'[3]Maintainability Score Summary'!$F$25</f>
        <v>0</v>
      </c>
      <c r="L27" s="532"/>
      <c r="M27" s="555">
        <f>IF(K27=0,'[4]Maintainability Score Summary'!$F$27,0)</f>
        <v>0</v>
      </c>
      <c r="N27" s="532"/>
    </row>
    <row r="28" spans="1:14" x14ac:dyDescent="0.3">
      <c r="A28" s="6">
        <v>3.1</v>
      </c>
      <c r="B28" s="9" t="str">
        <f>'[3]Maintainability Score Summary'!$B$26</f>
        <v>Chiller Plant</v>
      </c>
      <c r="C28" s="384">
        <f>'[3]Maintainability Score Summary'!$E$26</f>
        <v>13.5</v>
      </c>
      <c r="D28" s="384"/>
      <c r="E28" s="384">
        <f t="shared" si="2"/>
        <v>0</v>
      </c>
      <c r="F28" s="384"/>
      <c r="G28" s="280"/>
      <c r="H28" s="258"/>
      <c r="I28" s="258"/>
      <c r="K28" s="554">
        <f>'[3]Maintainability Score Summary'!$F$26</f>
        <v>0</v>
      </c>
      <c r="L28" s="384"/>
      <c r="M28" s="554">
        <f>IF(K28=0,'[4]Maintainability Score Summary'!$F$28,0)</f>
        <v>0</v>
      </c>
      <c r="N28" s="384"/>
    </row>
    <row r="29" spans="1:14" x14ac:dyDescent="0.3">
      <c r="A29" s="6">
        <v>3.2</v>
      </c>
      <c r="B29" s="9" t="str">
        <f>'[3]Maintainability Score Summary'!$B$27</f>
        <v>VRF</v>
      </c>
      <c r="C29" s="384">
        <f>'[3]Maintainability Score Summary'!$E$27</f>
        <v>1.5</v>
      </c>
      <c r="D29" s="384"/>
      <c r="E29" s="384">
        <f t="shared" si="2"/>
        <v>0</v>
      </c>
      <c r="F29" s="384"/>
      <c r="G29" s="280"/>
      <c r="H29" s="258"/>
      <c r="I29" s="258"/>
      <c r="K29" s="554">
        <f>'[3]Maintainability Score Summary'!$F$27</f>
        <v>0</v>
      </c>
      <c r="L29" s="384"/>
      <c r="M29" s="554">
        <f>IF(K29=0,'[4]Maintainability Score Summary'!$F$29,0)</f>
        <v>0</v>
      </c>
      <c r="N29" s="384"/>
    </row>
    <row r="30" spans="1:14" x14ac:dyDescent="0.3">
      <c r="A30" s="530" t="str">
        <f>'[3]Maintainability Score Summary'!$A$28</f>
        <v>Part B - Other systems</v>
      </c>
      <c r="B30" s="531"/>
      <c r="C30" s="532">
        <f>'[3]Maintainability Score Summary'!$E$28</f>
        <v>13.5</v>
      </c>
      <c r="D30" s="532"/>
      <c r="E30" s="532">
        <f t="shared" si="2"/>
        <v>0</v>
      </c>
      <c r="F30" s="532"/>
      <c r="G30" s="276" t="str">
        <f>IF(OR(G31="",G32="",G33="",G34=""),"",SUM(G31:G34))</f>
        <v/>
      </c>
      <c r="H30" s="258"/>
      <c r="I30" s="258"/>
      <c r="K30" s="555">
        <f>'[3]Maintainability Score Summary'!$F$28</f>
        <v>0</v>
      </c>
      <c r="L30" s="532"/>
      <c r="M30" s="555">
        <f>IF(K30=0,'[4]Maintainability Score Summary'!$F$30,0)</f>
        <v>0</v>
      </c>
      <c r="N30" s="532"/>
    </row>
    <row r="31" spans="1:14" x14ac:dyDescent="0.3">
      <c r="A31" s="6">
        <v>3.3</v>
      </c>
      <c r="B31" s="9" t="str">
        <f>'[3]Maintainability Score Summary'!$B$29</f>
        <v>Air Distribution System</v>
      </c>
      <c r="C31" s="384">
        <f>'[3]Maintainability Score Summary'!$E$29</f>
        <v>8</v>
      </c>
      <c r="D31" s="384"/>
      <c r="E31" s="384">
        <f t="shared" si="2"/>
        <v>0</v>
      </c>
      <c r="F31" s="384"/>
      <c r="G31" s="280"/>
      <c r="H31" s="258"/>
      <c r="I31" s="258"/>
      <c r="K31" s="554">
        <f>'[3]Maintainability Score Summary'!$F$29</f>
        <v>0</v>
      </c>
      <c r="L31" s="384"/>
      <c r="M31" s="554">
        <f>IF(K31=0,'[4]Maintainability Score Summary'!$F$31,0)</f>
        <v>0</v>
      </c>
      <c r="N31" s="384"/>
    </row>
    <row r="32" spans="1:14" x14ac:dyDescent="0.3">
      <c r="A32" s="6">
        <v>3.4</v>
      </c>
      <c r="B32" s="9" t="str">
        <f>'[3]Maintainability Score Summary'!$B$30</f>
        <v>Domestic Water Supply</v>
      </c>
      <c r="C32" s="384">
        <f>'[3]Maintainability Score Summary'!$E$30</f>
        <v>0.5</v>
      </c>
      <c r="D32" s="384"/>
      <c r="E32" s="384">
        <f t="shared" si="2"/>
        <v>0</v>
      </c>
      <c r="F32" s="384"/>
      <c r="G32" s="280"/>
      <c r="H32" s="258"/>
      <c r="I32" s="258"/>
      <c r="K32" s="554">
        <f>'[3]Maintainability Score Summary'!$F$30</f>
        <v>0</v>
      </c>
      <c r="L32" s="384"/>
      <c r="M32" s="554">
        <f>IF(K32=0,'[4]Maintainability Score Summary'!$F$32,0)</f>
        <v>0</v>
      </c>
      <c r="N32" s="384"/>
    </row>
    <row r="33" spans="1:14" x14ac:dyDescent="0.3">
      <c r="A33" s="6">
        <v>3.5</v>
      </c>
      <c r="B33" s="9" t="str">
        <f>'[3]Maintainability Score Summary'!$B$31</f>
        <v>Sanitary System</v>
      </c>
      <c r="C33" s="384">
        <f>'[3]Maintainability Score Summary'!$E$31</f>
        <v>1.5</v>
      </c>
      <c r="D33" s="384"/>
      <c r="E33" s="384">
        <f t="shared" si="2"/>
        <v>0</v>
      </c>
      <c r="F33" s="384"/>
      <c r="G33" s="280"/>
      <c r="H33" s="258"/>
      <c r="I33" s="258"/>
      <c r="K33" s="554">
        <f>'[3]Maintainability Score Summary'!$F$31</f>
        <v>0</v>
      </c>
      <c r="L33" s="384"/>
      <c r="M33" s="554">
        <f>IF(K33=0,'[4]Maintainability Score Summary'!$F$33,0)</f>
        <v>0</v>
      </c>
      <c r="N33" s="384"/>
    </row>
    <row r="34" spans="1:14" x14ac:dyDescent="0.3">
      <c r="A34" s="6">
        <v>3.6</v>
      </c>
      <c r="B34" s="9" t="str">
        <f>'[3]Maintainability Score Summary'!$B$32</f>
        <v>Fire Protection System</v>
      </c>
      <c r="C34" s="384">
        <f>'[3]Maintainability Score Summary'!$E$32</f>
        <v>3.5</v>
      </c>
      <c r="D34" s="384"/>
      <c r="E34" s="384">
        <f t="shared" si="2"/>
        <v>0</v>
      </c>
      <c r="F34" s="384"/>
      <c r="G34" s="280"/>
      <c r="H34" s="258"/>
      <c r="I34" s="258"/>
      <c r="K34" s="554">
        <f>'[3]Maintainability Score Summary'!$F$32</f>
        <v>0</v>
      </c>
      <c r="L34" s="384"/>
      <c r="M34" s="554">
        <f>IF(K34=0,'[4]Maintainability Score Summary'!$F$34,0)</f>
        <v>0</v>
      </c>
      <c r="N34" s="384"/>
    </row>
    <row r="35" spans="1:14" x14ac:dyDescent="0.3">
      <c r="A35" s="533" t="s">
        <v>495</v>
      </c>
      <c r="B35" s="533" t="s">
        <v>471</v>
      </c>
      <c r="C35" s="534">
        <f>'[3]Maintainability Score Summary'!$E$33</f>
        <v>10.5</v>
      </c>
      <c r="D35" s="534"/>
      <c r="E35" s="534">
        <f t="shared" si="2"/>
        <v>0</v>
      </c>
      <c r="F35" s="534"/>
      <c r="G35" s="274" t="str">
        <f>IF(OR(G36="",G37="",G38="",G39="",G40=""),"",SUM(G36:G40))</f>
        <v/>
      </c>
      <c r="H35" s="258"/>
      <c r="I35" s="258"/>
      <c r="K35" s="559">
        <f>'[3]Maintainability Score Summary'!$F$33</f>
        <v>0</v>
      </c>
      <c r="L35" s="534"/>
      <c r="M35" s="559">
        <f>IF(K35=0,'[4]Maintainability Score Summary'!$F$35,0)</f>
        <v>0</v>
      </c>
      <c r="N35" s="534"/>
    </row>
    <row r="36" spans="1:14" x14ac:dyDescent="0.3">
      <c r="A36" s="6">
        <v>4.0999999999999996</v>
      </c>
      <c r="B36" s="9" t="str">
        <f>'[3]Maintainability Score Summary'!$B$34</f>
        <v>Lighting System</v>
      </c>
      <c r="C36" s="384">
        <f>'[3]Maintainability Score Summary'!$E$34</f>
        <v>2</v>
      </c>
      <c r="D36" s="384"/>
      <c r="E36" s="384">
        <f t="shared" si="2"/>
        <v>0</v>
      </c>
      <c r="F36" s="384"/>
      <c r="G36" s="280"/>
      <c r="H36" s="258"/>
      <c r="I36" s="258"/>
      <c r="K36" s="554">
        <f>'[3]Maintainability Score Summary'!$F$34</f>
        <v>0</v>
      </c>
      <c r="L36" s="384"/>
      <c r="M36" s="554">
        <f>IF(K36=0,'[4]Maintainability Score Summary'!$F$36,0)</f>
        <v>0</v>
      </c>
      <c r="N36" s="384"/>
    </row>
    <row r="37" spans="1:14" x14ac:dyDescent="0.3">
      <c r="A37" s="6">
        <v>4.2</v>
      </c>
      <c r="B37" s="9" t="str">
        <f>'[3]Maintainability Score Summary'!$B$35</f>
        <v>Power Distribution System</v>
      </c>
      <c r="C37" s="384">
        <f>'[3]Maintainability Score Summary'!$E$35</f>
        <v>2.5</v>
      </c>
      <c r="D37" s="384"/>
      <c r="E37" s="384">
        <f t="shared" si="2"/>
        <v>0</v>
      </c>
      <c r="F37" s="384"/>
      <c r="G37" s="280"/>
      <c r="H37" s="258"/>
      <c r="I37" s="258"/>
      <c r="K37" s="554">
        <f>'[3]Maintainability Score Summary'!$F$35</f>
        <v>0</v>
      </c>
      <c r="L37" s="384"/>
      <c r="M37" s="554">
        <f>IF(K37=0,'[4]Maintainability Score Summary'!$F$37,0)</f>
        <v>0</v>
      </c>
      <c r="N37" s="384"/>
    </row>
    <row r="38" spans="1:14" x14ac:dyDescent="0.3">
      <c r="A38" s="6">
        <v>4.3</v>
      </c>
      <c r="B38" s="9" t="str">
        <f>'[3]Maintainability Score Summary'!$B$36</f>
        <v>Extra Low Voltage System</v>
      </c>
      <c r="C38" s="384">
        <f>'[3]Maintainability Score Summary'!$E$36</f>
        <v>3.5</v>
      </c>
      <c r="D38" s="384"/>
      <c r="E38" s="384">
        <f t="shared" si="2"/>
        <v>0</v>
      </c>
      <c r="F38" s="384"/>
      <c r="G38" s="280"/>
      <c r="H38" s="258"/>
      <c r="I38" s="258"/>
      <c r="K38" s="554">
        <f>'[3]Maintainability Score Summary'!$F$36</f>
        <v>0</v>
      </c>
      <c r="L38" s="384"/>
      <c r="M38" s="554">
        <f>IF(K38=0,'[4]Maintainability Score Summary'!$F$38,0)</f>
        <v>0</v>
      </c>
      <c r="N38" s="384"/>
    </row>
    <row r="39" spans="1:14" x14ac:dyDescent="0.3">
      <c r="A39" s="6">
        <v>4.4000000000000004</v>
      </c>
      <c r="B39" s="9" t="str">
        <f>'[3]Maintainability Score Summary'!$B$37</f>
        <v>Lightning Protection System</v>
      </c>
      <c r="C39" s="384">
        <f>'[3]Maintainability Score Summary'!$E$37</f>
        <v>1</v>
      </c>
      <c r="D39" s="384"/>
      <c r="E39" s="384">
        <f t="shared" si="2"/>
        <v>0</v>
      </c>
      <c r="F39" s="384"/>
      <c r="G39" s="280"/>
      <c r="H39" s="258"/>
      <c r="I39" s="258"/>
      <c r="K39" s="554">
        <f>'[3]Maintainability Score Summary'!$F$37</f>
        <v>0</v>
      </c>
      <c r="L39" s="384"/>
      <c r="M39" s="554">
        <f>IF(K39=0,'[4]Maintainability Score Summary'!$F$39,0)</f>
        <v>0</v>
      </c>
      <c r="N39" s="384"/>
    </row>
    <row r="40" spans="1:14" x14ac:dyDescent="0.3">
      <c r="A40" s="6">
        <v>4.5</v>
      </c>
      <c r="B40" s="9" t="str">
        <f>'[3]Maintainability Score Summary'!$B$38</f>
        <v>Vertical Transportation System</v>
      </c>
      <c r="C40" s="384">
        <f>'[3]Maintainability Score Summary'!$E$38</f>
        <v>1.5</v>
      </c>
      <c r="D40" s="384"/>
      <c r="E40" s="384">
        <f t="shared" si="2"/>
        <v>0</v>
      </c>
      <c r="F40" s="384"/>
      <c r="G40" s="280"/>
      <c r="H40" s="258"/>
      <c r="I40" s="258"/>
      <c r="K40" s="554">
        <f>'[3]Maintainability Score Summary'!$F$38</f>
        <v>0</v>
      </c>
      <c r="L40" s="384"/>
      <c r="M40" s="554">
        <f>IF(K40=0,'[4]Maintainability Score Summary'!$F$40,0)</f>
        <v>0</v>
      </c>
      <c r="N40" s="384"/>
    </row>
    <row r="41" spans="1:14" x14ac:dyDescent="0.3">
      <c r="A41" s="533" t="s">
        <v>496</v>
      </c>
      <c r="B41" s="533"/>
      <c r="C41" s="534">
        <f>'[3]Maintainability Score Summary'!$L$6</f>
        <v>10.5</v>
      </c>
      <c r="D41" s="534"/>
      <c r="E41" s="534">
        <f t="shared" si="2"/>
        <v>0</v>
      </c>
      <c r="F41" s="534"/>
      <c r="G41" s="274" t="str">
        <f>IF(OR(G42="",G43="",G44="",G45="",G46=""),"",SUM(G42:G46))</f>
        <v/>
      </c>
      <c r="H41" s="258"/>
      <c r="I41" s="258"/>
      <c r="K41" s="559">
        <f>'[3]Maintainability Score Summary'!$M$6</f>
        <v>0</v>
      </c>
      <c r="L41" s="534"/>
      <c r="M41" s="559">
        <f>IF(K41=0,'[4]Maintainability Score Summary'!$M$6,0)</f>
        <v>0</v>
      </c>
      <c r="N41" s="534"/>
    </row>
    <row r="42" spans="1:14" x14ac:dyDescent="0.3">
      <c r="A42" s="6">
        <v>5.0999999999999996</v>
      </c>
      <c r="B42" s="9" t="str">
        <f>'[3]Maintainability Score Summary'!$I$7</f>
        <v>Softscape</v>
      </c>
      <c r="C42" s="384">
        <f>'[3]Maintainability Score Summary'!$L$7</f>
        <v>2</v>
      </c>
      <c r="D42" s="384"/>
      <c r="E42" s="384">
        <f t="shared" si="2"/>
        <v>0</v>
      </c>
      <c r="F42" s="384"/>
      <c r="G42" s="280"/>
      <c r="H42" s="258"/>
      <c r="I42" s="258"/>
      <c r="K42" s="554">
        <f>'[3]Maintainability Score Summary'!$M$7</f>
        <v>0</v>
      </c>
      <c r="L42" s="384"/>
      <c r="M42" s="554">
        <f>IF(K42=0,'[4]Maintainability Score Summary'!$M$7,0)</f>
        <v>0</v>
      </c>
      <c r="N42" s="384"/>
    </row>
    <row r="43" spans="1:14" x14ac:dyDescent="0.3">
      <c r="A43" s="6">
        <v>5.2</v>
      </c>
      <c r="B43" s="9" t="str">
        <f>'[3]Maintainability Score Summary'!$I$8</f>
        <v>Hardscape</v>
      </c>
      <c r="C43" s="384">
        <f>'[3]Maintainability Score Summary'!$L$8</f>
        <v>3</v>
      </c>
      <c r="D43" s="384"/>
      <c r="E43" s="384">
        <f t="shared" si="2"/>
        <v>0</v>
      </c>
      <c r="F43" s="384"/>
      <c r="G43" s="280"/>
      <c r="H43" s="258"/>
      <c r="I43" s="258"/>
      <c r="K43" s="554">
        <f>'[3]Maintainability Score Summary'!$M$8</f>
        <v>0</v>
      </c>
      <c r="L43" s="384"/>
      <c r="M43" s="554">
        <f>IF(K43=0,'[4]Maintainability Score Summary'!$M$8,0)</f>
        <v>0</v>
      </c>
      <c r="N43" s="384"/>
    </row>
    <row r="44" spans="1:14" x14ac:dyDescent="0.3">
      <c r="A44" s="6">
        <v>5.3</v>
      </c>
      <c r="B44" s="9" t="str">
        <f>'[3]Maintainability Score Summary'!$I$9</f>
        <v>Vertical Greenery</v>
      </c>
      <c r="C44" s="384">
        <f>'[3]Maintainability Score Summary'!$L$9</f>
        <v>0.5</v>
      </c>
      <c r="D44" s="384"/>
      <c r="E44" s="384">
        <f t="shared" si="2"/>
        <v>0</v>
      </c>
      <c r="F44" s="384"/>
      <c r="G44" s="280"/>
      <c r="H44" s="258"/>
      <c r="I44" s="258"/>
      <c r="K44" s="554">
        <f>'[3]Maintainability Score Summary'!$M$9</f>
        <v>0</v>
      </c>
      <c r="L44" s="384"/>
      <c r="M44" s="554">
        <f>IF(K44=0,'[4]Maintainability Score Summary'!$M$9,0)</f>
        <v>0</v>
      </c>
      <c r="N44" s="384"/>
    </row>
    <row r="45" spans="1:14" x14ac:dyDescent="0.3">
      <c r="A45" s="6">
        <v>5.4</v>
      </c>
      <c r="B45" s="9" t="str">
        <f>'[3]Maintainability Score Summary'!$I$10</f>
        <v>Roof, Sky Terraces, Planter boxes on building edge/façade</v>
      </c>
      <c r="C45" s="384">
        <f>'[3]Maintainability Score Summary'!$L$10</f>
        <v>3</v>
      </c>
      <c r="D45" s="384"/>
      <c r="E45" s="384">
        <f t="shared" si="2"/>
        <v>0</v>
      </c>
      <c r="F45" s="384"/>
      <c r="G45" s="280"/>
      <c r="H45" s="258"/>
      <c r="I45" s="258"/>
      <c r="K45" s="554">
        <f>'[3]Maintainability Score Summary'!$M$10</f>
        <v>0</v>
      </c>
      <c r="L45" s="384"/>
      <c r="M45" s="554">
        <f>IF(K45=0,'[4]Maintainability Score Summary'!$M$10,0)</f>
        <v>0</v>
      </c>
      <c r="N45" s="384"/>
    </row>
    <row r="46" spans="1:14" x14ac:dyDescent="0.3">
      <c r="A46" s="6">
        <v>5.5</v>
      </c>
      <c r="B46" s="9" t="str">
        <f>'[3]Maintainability Score Summary'!$I$11</f>
        <v>Standalone Structures</v>
      </c>
      <c r="C46" s="384">
        <f>'[3]Maintainability Score Summary'!$L$11</f>
        <v>2</v>
      </c>
      <c r="D46" s="384"/>
      <c r="E46" s="384">
        <f t="shared" si="2"/>
        <v>0</v>
      </c>
      <c r="F46" s="384"/>
      <c r="G46" s="280"/>
      <c r="H46" s="258"/>
      <c r="I46" s="258"/>
      <c r="K46" s="554">
        <f>'[3]Maintainability Score Summary'!$M$11</f>
        <v>0</v>
      </c>
      <c r="L46" s="384"/>
      <c r="M46" s="554">
        <f>IF(K46=0,'[4]Maintainability Score Summary'!$M$11,0)</f>
        <v>0</v>
      </c>
      <c r="N46" s="384"/>
    </row>
    <row r="47" spans="1:14" x14ac:dyDescent="0.3">
      <c r="A47" s="533" t="s">
        <v>497</v>
      </c>
      <c r="B47" s="533"/>
      <c r="C47" s="534">
        <f>'[3]Maintainability Score Summary'!$L$12</f>
        <v>11</v>
      </c>
      <c r="D47" s="534"/>
      <c r="E47" s="534">
        <f t="shared" si="2"/>
        <v>0</v>
      </c>
      <c r="F47" s="534"/>
      <c r="G47" s="274" t="str">
        <f>IF(OR(G48="",G49=""),"",SUM(G48:G49))</f>
        <v/>
      </c>
      <c r="H47" s="258"/>
      <c r="I47" s="258"/>
      <c r="K47" s="559">
        <f>'[3]Maintainability Score Summary'!$M$12</f>
        <v>0</v>
      </c>
      <c r="L47" s="534"/>
      <c r="M47" s="559">
        <f>IF(K47=0,'[4]Maintainability Score Summary'!$M$12,0)</f>
        <v>0</v>
      </c>
      <c r="N47" s="534"/>
    </row>
    <row r="48" spans="1:14" x14ac:dyDescent="0.3">
      <c r="A48" s="6">
        <v>6.1</v>
      </c>
      <c r="B48" s="9" t="str">
        <f>'[3]Maintainability Score Summary'!$I$13</f>
        <v>Cybersecurity</v>
      </c>
      <c r="C48" s="384">
        <f>'[3]Maintainability Score Summary'!$L$13</f>
        <v>1</v>
      </c>
      <c r="D48" s="384"/>
      <c r="E48" s="384">
        <f t="shared" si="2"/>
        <v>0</v>
      </c>
      <c r="F48" s="384"/>
      <c r="G48" s="280"/>
      <c r="H48" s="258"/>
      <c r="I48" s="258"/>
      <c r="K48" s="554">
        <f>'[3]Maintainability Score Summary'!$M$13</f>
        <v>0</v>
      </c>
      <c r="L48" s="384"/>
      <c r="M48" s="554">
        <f>IF(K48=0,'[4]Maintainability Score Summary'!$M$13,0)</f>
        <v>0</v>
      </c>
      <c r="N48" s="384"/>
    </row>
    <row r="49" spans="1:14" x14ac:dyDescent="0.3">
      <c r="A49" s="6">
        <v>6.2</v>
      </c>
      <c r="B49" s="9" t="str">
        <f>'[3]Maintainability Score Summary'!$I$14</f>
        <v>Adoption of Smart FM solutions</v>
      </c>
      <c r="C49" s="384">
        <f>'[3]Maintainability Score Summary'!$L$14</f>
        <v>10</v>
      </c>
      <c r="D49" s="384"/>
      <c r="E49" s="384">
        <f t="shared" si="2"/>
        <v>0</v>
      </c>
      <c r="F49" s="384"/>
      <c r="G49" s="280"/>
      <c r="H49" s="258"/>
      <c r="I49" s="258"/>
      <c r="K49" s="554">
        <f>'[3]Maintainability Score Summary'!$M$14</f>
        <v>0</v>
      </c>
      <c r="L49" s="384"/>
      <c r="M49" s="554">
        <f>IF(K49=0,'[4]Maintainability Score Summary'!$M$14,0)</f>
        <v>0</v>
      </c>
      <c r="N49" s="384"/>
    </row>
    <row r="50" spans="1:14" x14ac:dyDescent="0.3">
      <c r="A50" s="533" t="s">
        <v>498</v>
      </c>
      <c r="B50" s="533"/>
      <c r="C50" s="534">
        <f>'[3]Maintainability Score Summary'!$L$15</f>
        <v>10.5</v>
      </c>
      <c r="D50" s="534"/>
      <c r="E50" s="534">
        <f t="shared" si="2"/>
        <v>0</v>
      </c>
      <c r="F50" s="534"/>
      <c r="G50" s="274" t="str">
        <f>IF(OR(G51="",G52="",G53="",G54=""),"",SUM(G51:G54))</f>
        <v/>
      </c>
      <c r="H50" s="258"/>
      <c r="I50" s="258"/>
      <c r="K50" s="559">
        <f>'[3]Maintainability Score Summary'!$M$15</f>
        <v>0</v>
      </c>
      <c r="L50" s="534"/>
      <c r="M50" s="559">
        <f>IF(K50=0,'[4]Maintainability Score Summary'!$M$15,0)</f>
        <v>0</v>
      </c>
      <c r="N50" s="534"/>
    </row>
    <row r="51" spans="1:14" x14ac:dyDescent="0.3">
      <c r="A51" s="6">
        <v>7.1</v>
      </c>
      <c r="B51" s="9" t="str">
        <f>'[3]Maintainability Score Summary'!$I$16</f>
        <v>Central Computer</v>
      </c>
      <c r="C51" s="384">
        <f>'[3]Maintainability Score Summary'!$L$16</f>
        <v>2</v>
      </c>
      <c r="D51" s="384"/>
      <c r="E51" s="384">
        <f t="shared" si="2"/>
        <v>0</v>
      </c>
      <c r="F51" s="384"/>
      <c r="G51" s="280"/>
      <c r="H51" s="258"/>
      <c r="I51" s="258"/>
      <c r="K51" s="554">
        <f>'[3]Maintainability Score Summary'!$M$16</f>
        <v>0</v>
      </c>
      <c r="L51" s="384"/>
      <c r="M51" s="554">
        <f>IF(K51=0,'[4]Maintainability Score Summary'!$M$16,0)</f>
        <v>0</v>
      </c>
      <c r="N51" s="384"/>
    </row>
    <row r="52" spans="1:14" x14ac:dyDescent="0.3">
      <c r="A52" s="6">
        <v>7.2</v>
      </c>
      <c r="B52" s="9" t="str">
        <f>'[3]Maintainability Score Summary'!$I$17</f>
        <v>Software Integration</v>
      </c>
      <c r="C52" s="384">
        <f>'[3]Maintainability Score Summary'!$L$17</f>
        <v>4</v>
      </c>
      <c r="D52" s="384"/>
      <c r="E52" s="384">
        <f t="shared" si="2"/>
        <v>0</v>
      </c>
      <c r="F52" s="384"/>
      <c r="G52" s="280"/>
      <c r="H52" s="258"/>
      <c r="I52" s="258"/>
      <c r="K52" s="554">
        <f>'[3]Maintainability Score Summary'!$M$17</f>
        <v>0</v>
      </c>
      <c r="L52" s="384"/>
      <c r="M52" s="554">
        <f>IF(K52=0,'[4]Maintainability Score Summary'!$M$17,0)</f>
        <v>0</v>
      </c>
      <c r="N52" s="384"/>
    </row>
    <row r="53" spans="1:14" x14ac:dyDescent="0.3">
      <c r="A53" s="6">
        <v>7.3</v>
      </c>
      <c r="B53" s="9" t="str">
        <f>'[3]Maintainability Score Summary'!$I$18</f>
        <v>Controllers</v>
      </c>
      <c r="C53" s="384">
        <f>'[3]Maintainability Score Summary'!$L$18</f>
        <v>2.5</v>
      </c>
      <c r="D53" s="384"/>
      <c r="E53" s="384">
        <f t="shared" si="2"/>
        <v>0</v>
      </c>
      <c r="F53" s="384"/>
      <c r="G53" s="280"/>
      <c r="H53" s="258"/>
      <c r="I53" s="258"/>
      <c r="K53" s="554">
        <f>'[3]Maintainability Score Summary'!$M$18</f>
        <v>0</v>
      </c>
      <c r="L53" s="384"/>
      <c r="M53" s="554">
        <f>IF(K53=0,'[4]Maintainability Score Summary'!$M$18,0)</f>
        <v>0</v>
      </c>
      <c r="N53" s="384"/>
    </row>
    <row r="54" spans="1:14" x14ac:dyDescent="0.3">
      <c r="A54" s="6">
        <v>7.4</v>
      </c>
      <c r="B54" s="9" t="str">
        <f>'[3]Maintainability Score Summary'!$I$19</f>
        <v>Integration with M&amp;E systems</v>
      </c>
      <c r="C54" s="384">
        <f>'[3]Maintainability Score Summary'!$L$19</f>
        <v>2</v>
      </c>
      <c r="D54" s="384"/>
      <c r="E54" s="384">
        <f t="shared" si="2"/>
        <v>0</v>
      </c>
      <c r="F54" s="384"/>
      <c r="G54" s="280"/>
      <c r="H54" s="258"/>
      <c r="I54" s="258"/>
      <c r="K54" s="554">
        <f>'[3]Maintainability Score Summary'!$M$19</f>
        <v>0</v>
      </c>
      <c r="L54" s="384"/>
      <c r="M54" s="554">
        <f>IF(K54=0,'[4]Maintainability Score Summary'!$M$19,0)</f>
        <v>0</v>
      </c>
      <c r="N54" s="384"/>
    </row>
    <row r="55" spans="1:14" x14ac:dyDescent="0.3">
      <c r="A55" s="533" t="s">
        <v>499</v>
      </c>
      <c r="B55" s="533"/>
      <c r="C55" s="534">
        <f>'[3]Maintainability Score Summary'!$L$20</f>
        <v>12.5</v>
      </c>
      <c r="D55" s="534"/>
      <c r="E55" s="534">
        <f t="shared" si="2"/>
        <v>0</v>
      </c>
      <c r="F55" s="534"/>
      <c r="G55" s="274" t="str">
        <f>IF(OR(G56="",G59=""),"",G56+G59)</f>
        <v/>
      </c>
      <c r="H55" s="258"/>
      <c r="I55" s="258"/>
      <c r="K55" s="559">
        <f>'[3]Maintainability Score Summary'!$M$20</f>
        <v>0</v>
      </c>
      <c r="L55" s="534"/>
      <c r="M55" s="559">
        <f>IF(K55=0,'[4]Maintainability Score Summary'!$M$20,0)</f>
        <v>0</v>
      </c>
      <c r="N55" s="534"/>
    </row>
    <row r="56" spans="1:14" x14ac:dyDescent="0.3">
      <c r="A56" s="530" t="str">
        <f>'[3]Maintainability Score Summary'!$H$21</f>
        <v>Part A - Asset Management</v>
      </c>
      <c r="B56" s="531"/>
      <c r="C56" s="532">
        <f>'[3]Maintainability Score Summary'!$L$21</f>
        <v>3</v>
      </c>
      <c r="D56" s="532"/>
      <c r="E56" s="532">
        <f t="shared" si="2"/>
        <v>0</v>
      </c>
      <c r="F56" s="532"/>
      <c r="G56" s="276" t="str">
        <f>IF(OR(G57="",G58=""),"",SUM(G57:G58))</f>
        <v/>
      </c>
      <c r="H56" s="258"/>
      <c r="I56" s="258"/>
      <c r="K56" s="555">
        <f>'[3]Maintainability Score Summary'!$M$21</f>
        <v>0</v>
      </c>
      <c r="L56" s="532"/>
      <c r="M56" s="555">
        <f>IF(K56=0,'[4]Maintainability Score Summary'!$M$21,0)</f>
        <v>0</v>
      </c>
      <c r="N56" s="532"/>
    </row>
    <row r="57" spans="1:14" x14ac:dyDescent="0.3">
      <c r="A57" s="6">
        <v>8.1</v>
      </c>
      <c r="B57" s="9" t="str">
        <f>'[3]Maintainability Score Summary'!$I$22</f>
        <v>Failure Analysis</v>
      </c>
      <c r="C57" s="384">
        <f>'[3]Maintainability Score Summary'!$L$22</f>
        <v>1.5</v>
      </c>
      <c r="D57" s="384"/>
      <c r="E57" s="384">
        <f t="shared" si="2"/>
        <v>0</v>
      </c>
      <c r="F57" s="384"/>
      <c r="G57" s="280"/>
      <c r="H57" s="258"/>
      <c r="I57" s="258"/>
      <c r="K57" s="554">
        <f>'[3]Maintainability Score Summary'!$M$22</f>
        <v>0</v>
      </c>
      <c r="L57" s="384"/>
      <c r="M57" s="554">
        <f>IF(K57=0,'[4]Maintainability Score Summary'!$M$22,0)</f>
        <v>0</v>
      </c>
      <c r="N57" s="384"/>
    </row>
    <row r="58" spans="1:14" x14ac:dyDescent="0.3">
      <c r="A58" s="6">
        <v>8.1999999999999993</v>
      </c>
      <c r="B58" s="9" t="str">
        <f>'[3]Maintainability Score Summary'!$I$23</f>
        <v>Life Cycle Management</v>
      </c>
      <c r="C58" s="384">
        <f>'[3]Maintainability Score Summary'!$L$23</f>
        <v>1.5</v>
      </c>
      <c r="D58" s="384"/>
      <c r="E58" s="384">
        <f t="shared" si="2"/>
        <v>0</v>
      </c>
      <c r="F58" s="384"/>
      <c r="G58" s="280"/>
      <c r="H58" s="258"/>
      <c r="I58" s="258"/>
      <c r="K58" s="554">
        <f>'[3]Maintainability Score Summary'!$M$23</f>
        <v>0</v>
      </c>
      <c r="L58" s="384"/>
      <c r="M58" s="554">
        <f>IF(K58=0,'[4]Maintainability Score Summary'!$M$23,0)</f>
        <v>0</v>
      </c>
      <c r="N58" s="384"/>
    </row>
    <row r="59" spans="1:14" x14ac:dyDescent="0.3">
      <c r="A59" s="530" t="str">
        <f>'[3]Maintainability Score Summary'!$H$24</f>
        <v>Part B - Operations Management and Supply Chain Management</v>
      </c>
      <c r="B59" s="531"/>
      <c r="C59" s="532">
        <f>'[3]Maintainability Score Summary'!$L$24</f>
        <v>9.5</v>
      </c>
      <c r="D59" s="532"/>
      <c r="E59" s="532">
        <f t="shared" si="2"/>
        <v>0</v>
      </c>
      <c r="F59" s="532"/>
      <c r="G59" s="276" t="str">
        <f>IF(OR(G60="",G61="",G62="",G63=""),"",SUM(G60:G63))</f>
        <v/>
      </c>
      <c r="H59" s="258"/>
      <c r="I59" s="258"/>
      <c r="K59" s="555">
        <f>'[3]Maintainability Score Summary'!$M$24</f>
        <v>0</v>
      </c>
      <c r="L59" s="532"/>
      <c r="M59" s="555">
        <f>IF(K59=0,'[4]Maintainability Score Summary'!$M$24,0)</f>
        <v>0</v>
      </c>
      <c r="N59" s="532"/>
    </row>
    <row r="60" spans="1:14" x14ac:dyDescent="0.3">
      <c r="A60" s="6">
        <v>8.3000000000000007</v>
      </c>
      <c r="B60" s="9" t="str">
        <f>'[3]Maintainability Score Summary'!$I$25</f>
        <v>Service Management</v>
      </c>
      <c r="C60" s="384">
        <f>'[3]Maintainability Score Summary'!$L$25</f>
        <v>2.5</v>
      </c>
      <c r="D60" s="384"/>
      <c r="E60" s="384">
        <f t="shared" si="2"/>
        <v>0</v>
      </c>
      <c r="F60" s="384"/>
      <c r="G60" s="280"/>
      <c r="H60" s="258"/>
      <c r="I60" s="258"/>
      <c r="K60" s="554">
        <f>'[3]Maintainability Score Summary'!$M$25</f>
        <v>0</v>
      </c>
      <c r="L60" s="384"/>
      <c r="M60" s="554">
        <f>IF(K60=0,'[4]Maintainability Score Summary'!$M$25,0)</f>
        <v>0</v>
      </c>
      <c r="N60" s="384"/>
    </row>
    <row r="61" spans="1:14" x14ac:dyDescent="0.3">
      <c r="A61" s="6">
        <v>8.4</v>
      </c>
      <c r="B61" s="9" t="str">
        <f>'[3]Maintainability Score Summary'!$I$26</f>
        <v>Maintenance Management</v>
      </c>
      <c r="C61" s="384">
        <f>'[3]Maintainability Score Summary'!$L$26</f>
        <v>1.5</v>
      </c>
      <c r="D61" s="384"/>
      <c r="E61" s="384">
        <f t="shared" si="2"/>
        <v>0</v>
      </c>
      <c r="F61" s="384"/>
      <c r="G61" s="280"/>
      <c r="H61" s="258"/>
      <c r="I61" s="258"/>
      <c r="K61" s="554">
        <f>'[3]Maintainability Score Summary'!$M$26</f>
        <v>0</v>
      </c>
      <c r="L61" s="384"/>
      <c r="M61" s="554">
        <f>IF(K61=0,'[4]Maintainability Score Summary'!$M$26,0)</f>
        <v>0</v>
      </c>
      <c r="N61" s="384"/>
    </row>
    <row r="62" spans="1:14" x14ac:dyDescent="0.3">
      <c r="A62" s="6">
        <v>8.5</v>
      </c>
      <c r="B62" s="9" t="str">
        <f>'[3]Maintainability Score Summary'!$I$27</f>
        <v>Other General Services</v>
      </c>
      <c r="C62" s="384">
        <f>'[3]Maintainability Score Summary'!$L$27</f>
        <v>1</v>
      </c>
      <c r="D62" s="384"/>
      <c r="E62" s="384">
        <f t="shared" si="2"/>
        <v>0</v>
      </c>
      <c r="F62" s="384"/>
      <c r="G62" s="280"/>
      <c r="H62" s="258"/>
      <c r="I62" s="258"/>
      <c r="K62" s="554">
        <f>'[3]Maintainability Score Summary'!$M$27</f>
        <v>0</v>
      </c>
      <c r="L62" s="384"/>
      <c r="M62" s="554">
        <f>IF(K62=0,'[4]Maintainability Score Summary'!$M$27,0)</f>
        <v>0</v>
      </c>
      <c r="N62" s="384"/>
    </row>
    <row r="63" spans="1:14" x14ac:dyDescent="0.3">
      <c r="A63" s="6">
        <v>8.6</v>
      </c>
      <c r="B63" s="9" t="str">
        <f>'[3]Maintainability Score Summary'!$I$28</f>
        <v>Supply Chain Management</v>
      </c>
      <c r="C63" s="384">
        <f>'[3]Maintainability Score Summary'!$L$28</f>
        <v>4.5</v>
      </c>
      <c r="D63" s="384"/>
      <c r="E63" s="384">
        <f t="shared" si="2"/>
        <v>0</v>
      </c>
      <c r="F63" s="384"/>
      <c r="G63" s="280"/>
      <c r="H63" s="258"/>
      <c r="I63" s="258"/>
      <c r="K63" s="554">
        <f>'[3]Maintainability Score Summary'!$M$28</f>
        <v>0</v>
      </c>
      <c r="L63" s="384"/>
      <c r="M63" s="554">
        <f>IF(K63=0,'[4]Maintainability Score Summary'!$M$28,0)</f>
        <v>0</v>
      </c>
      <c r="N63" s="384"/>
    </row>
    <row r="64" spans="1:14" x14ac:dyDescent="0.3">
      <c r="A64" s="533" t="s">
        <v>500</v>
      </c>
      <c r="B64" s="533"/>
      <c r="C64" s="534">
        <v>3</v>
      </c>
      <c r="D64" s="534"/>
      <c r="E64" s="534">
        <f t="shared" si="2"/>
        <v>0</v>
      </c>
      <c r="F64" s="534"/>
      <c r="G64" s="274" t="str">
        <f>IF(OR(G65="",G66=""),"",SUM(G65:G66))</f>
        <v/>
      </c>
      <c r="H64" s="258"/>
      <c r="I64" s="258"/>
      <c r="K64" s="534">
        <f>SUM(K65:K66)</f>
        <v>0</v>
      </c>
      <c r="L64" s="534"/>
      <c r="M64" s="534">
        <f>SUM(M65:M66)</f>
        <v>0</v>
      </c>
      <c r="N64" s="534"/>
    </row>
    <row r="65" spans="1:14" x14ac:dyDescent="0.3">
      <c r="A65" s="8"/>
      <c r="B65" s="9" t="s">
        <v>501</v>
      </c>
      <c r="C65" s="384">
        <f>'[3]Maintainability Score Summary'!$L$30</f>
        <v>2</v>
      </c>
      <c r="D65" s="384"/>
      <c r="E65" s="384">
        <f t="shared" si="2"/>
        <v>0</v>
      </c>
      <c r="F65" s="384"/>
      <c r="G65" s="280"/>
      <c r="H65" s="258"/>
      <c r="I65" s="258"/>
      <c r="K65" s="554">
        <f>'[3]Maintainability Score Summary'!$M$30</f>
        <v>0</v>
      </c>
      <c r="L65" s="384"/>
      <c r="M65" s="554">
        <f>IF(K65=0,'[4]Maintainability Score Summary'!$M$30,0)</f>
        <v>0</v>
      </c>
      <c r="N65" s="384"/>
    </row>
    <row r="66" spans="1:14" x14ac:dyDescent="0.3">
      <c r="A66" s="8"/>
      <c r="B66" s="9" t="s">
        <v>502</v>
      </c>
      <c r="C66" s="384">
        <f>'[3]Maintainability Score Summary'!$L$31</f>
        <v>1</v>
      </c>
      <c r="D66" s="384"/>
      <c r="E66" s="384">
        <f t="shared" si="2"/>
        <v>0</v>
      </c>
      <c r="F66" s="384"/>
      <c r="G66" s="280"/>
      <c r="H66" s="258"/>
      <c r="I66" s="258"/>
      <c r="K66" s="554">
        <f>'[3]Maintainability Score Summary'!$M$31</f>
        <v>0</v>
      </c>
      <c r="L66" s="384"/>
      <c r="M66" s="554">
        <f>IF(K66=0,'[4]Maintainability Score Summary'!$M$31,0)</f>
        <v>0</v>
      </c>
      <c r="N66" s="384"/>
    </row>
    <row r="67" spans="1:14" s="1" customFormat="1" x14ac:dyDescent="0.3">
      <c r="A67" s="14"/>
      <c r="B67" s="16" t="s">
        <v>503</v>
      </c>
      <c r="C67" s="551" t="str">
        <f>IF(J67=0,IF(OR(G55="",G50="",G47="",G41="",G35="",G26="",G21="",G10="",G8=""),"",G55+G50+G47+G41+G35+G26+G21+G10+G8),J67)</f>
        <v/>
      </c>
      <c r="D67" s="552"/>
      <c r="E67" s="552"/>
      <c r="F67" s="552"/>
      <c r="G67" s="553"/>
      <c r="H67" s="258"/>
      <c r="I67" s="282"/>
      <c r="J67" s="284">
        <f>MAX(K67:N67)</f>
        <v>0</v>
      </c>
      <c r="K67" s="535">
        <f>'[3]Maintainability Score Summary'!$K$36</f>
        <v>0</v>
      </c>
      <c r="L67" s="535"/>
      <c r="M67" s="535">
        <f>IF(K67=0,'[4]Maintainability Score Summary'!$K$36,0)</f>
        <v>0</v>
      </c>
      <c r="N67" s="535"/>
    </row>
    <row r="68" spans="1:14" s="1" customFormat="1" x14ac:dyDescent="0.3">
      <c r="A68" s="14"/>
      <c r="B68" s="16" t="s">
        <v>504</v>
      </c>
      <c r="C68" s="548">
        <f>MAX(K68:N68)</f>
        <v>0</v>
      </c>
      <c r="D68" s="549"/>
      <c r="E68" s="549"/>
      <c r="F68" s="549"/>
      <c r="G68" s="280"/>
      <c r="H68" s="258"/>
      <c r="I68" s="282"/>
      <c r="J68" s="285"/>
      <c r="K68" s="551">
        <f>'[3]Maintainability Score Summary'!$K$38</f>
        <v>0</v>
      </c>
      <c r="L68" s="553"/>
      <c r="M68" s="551">
        <f>IF(K68=0,'[4]Maintainability Score Summary'!$K$38,0)</f>
        <v>0</v>
      </c>
      <c r="N68" s="553"/>
    </row>
    <row r="69" spans="1:14" s="1" customFormat="1" x14ac:dyDescent="0.3">
      <c r="A69" s="14"/>
      <c r="B69" s="277" t="s">
        <v>505</v>
      </c>
      <c r="C69" s="548">
        <f>MAX(K69:N69)</f>
        <v>0</v>
      </c>
      <c r="D69" s="549"/>
      <c r="E69" s="549"/>
      <c r="F69" s="549"/>
      <c r="G69" s="278" t="str">
        <f>IF(OR(G65="",G66="",C67=""),"",IF(C67=J70,G65+G66,""))</f>
        <v/>
      </c>
      <c r="H69" s="258"/>
      <c r="I69" s="282"/>
      <c r="J69" s="285"/>
      <c r="K69" s="551">
        <f>'[3]Maintainability Score Summary'!$N$36</f>
        <v>0</v>
      </c>
      <c r="L69" s="552"/>
      <c r="M69" s="548">
        <f>IF(K69=0,'[4]Maintainability Score Summary'!$N$36,0)</f>
        <v>0</v>
      </c>
      <c r="N69" s="548"/>
    </row>
    <row r="70" spans="1:14" s="1" customFormat="1" x14ac:dyDescent="0.3">
      <c r="A70" s="14"/>
      <c r="B70" s="556" t="s">
        <v>506</v>
      </c>
      <c r="C70" s="548" t="s">
        <v>507</v>
      </c>
      <c r="D70" s="548"/>
      <c r="E70" s="558">
        <f>MAX(K70:N70)</f>
        <v>0</v>
      </c>
      <c r="F70" s="558"/>
      <c r="G70" s="278">
        <f>IF(OR(C67="",G64=""),0,IF(C67=J70,(C67/(124-G68))*124,0))</f>
        <v>0</v>
      </c>
      <c r="H70" s="258"/>
      <c r="I70" s="282"/>
      <c r="J70" s="286" t="str">
        <f>IF(OR(G55="",G50="",G47="",G41="",G35="",G26="",G21="",G10="",G8=""),"",G55+G50+G47+G41+G35+G26+G21+G10+G8)</f>
        <v/>
      </c>
      <c r="K70" s="558">
        <f>'[3]Maintainability Score Summary'!$K$39</f>
        <v>0</v>
      </c>
      <c r="L70" s="558"/>
      <c r="M70" s="558">
        <f>IF(K70=0,'[4]Maintainability Score Summary'!$K$39,0)</f>
        <v>0</v>
      </c>
      <c r="N70" s="558"/>
    </row>
    <row r="71" spans="1:14" s="1" customFormat="1" x14ac:dyDescent="0.3">
      <c r="A71" s="14"/>
      <c r="B71" s="557"/>
      <c r="C71" s="548" t="s">
        <v>508</v>
      </c>
      <c r="D71" s="548"/>
      <c r="E71" s="558">
        <f>MAX(K71:N71)</f>
        <v>0</v>
      </c>
      <c r="F71" s="558"/>
      <c r="G71" s="283">
        <f>IF(OR(G70="",G69=""),0,G70+G69)</f>
        <v>0</v>
      </c>
      <c r="H71" s="258"/>
      <c r="I71" s="282"/>
      <c r="J71" s="285"/>
      <c r="K71" s="558">
        <f>'[3]Maintainability Score Summary'!$M$39</f>
        <v>0</v>
      </c>
      <c r="L71" s="558"/>
      <c r="M71" s="558">
        <f>IF(K71=0,'[4]Maintainability Score Summary'!$M$39,0)</f>
        <v>0</v>
      </c>
      <c r="N71" s="558"/>
    </row>
    <row r="72" spans="1:14" x14ac:dyDescent="0.3">
      <c r="A72" s="14"/>
      <c r="B72" s="16" t="s">
        <v>509</v>
      </c>
      <c r="C72" s="549">
        <f>IF(K72="",IF(M72="",K72,M72))</f>
        <v>0</v>
      </c>
      <c r="D72" s="549"/>
      <c r="E72" s="549"/>
      <c r="F72" s="549"/>
      <c r="G72" s="279"/>
      <c r="H72" s="258"/>
      <c r="I72" s="258"/>
      <c r="J72" s="13">
        <f>IF(AND(C72="",G72=""),"",IF(C72="",G72,C72))</f>
        <v>0</v>
      </c>
      <c r="K72" s="561" t="str">
        <f>'[3]Maintainability Score Summary'!$M$49</f>
        <v/>
      </c>
      <c r="L72" s="562"/>
      <c r="M72" s="561">
        <f>IF(K72=0,'[4]Maintainability Score Summary'!$M$49,0)</f>
        <v>0</v>
      </c>
      <c r="N72" s="562"/>
    </row>
    <row r="73" spans="1:14" x14ac:dyDescent="0.3">
      <c r="A73" s="14"/>
      <c r="B73" s="15" t="s">
        <v>510</v>
      </c>
      <c r="C73" s="551">
        <f>IF(J73=0,IF(G71=0,0,IF(G71/6&gt;15,15,G71/6)),J73)</f>
        <v>0</v>
      </c>
      <c r="D73" s="552"/>
      <c r="E73" s="552"/>
      <c r="F73" s="552"/>
      <c r="G73" s="553"/>
      <c r="H73" s="258"/>
      <c r="I73" s="258"/>
      <c r="J73" s="286">
        <f>MAX(K73:N73)</f>
        <v>0</v>
      </c>
      <c r="K73" s="526">
        <f>'[3]Maintainability Score Summary'!$M$43</f>
        <v>0</v>
      </c>
      <c r="L73" s="526"/>
      <c r="M73" s="526">
        <f>IF(K73=0,'[4]Maintainability Score Summary'!$M$43,0)</f>
        <v>0</v>
      </c>
      <c r="N73" s="526"/>
    </row>
    <row r="74" spans="1:14" x14ac:dyDescent="0.3">
      <c r="A74" s="14"/>
      <c r="B74" s="15" t="s">
        <v>511</v>
      </c>
      <c r="C74" s="550" t="str">
        <f>IF(AND(C73=0,G71=""),"",IF(AND(C73&gt;=10,J72="Y"),"Yes","No"))</f>
        <v>No</v>
      </c>
      <c r="D74" s="550"/>
      <c r="E74" s="550"/>
      <c r="F74" s="550"/>
      <c r="G74" s="550"/>
      <c r="H74" s="258"/>
      <c r="I74" s="258"/>
      <c r="J74" t="str">
        <f>'[3]Maintainability Score Summary'!$M$45</f>
        <v/>
      </c>
    </row>
  </sheetData>
  <sheetProtection algorithmName="SHA-512" hashValue="M6xIfnILc00ZpINgw76Yy0U7CfA/u2IvlGvsPYHznZEKPeMETD+mZNh6aeSi5hCEoZwpmZN3NWpfe7JpvHo9Ww==" saltValue="AXBY55x0F0MpGtL++eBsrg==" spinCount="100000" sheet="1" formatCells="0" selectLockedCells="1"/>
  <mergeCells count="283">
    <mergeCell ref="M68:N68"/>
    <mergeCell ref="M69:N69"/>
    <mergeCell ref="M70:N70"/>
    <mergeCell ref="M71:N71"/>
    <mergeCell ref="M72:N72"/>
    <mergeCell ref="M58:N58"/>
    <mergeCell ref="M59:N59"/>
    <mergeCell ref="M60:N60"/>
    <mergeCell ref="M61:N61"/>
    <mergeCell ref="M62:N62"/>
    <mergeCell ref="M63:N63"/>
    <mergeCell ref="M64:N64"/>
    <mergeCell ref="M65:N65"/>
    <mergeCell ref="M66:N66"/>
    <mergeCell ref="M49:N49"/>
    <mergeCell ref="M50:N50"/>
    <mergeCell ref="M51:N51"/>
    <mergeCell ref="M52:N52"/>
    <mergeCell ref="M53:N53"/>
    <mergeCell ref="M54:N54"/>
    <mergeCell ref="M55:N55"/>
    <mergeCell ref="M56:N56"/>
    <mergeCell ref="M57:N57"/>
    <mergeCell ref="M40:N40"/>
    <mergeCell ref="M41:N41"/>
    <mergeCell ref="M42:N42"/>
    <mergeCell ref="M43:N43"/>
    <mergeCell ref="M44:N44"/>
    <mergeCell ref="M45:N45"/>
    <mergeCell ref="M46:N46"/>
    <mergeCell ref="M47:N47"/>
    <mergeCell ref="M48:N48"/>
    <mergeCell ref="M31:N31"/>
    <mergeCell ref="M32:N32"/>
    <mergeCell ref="M33:N33"/>
    <mergeCell ref="M34:N34"/>
    <mergeCell ref="M35:N35"/>
    <mergeCell ref="M36:N36"/>
    <mergeCell ref="M37:N37"/>
    <mergeCell ref="M38:N38"/>
    <mergeCell ref="M39:N39"/>
    <mergeCell ref="M23:N23"/>
    <mergeCell ref="M24:N24"/>
    <mergeCell ref="M25:N25"/>
    <mergeCell ref="M26:N26"/>
    <mergeCell ref="M27:N27"/>
    <mergeCell ref="M28:N28"/>
    <mergeCell ref="M29:N29"/>
    <mergeCell ref="M30:N30"/>
    <mergeCell ref="K70:L70"/>
    <mergeCell ref="K65:L65"/>
    <mergeCell ref="K66:L66"/>
    <mergeCell ref="K53:L53"/>
    <mergeCell ref="K54:L54"/>
    <mergeCell ref="K55:L55"/>
    <mergeCell ref="K56:L56"/>
    <mergeCell ref="K57:L57"/>
    <mergeCell ref="K58:L58"/>
    <mergeCell ref="K59:L59"/>
    <mergeCell ref="K39:L39"/>
    <mergeCell ref="K40:L40"/>
    <mergeCell ref="K41:L41"/>
    <mergeCell ref="K25:L25"/>
    <mergeCell ref="K26:L26"/>
    <mergeCell ref="K27:L27"/>
    <mergeCell ref="K71:L71"/>
    <mergeCell ref="K68:L68"/>
    <mergeCell ref="K69:L69"/>
    <mergeCell ref="K72:L72"/>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K60:L60"/>
    <mergeCell ref="K61:L61"/>
    <mergeCell ref="K62:L62"/>
    <mergeCell ref="K63:L63"/>
    <mergeCell ref="K64:L64"/>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51:L51"/>
    <mergeCell ref="K52:L52"/>
    <mergeCell ref="K42:L42"/>
    <mergeCell ref="K43:L43"/>
    <mergeCell ref="K44:L44"/>
    <mergeCell ref="K45:L45"/>
    <mergeCell ref="K46:L46"/>
    <mergeCell ref="K47:L47"/>
    <mergeCell ref="K48:L48"/>
    <mergeCell ref="K49:L49"/>
    <mergeCell ref="K50:L50"/>
    <mergeCell ref="K33:L33"/>
    <mergeCell ref="K34:L34"/>
    <mergeCell ref="K35:L35"/>
    <mergeCell ref="K36:L36"/>
    <mergeCell ref="K37:L37"/>
    <mergeCell ref="K38:L38"/>
    <mergeCell ref="K28:L28"/>
    <mergeCell ref="K29:L29"/>
    <mergeCell ref="K30:L30"/>
    <mergeCell ref="K31:L31"/>
    <mergeCell ref="K32:L32"/>
    <mergeCell ref="K24:L24"/>
    <mergeCell ref="C73:G73"/>
    <mergeCell ref="B70:B71"/>
    <mergeCell ref="C70:D70"/>
    <mergeCell ref="C71:D71"/>
    <mergeCell ref="E70:F70"/>
    <mergeCell ref="E71:F71"/>
    <mergeCell ref="E36:F36"/>
    <mergeCell ref="C37:D37"/>
    <mergeCell ref="E37:F37"/>
    <mergeCell ref="E29:F29"/>
    <mergeCell ref="C31:D31"/>
    <mergeCell ref="E31:F31"/>
    <mergeCell ref="C32:D32"/>
    <mergeCell ref="E32:F32"/>
    <mergeCell ref="C33:D33"/>
    <mergeCell ref="E33:F33"/>
    <mergeCell ref="E30:F30"/>
    <mergeCell ref="A50:B50"/>
    <mergeCell ref="C74:G74"/>
    <mergeCell ref="C67:G67"/>
    <mergeCell ref="C69:F69"/>
    <mergeCell ref="E43:F43"/>
    <mergeCell ref="C44:D44"/>
    <mergeCell ref="E44:F44"/>
    <mergeCell ref="E38:F38"/>
    <mergeCell ref="C39:D39"/>
    <mergeCell ref="E39:F39"/>
    <mergeCell ref="C40:D40"/>
    <mergeCell ref="E40:F40"/>
    <mergeCell ref="E41:F41"/>
    <mergeCell ref="C50:D50"/>
    <mergeCell ref="E50:F50"/>
    <mergeCell ref="C51:D51"/>
    <mergeCell ref="E51:F51"/>
    <mergeCell ref="C52:D52"/>
    <mergeCell ref="E52:F52"/>
    <mergeCell ref="C53:D53"/>
    <mergeCell ref="E53:F53"/>
    <mergeCell ref="C54:D54"/>
    <mergeCell ref="E54:F54"/>
    <mergeCell ref="E55:F55"/>
    <mergeCell ref="C56:D56"/>
    <mergeCell ref="A3:G3"/>
    <mergeCell ref="A4:G4"/>
    <mergeCell ref="G14:G16"/>
    <mergeCell ref="C66:D66"/>
    <mergeCell ref="E66:F66"/>
    <mergeCell ref="C68:F68"/>
    <mergeCell ref="C72:F72"/>
    <mergeCell ref="C65:D65"/>
    <mergeCell ref="E65:F65"/>
    <mergeCell ref="C64:D64"/>
    <mergeCell ref="E64:F64"/>
    <mergeCell ref="C48:D48"/>
    <mergeCell ref="E48:F48"/>
    <mergeCell ref="C49:D49"/>
    <mergeCell ref="E49:F49"/>
    <mergeCell ref="C45:D45"/>
    <mergeCell ref="E45:F45"/>
    <mergeCell ref="C46:D46"/>
    <mergeCell ref="E46:F46"/>
    <mergeCell ref="C47:D47"/>
    <mergeCell ref="E47:F47"/>
    <mergeCell ref="C42:D42"/>
    <mergeCell ref="E42:F42"/>
    <mergeCell ref="C43:D43"/>
    <mergeCell ref="E8:F8"/>
    <mergeCell ref="E10:F10"/>
    <mergeCell ref="E21:F21"/>
    <mergeCell ref="E26:F26"/>
    <mergeCell ref="E11:F11"/>
    <mergeCell ref="E13:F13"/>
    <mergeCell ref="E17:F17"/>
    <mergeCell ref="E14:F16"/>
    <mergeCell ref="E25:F25"/>
    <mergeCell ref="E9:F9"/>
    <mergeCell ref="E22:F22"/>
    <mergeCell ref="E23:F23"/>
    <mergeCell ref="E20:F20"/>
    <mergeCell ref="E12:F12"/>
    <mergeCell ref="E18:F18"/>
    <mergeCell ref="E19:F19"/>
    <mergeCell ref="E24:F24"/>
    <mergeCell ref="C28:D28"/>
    <mergeCell ref="E28:F28"/>
    <mergeCell ref="E27:F27"/>
    <mergeCell ref="E34:F34"/>
    <mergeCell ref="C36:D36"/>
    <mergeCell ref="C6:D6"/>
    <mergeCell ref="C7:D7"/>
    <mergeCell ref="C8:D8"/>
    <mergeCell ref="C9:D9"/>
    <mergeCell ref="C10:D10"/>
    <mergeCell ref="C11:D11"/>
    <mergeCell ref="C13:D13"/>
    <mergeCell ref="C17:D17"/>
    <mergeCell ref="C27:D27"/>
    <mergeCell ref="C25:D25"/>
    <mergeCell ref="C22:D22"/>
    <mergeCell ref="C23:D23"/>
    <mergeCell ref="C18:D18"/>
    <mergeCell ref="C19:D19"/>
    <mergeCell ref="C14:D16"/>
    <mergeCell ref="C21:D21"/>
    <mergeCell ref="C24:D24"/>
    <mergeCell ref="E6:F6"/>
    <mergeCell ref="E7:F7"/>
    <mergeCell ref="E56:F56"/>
    <mergeCell ref="C57:D57"/>
    <mergeCell ref="E57:F57"/>
    <mergeCell ref="K67:L67"/>
    <mergeCell ref="M67:N67"/>
    <mergeCell ref="A7:B7"/>
    <mergeCell ref="C12:D12"/>
    <mergeCell ref="C20:D20"/>
    <mergeCell ref="A41:B41"/>
    <mergeCell ref="A47:B47"/>
    <mergeCell ref="A64:B64"/>
    <mergeCell ref="C30:D30"/>
    <mergeCell ref="E35:F35"/>
    <mergeCell ref="C35:D35"/>
    <mergeCell ref="C26:D26"/>
    <mergeCell ref="A8:B8"/>
    <mergeCell ref="A10:B10"/>
    <mergeCell ref="A21:B21"/>
    <mergeCell ref="A26:B26"/>
    <mergeCell ref="A35:B35"/>
    <mergeCell ref="C41:D41"/>
    <mergeCell ref="C29:D29"/>
    <mergeCell ref="C34:D34"/>
    <mergeCell ref="C38:D38"/>
    <mergeCell ref="K73:L73"/>
    <mergeCell ref="M73:N73"/>
    <mergeCell ref="A2:G2"/>
    <mergeCell ref="A11:B11"/>
    <mergeCell ref="A17:B17"/>
    <mergeCell ref="A13:B13"/>
    <mergeCell ref="A27:B27"/>
    <mergeCell ref="A30:B30"/>
    <mergeCell ref="A56:B56"/>
    <mergeCell ref="A59:B59"/>
    <mergeCell ref="C63:D63"/>
    <mergeCell ref="E63:F63"/>
    <mergeCell ref="C58:D58"/>
    <mergeCell ref="E58:F58"/>
    <mergeCell ref="C59:D59"/>
    <mergeCell ref="E59:F59"/>
    <mergeCell ref="C60:D60"/>
    <mergeCell ref="E60:F60"/>
    <mergeCell ref="C61:D61"/>
    <mergeCell ref="E61:F61"/>
    <mergeCell ref="C62:D62"/>
    <mergeCell ref="E62:F62"/>
    <mergeCell ref="A55:B55"/>
    <mergeCell ref="C55:D55"/>
  </mergeCells>
  <dataValidations count="15">
    <dataValidation type="decimal" allowBlank="1" showInputMessage="1" showErrorMessage="1" sqref="K31:N31 K9:N9 K24:N24" xr:uid="{00000000-0002-0000-0700-000000000000}">
      <formula1>0</formula1>
      <formula2>8</formula2>
    </dataValidation>
    <dataValidation type="decimal" allowBlank="1" showInputMessage="1" showErrorMessage="1" sqref="K40:N40 K33:N33 K25:N25 K29:N29 K57:N58 K61:N61" xr:uid="{00000000-0002-0000-0700-000001000000}">
      <formula1>0</formula1>
      <formula2>1.5</formula2>
    </dataValidation>
    <dataValidation type="decimal" allowBlank="1" showInputMessage="1" showErrorMessage="1" sqref="M14 E14 K52:N52 K14" xr:uid="{00000000-0002-0000-0700-000002000000}">
      <formula1>0</formula1>
      <formula2>4</formula2>
    </dataValidation>
    <dataValidation type="decimal" allowBlank="1" showInputMessage="1" showErrorMessage="1" sqref="K19:N19 K12:N12 K34:N34 K45:N45" xr:uid="{00000000-0002-0000-0700-000003000000}">
      <formula1>0</formula1>
      <formula2>3</formula2>
    </dataValidation>
    <dataValidation type="decimal" allowBlank="1" showInputMessage="1" showErrorMessage="1" sqref="K22:N22 K36:N37 K43:N43 K46:N46 K53:N53 K60:N60" xr:uid="{00000000-0002-0000-0700-000004000000}">
      <formula1>0</formula1>
      <formula2>2.5</formula2>
    </dataValidation>
    <dataValidation type="decimal" allowBlank="1" showInputMessage="1" showErrorMessage="1" sqref="K48:N48 K39:N39 K62:N62 K66:N66" xr:uid="{00000000-0002-0000-0700-000005000000}">
      <formula1>0</formula1>
      <formula2>1</formula2>
    </dataValidation>
    <dataValidation type="decimal" allowBlank="1" showInputMessage="1" showErrorMessage="1" sqref="K27:N27 K56:N56" xr:uid="{00000000-0002-0000-0700-000006000000}">
      <formula1>0</formula1>
      <formula2>9.5</formula2>
    </dataValidation>
    <dataValidation type="decimal" allowBlank="1" showInputMessage="1" showErrorMessage="1" sqref="K20:N20 K42:N42 K51:N51 K54:N54 K65:N65" xr:uid="{00000000-0002-0000-0700-000007000000}">
      <formula1>0</formula1>
      <formula2>2</formula2>
    </dataValidation>
    <dataValidation type="decimal" allowBlank="1" showInputMessage="1" showErrorMessage="1" sqref="K38:N38 K18:N18" xr:uid="{00000000-0002-0000-0700-000008000000}">
      <formula1>0</formula1>
      <formula2>3.5</formula2>
    </dataValidation>
    <dataValidation type="decimal" allowBlank="1" showInputMessage="1" showErrorMessage="1" sqref="K23:N23 K63:N63" xr:uid="{00000000-0002-0000-0700-000009000000}">
      <formula1>0</formula1>
      <formula2>4.5</formula2>
    </dataValidation>
    <dataValidation type="decimal" allowBlank="1" showInputMessage="1" showErrorMessage="1" sqref="K28:N28" xr:uid="{00000000-0002-0000-0700-00000A000000}">
      <formula1>0</formula1>
      <formula2>13.5</formula2>
    </dataValidation>
    <dataValidation type="decimal" allowBlank="1" showInputMessage="1" showErrorMessage="1" sqref="K32:N32 K44:N44" xr:uid="{00000000-0002-0000-0700-00000B000000}">
      <formula1>0</formula1>
      <formula2>0.5</formula2>
    </dataValidation>
    <dataValidation type="decimal" allowBlank="1" showInputMessage="1" showErrorMessage="1" sqref="K49:N49" xr:uid="{00000000-0002-0000-0700-00000C000000}">
      <formula1>0</formula1>
      <formula2>10</formula2>
    </dataValidation>
    <dataValidation type="decimal" allowBlank="1" showInputMessage="1" showErrorMessage="1" sqref="G9 G12 G14:G16 G65:G66 G18:G20 G28:G29 G31:G34 G36:G40 G42:G46 G48:G49 G51:G54 G57:G58 G60:G63 G22:G25" xr:uid="{00000000-0002-0000-0700-00000D000000}">
      <formula1>0</formula1>
      <formula2>C9</formula2>
    </dataValidation>
    <dataValidation type="list" allowBlank="1" showInputMessage="1" showErrorMessage="1" sqref="G72" xr:uid="{00000000-0002-0000-0700-00000E000000}">
      <formula1>"Y,N"</formula1>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60960</xdr:rowOff>
              </from>
              <to>
                <xdr:col>1</xdr:col>
                <xdr:colOff>342900</xdr:colOff>
                <xdr:row>2</xdr:row>
                <xdr:rowOff>1051560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E94172-C800-4331-BA83-4E1E248DB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215C53-2C22-4219-8C9B-71B7E8AB1640}">
  <ds:schemaRef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 ds:uri="89986424-938e-4f2a-9e21-28607cbc0c5b"/>
    <ds:schemaRef ds:uri="11f24c7f-c62d-4ad5-9a96-5376cfba1c82"/>
    <ds:schemaRef ds:uri="http://schemas.microsoft.com/office/2006/metadata/properties"/>
  </ds:schemaRefs>
</ds:datastoreItem>
</file>

<file path=customXml/itemProps3.xml><?xml version="1.0" encoding="utf-8"?>
<ds:datastoreItem xmlns:ds="http://schemas.openxmlformats.org/officeDocument/2006/customXml" ds:itemID="{A438BA46-8BCF-4149-8A3B-5291AA55F5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Sok Ming YEONG (BCA)</cp:lastModifiedBy>
  <cp:revision/>
  <dcterms:created xsi:type="dcterms:W3CDTF">2021-09-01T03:12:41Z</dcterms:created>
  <dcterms:modified xsi:type="dcterms:W3CDTF">2024-08-29T10:13:41Z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0x010100FF817A334131254FA24ACFAEA9B0C38B</vt:lpwstr>
  </property>
  <property fmtid="{D5CDD505-2E9C-101B-9397-08002B2CF9AE}" pid="3" name="MediaServiceImageTags">
    <vt:lpwstr/>
  </property>
  <property fmtid="{D5CDD505-2E9C-101B-9397-08002B2CF9AE}" pid="4" name="MSIP_Label_4aaa7e78-45b1-4890-b8a3-003d1d728a3e_Enabled">
    <vt:lpwstr>true</vt:lpwstr>
  </property>
  <property fmtid="{D5CDD505-2E9C-101B-9397-08002B2CF9AE}" pid="5" name="MSIP_Label_4aaa7e78-45b1-4890-b8a3-003d1d728a3e_SetDate">
    <vt:lpwstr>2024-08-29T10:13:35Z</vt:lpwstr>
  </property>
  <property fmtid="{D5CDD505-2E9C-101B-9397-08002B2CF9AE}" pid="6" name="MSIP_Label_4aaa7e78-45b1-4890-b8a3-003d1d728a3e_Method">
    <vt:lpwstr>Privileged</vt:lpwstr>
  </property>
  <property fmtid="{D5CDD505-2E9C-101B-9397-08002B2CF9AE}" pid="7" name="MSIP_Label_4aaa7e78-45b1-4890-b8a3-003d1d728a3e_Name">
    <vt:lpwstr>Non Sensitive</vt:lpwstr>
  </property>
  <property fmtid="{D5CDD505-2E9C-101B-9397-08002B2CF9AE}" pid="8" name="MSIP_Label_4aaa7e78-45b1-4890-b8a3-003d1d728a3e_SiteId">
    <vt:lpwstr>0b11c524-9a1c-4e1b-84cb-6336aefc2243</vt:lpwstr>
  </property>
  <property fmtid="{D5CDD505-2E9C-101B-9397-08002B2CF9AE}" pid="9" name="MSIP_Label_4aaa7e78-45b1-4890-b8a3-003d1d728a3e_ActionId">
    <vt:lpwstr>a877d81d-d651-42d6-bbc9-109d09e735b7</vt:lpwstr>
  </property>
  <property fmtid="{D5CDD505-2E9C-101B-9397-08002B2CF9AE}" pid="10" name="MSIP_Label_4aaa7e78-45b1-4890-b8a3-003d1d728a3e_ContentBits">
    <vt:lpwstr>0</vt:lpwstr>
  </property>
</Properties>
</file>