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defaultThemeVersion="166925"/>
  <mc:AlternateContent xmlns:mc="http://schemas.openxmlformats.org/markup-compatibility/2006">
    <mc:Choice Requires="x15">
      <x15ac:absPath xmlns:x15ac="http://schemas.microsoft.com/office/spreadsheetml/2010/11/ac" url="C:\Users\bca_sokming\Documents\0.website\20240827 update GM2021 website\"/>
    </mc:Choice>
  </mc:AlternateContent>
  <xr:revisionPtr revIDLastSave="0" documentId="13_ncr:1_{302131FF-62A6-4E91-8EA0-DF6C351CECED}" xr6:coauthVersionLast="47" xr6:coauthVersionMax="47" xr10:uidLastSave="{00000000-0000-0000-0000-000000000000}"/>
  <bookViews>
    <workbookView xWindow="-108" yWindow="-108" windowWidth="23256" windowHeight="14016" tabRatio="876" xr2:uid="{00000000-000D-0000-FFFF-FFFF00000000}"/>
  </bookViews>
  <sheets>
    <sheet name="1. Project Details" sheetId="32" r:id="rId1"/>
    <sheet name="2. Summary" sheetId="1" r:id="rId2"/>
    <sheet name="3. Energy Efficiency" sheetId="28" r:id="rId3"/>
    <sheet name="4. Resilience" sheetId="2" r:id="rId4"/>
    <sheet name="5. Whole Life Carbon" sheetId="3" r:id="rId5"/>
    <sheet name="6. Health&amp;Wellbeing" sheetId="34" r:id="rId6"/>
    <sheet name="7. Intelligence" sheetId="33" r:id="rId7"/>
    <sheet name="8. Maintainability" sheetId="30"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0" l="1"/>
  <c r="F52" i="2" l="1"/>
  <c r="D29" i="1" l="1"/>
  <c r="D28" i="1"/>
  <c r="D27" i="1"/>
  <c r="C11" i="1"/>
  <c r="D11" i="1"/>
  <c r="D26" i="1"/>
  <c r="D25" i="1"/>
  <c r="D24" i="1"/>
  <c r="C10" i="1"/>
  <c r="H6" i="34" l="1"/>
  <c r="H8" i="34" s="1"/>
  <c r="H3" i="34" s="1"/>
  <c r="H7" i="34"/>
  <c r="H10" i="34"/>
  <c r="H12" i="34"/>
  <c r="H20" i="34"/>
  <c r="H21" i="34"/>
  <c r="H29" i="34"/>
  <c r="H34" i="34"/>
  <c r="H38" i="34"/>
  <c r="H42" i="34"/>
  <c r="H43" i="34"/>
  <c r="H46" i="34" s="1"/>
  <c r="H44" i="34"/>
  <c r="H45" i="34"/>
  <c r="H51" i="34"/>
  <c r="H52" i="34" s="1"/>
  <c r="H55" i="34"/>
  <c r="H56" i="34" s="1"/>
  <c r="H63" i="34"/>
  <c r="H67" i="34"/>
  <c r="H72" i="34"/>
  <c r="H73" i="34" s="1"/>
  <c r="H75" i="34"/>
  <c r="H76" i="34"/>
  <c r="H80" i="34"/>
  <c r="H83" i="34"/>
  <c r="H86" i="34" s="1"/>
  <c r="H89" i="34"/>
  <c r="H87" i="34" s="1"/>
  <c r="H90" i="34"/>
  <c r="H48" i="3"/>
  <c r="C8" i="30"/>
  <c r="K62" i="30" l="1"/>
  <c r="M62" i="30" s="1"/>
  <c r="H39" i="34"/>
  <c r="H64" i="34"/>
  <c r="H2" i="34"/>
  <c r="F45" i="33" l="1"/>
  <c r="F19" i="33"/>
  <c r="F58" i="33"/>
  <c r="F57" i="33"/>
  <c r="F56" i="33"/>
  <c r="F55" i="33"/>
  <c r="F63" i="33"/>
  <c r="F62" i="33"/>
  <c r="F54" i="33"/>
  <c r="F53" i="33"/>
  <c r="F51" i="33"/>
  <c r="F48" i="33"/>
  <c r="F40" i="33"/>
  <c r="F32" i="33"/>
  <c r="F33" i="33" s="1"/>
  <c r="F30" i="33"/>
  <c r="F24" i="33"/>
  <c r="F23" i="33"/>
  <c r="F22" i="33"/>
  <c r="F18" i="33"/>
  <c r="F17" i="33"/>
  <c r="F16" i="33"/>
  <c r="F14" i="33"/>
  <c r="F13" i="33"/>
  <c r="F9" i="33"/>
  <c r="F5" i="33"/>
  <c r="F37" i="2"/>
  <c r="F57" i="2"/>
  <c r="F60" i="33" l="1"/>
  <c r="F59" i="33"/>
  <c r="F34" i="33" s="1"/>
  <c r="F25" i="33"/>
  <c r="F20" i="33" s="1"/>
  <c r="F10" i="33"/>
  <c r="H53" i="3"/>
  <c r="F3" i="33" l="1"/>
  <c r="F2" i="33" s="1"/>
  <c r="H66" i="3"/>
  <c r="H65" i="3"/>
  <c r="H67" i="3"/>
  <c r="E21" i="30"/>
  <c r="E30" i="30"/>
  <c r="E32" i="30"/>
  <c r="E42" i="30"/>
  <c r="E46" i="30"/>
  <c r="K61" i="30"/>
  <c r="M61" i="30" s="1"/>
  <c r="K60" i="30"/>
  <c r="M60" i="30" s="1"/>
  <c r="K59" i="30"/>
  <c r="M59" i="30" s="1"/>
  <c r="K58" i="30"/>
  <c r="M58" i="30" s="1"/>
  <c r="K56" i="30"/>
  <c r="M56" i="30" s="1"/>
  <c r="K55" i="30"/>
  <c r="M55" i="30" s="1"/>
  <c r="M54" i="30" s="1"/>
  <c r="K53" i="30"/>
  <c r="M53" i="30" s="1"/>
  <c r="K52" i="30"/>
  <c r="M52" i="30" s="1"/>
  <c r="K51" i="30"/>
  <c r="M51" i="30" s="1"/>
  <c r="K50" i="30"/>
  <c r="M50" i="30" s="1"/>
  <c r="K49" i="30"/>
  <c r="M49" i="30" s="1"/>
  <c r="K48" i="30"/>
  <c r="M48" i="30" s="1"/>
  <c r="K47" i="30"/>
  <c r="M47" i="30" s="1"/>
  <c r="K45" i="30"/>
  <c r="M45" i="30" s="1"/>
  <c r="K44" i="30"/>
  <c r="M44" i="30" s="1"/>
  <c r="K43" i="30"/>
  <c r="M43" i="30" s="1"/>
  <c r="K41" i="30"/>
  <c r="M41" i="30" s="1"/>
  <c r="K40" i="30"/>
  <c r="M40" i="30" s="1"/>
  <c r="K39" i="30"/>
  <c r="M39" i="30" s="1"/>
  <c r="K38" i="30"/>
  <c r="M38" i="30" s="1"/>
  <c r="K37" i="30"/>
  <c r="M37" i="30" s="1"/>
  <c r="K36" i="30"/>
  <c r="M36" i="30" s="1"/>
  <c r="K35" i="30"/>
  <c r="M35" i="30" s="1"/>
  <c r="K34" i="30"/>
  <c r="M34" i="30" s="1"/>
  <c r="K33" i="30"/>
  <c r="M33" i="30" s="1"/>
  <c r="K31" i="30"/>
  <c r="M31" i="30" s="1"/>
  <c r="K29" i="30"/>
  <c r="M29" i="30" s="1"/>
  <c r="K28" i="30"/>
  <c r="M28" i="30" s="1"/>
  <c r="K27" i="30"/>
  <c r="M27" i="30" s="1"/>
  <c r="K26" i="30"/>
  <c r="M26" i="30" s="1"/>
  <c r="K25" i="30"/>
  <c r="M25" i="30" s="1"/>
  <c r="K24" i="30"/>
  <c r="M24" i="30" s="1"/>
  <c r="K23" i="30"/>
  <c r="M23" i="30" s="1"/>
  <c r="K22" i="30"/>
  <c r="M22" i="30" s="1"/>
  <c r="K20" i="30"/>
  <c r="M20" i="30" s="1"/>
  <c r="K19" i="30"/>
  <c r="M19" i="30" s="1"/>
  <c r="K18" i="30"/>
  <c r="M18" i="30" s="1"/>
  <c r="K17" i="30"/>
  <c r="M17" i="30" s="1"/>
  <c r="K14" i="30"/>
  <c r="M14" i="30" s="1"/>
  <c r="K13" i="30"/>
  <c r="M13" i="30" s="1"/>
  <c r="K12" i="30"/>
  <c r="M12" i="30" s="1"/>
  <c r="K11" i="30"/>
  <c r="M11" i="30" s="1"/>
  <c r="K10" i="30"/>
  <c r="M10" i="30" s="1"/>
  <c r="K9" i="30"/>
  <c r="M9" i="30" s="1"/>
  <c r="K8" i="30"/>
  <c r="M8" i="30" s="1"/>
  <c r="K63" i="30"/>
  <c r="M63" i="30" s="1"/>
  <c r="K57" i="30"/>
  <c r="M57" i="30" s="1"/>
  <c r="C56" i="30"/>
  <c r="B56" i="30"/>
  <c r="C55" i="30"/>
  <c r="B55" i="30"/>
  <c r="C53" i="30"/>
  <c r="B53" i="30"/>
  <c r="C52" i="30"/>
  <c r="C51" i="30"/>
  <c r="B51" i="30"/>
  <c r="C50" i="30"/>
  <c r="C49" i="30"/>
  <c r="B49" i="30"/>
  <c r="C48" i="30"/>
  <c r="B48" i="30"/>
  <c r="C47" i="30"/>
  <c r="B47" i="30"/>
  <c r="C46" i="30"/>
  <c r="B46" i="30"/>
  <c r="C45" i="30"/>
  <c r="B45" i="30"/>
  <c r="C44" i="30"/>
  <c r="B44" i="30"/>
  <c r="C43" i="30"/>
  <c r="C42" i="30"/>
  <c r="B42" i="30"/>
  <c r="C41" i="30"/>
  <c r="B41" i="30"/>
  <c r="C40" i="30"/>
  <c r="B40" i="30"/>
  <c r="C39" i="30"/>
  <c r="B39" i="30"/>
  <c r="C38" i="30"/>
  <c r="B38" i="30"/>
  <c r="C37" i="30"/>
  <c r="B37" i="30"/>
  <c r="C36" i="30"/>
  <c r="C35" i="30"/>
  <c r="B35" i="30"/>
  <c r="C34" i="30"/>
  <c r="B34" i="30"/>
  <c r="C33" i="30"/>
  <c r="B33" i="30"/>
  <c r="C32" i="30"/>
  <c r="B32" i="30"/>
  <c r="C31" i="30"/>
  <c r="B31" i="30"/>
  <c r="C30" i="30"/>
  <c r="B30" i="30"/>
  <c r="C29" i="30"/>
  <c r="B29" i="30"/>
  <c r="C28" i="30"/>
  <c r="C27" i="30"/>
  <c r="B27" i="30"/>
  <c r="C26" i="30"/>
  <c r="B26" i="30"/>
  <c r="C25" i="30"/>
  <c r="B25" i="30"/>
  <c r="C24" i="30"/>
  <c r="B24" i="30"/>
  <c r="C23" i="30"/>
  <c r="B23" i="30"/>
  <c r="C22" i="30"/>
  <c r="C21" i="30"/>
  <c r="B21" i="30"/>
  <c r="C20" i="30"/>
  <c r="B20" i="30"/>
  <c r="C19" i="30"/>
  <c r="B19" i="30"/>
  <c r="C18" i="30"/>
  <c r="C17" i="30"/>
  <c r="A17" i="30"/>
  <c r="B16" i="30"/>
  <c r="B15" i="30"/>
  <c r="C14" i="30"/>
  <c r="B14" i="30"/>
  <c r="C13" i="30"/>
  <c r="A13" i="30"/>
  <c r="C12" i="30"/>
  <c r="B12" i="30"/>
  <c r="C11" i="30"/>
  <c r="A11" i="30"/>
  <c r="C10" i="30"/>
  <c r="C9" i="30"/>
  <c r="B9" i="30"/>
  <c r="C7" i="30"/>
  <c r="K54" i="30" l="1"/>
  <c r="E47" i="30"/>
  <c r="E56" i="30"/>
  <c r="E31" i="30"/>
  <c r="E18" i="30"/>
  <c r="E40" i="30"/>
  <c r="E34" i="30"/>
  <c r="E19" i="30"/>
  <c r="E20" i="30"/>
  <c r="E27" i="30"/>
  <c r="E24" i="30"/>
  <c r="E55" i="30"/>
  <c r="E41" i="30"/>
  <c r="E33" i="30"/>
  <c r="E35" i="30"/>
  <c r="E25" i="30"/>
  <c r="E45" i="30"/>
  <c r="E26" i="30"/>
  <c r="E17" i="30"/>
  <c r="C58" i="30"/>
  <c r="E39" i="30"/>
  <c r="E8" i="30"/>
  <c r="C59" i="30"/>
  <c r="E38" i="30"/>
  <c r="E48" i="30"/>
  <c r="E49" i="30"/>
  <c r="B32" i="1"/>
  <c r="G8" i="30"/>
  <c r="G11" i="30"/>
  <c r="G13" i="30"/>
  <c r="G17" i="30"/>
  <c r="G22" i="30"/>
  <c r="G28" i="30"/>
  <c r="G36" i="30"/>
  <c r="G43" i="30"/>
  <c r="G50" i="30"/>
  <c r="G52" i="30"/>
  <c r="G54" i="30"/>
  <c r="E54" i="30" l="1"/>
  <c r="E28" i="30"/>
  <c r="E9" i="30"/>
  <c r="E52" i="30"/>
  <c r="E53" i="30"/>
  <c r="E29" i="30"/>
  <c r="E50" i="30"/>
  <c r="E51" i="30"/>
  <c r="E11" i="30"/>
  <c r="E12" i="30"/>
  <c r="E43" i="30"/>
  <c r="E44" i="30"/>
  <c r="G10" i="30"/>
  <c r="J60" i="30" s="1"/>
  <c r="F22" i="2"/>
  <c r="E36" i="30" l="1"/>
  <c r="E37" i="30"/>
  <c r="E22" i="30"/>
  <c r="E23" i="30"/>
  <c r="H42" i="3"/>
  <c r="J63" i="30" l="1"/>
  <c r="J57" i="30"/>
  <c r="C57" i="30" s="1"/>
  <c r="E14" i="30"/>
  <c r="E13" i="30" l="1"/>
  <c r="G59" i="30"/>
  <c r="G60" i="30"/>
  <c r="H74" i="3"/>
  <c r="H72" i="3"/>
  <c r="H34" i="3"/>
  <c r="H27" i="3"/>
  <c r="E10" i="30" l="1"/>
  <c r="G61" i="30"/>
  <c r="C63" i="30" s="1"/>
  <c r="E60" i="30" l="1"/>
  <c r="C32" i="1"/>
  <c r="D32" i="1"/>
  <c r="C12" i="1" s="1"/>
  <c r="E61" i="30" l="1"/>
  <c r="H78" i="3"/>
  <c r="H79" i="3" s="1"/>
  <c r="H61" i="3"/>
  <c r="H59" i="3"/>
  <c r="H18" i="3"/>
  <c r="F46" i="2"/>
  <c r="F45" i="2"/>
  <c r="F32" i="2"/>
  <c r="F27" i="2"/>
  <c r="F14" i="2"/>
  <c r="F13" i="2"/>
  <c r="F12" i="2"/>
  <c r="F11" i="2"/>
  <c r="F16" i="2" s="1"/>
  <c r="C62" i="30" l="1"/>
  <c r="J62" i="30" s="1"/>
  <c r="C64" i="30" s="1"/>
  <c r="D12" i="1" s="1"/>
  <c r="H51" i="3"/>
  <c r="H57" i="3" l="1"/>
  <c r="D10" i="1" l="1"/>
  <c r="H16" i="3"/>
  <c r="H25" i="3"/>
  <c r="H29" i="3"/>
  <c r="H62" i="3"/>
  <c r="H68" i="3"/>
  <c r="H30" i="3" s="1"/>
  <c r="H76" i="3"/>
  <c r="H83" i="3"/>
  <c r="H82" i="3"/>
  <c r="H69" i="3" l="1"/>
  <c r="D23" i="1" s="1"/>
  <c r="D22" i="1"/>
  <c r="H80" i="3"/>
  <c r="H3" i="3"/>
  <c r="I34" i="2"/>
  <c r="I33" i="2"/>
  <c r="I32" i="2"/>
  <c r="F6" i="2"/>
  <c r="F7" i="2"/>
  <c r="F19" i="2"/>
  <c r="F20" i="2" s="1"/>
  <c r="F23" i="2"/>
  <c r="F69" i="2"/>
  <c r="F68" i="2"/>
  <c r="F64" i="2"/>
  <c r="F63" i="2"/>
  <c r="F59" i="2"/>
  <c r="F58" i="2"/>
  <c r="F50" i="2"/>
  <c r="F53" i="2" s="1"/>
  <c r="F44" i="2"/>
  <c r="F43" i="2"/>
  <c r="F47" i="2" s="1"/>
  <c r="F39" i="2"/>
  <c r="J34" i="2" l="1"/>
  <c r="F34" i="2"/>
  <c r="F35" i="2" s="1"/>
  <c r="D21" i="1"/>
  <c r="H2" i="3"/>
  <c r="C9" i="1" s="1"/>
  <c r="D9" i="1" s="1"/>
  <c r="F66" i="2"/>
  <c r="F8" i="2"/>
  <c r="F3" i="2" s="1"/>
  <c r="J32" i="2"/>
  <c r="F65" i="2"/>
  <c r="F60" i="2"/>
  <c r="F54" i="2" l="1"/>
  <c r="D20" i="1" s="1"/>
  <c r="D18" i="1"/>
  <c r="F28" i="2"/>
  <c r="D19" i="1" s="1"/>
  <c r="F2" i="2" l="1"/>
  <c r="C8" i="1" s="1"/>
  <c r="D8" i="1" s="1"/>
  <c r="C13" i="1" l="1"/>
</calcChain>
</file>

<file path=xl/sharedStrings.xml><?xml version="1.0" encoding="utf-8"?>
<sst xmlns="http://schemas.openxmlformats.org/spreadsheetml/2006/main" count="975" uniqueCount="525">
  <si>
    <t>GM: 2021 - Existing 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</si>
  <si>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</si>
  <si>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</si>
  <si>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</si>
  <si>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</si>
  <si>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</si>
  <si>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</si>
  <si>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</si>
  <si>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</si>
  <si>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</si>
  <si>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</si>
  <si>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</si>
  <si>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</si>
  <si>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</si>
  <si>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</si>
  <si>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</si>
  <si>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</si>
  <si>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</si>
  <si>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</si>
  <si>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</si>
  <si>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</si>
  <si>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</si>
  <si>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</si>
  <si>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</si>
  <si>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</si>
  <si>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</si>
  <si>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</si>
  <si>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</si>
  <si>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</si>
  <si>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</si>
  <si>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</si>
  <si>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</si>
  <si>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</si>
  <si>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</si>
  <si>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</si>
  <si>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</si>
  <si>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</si>
  <si>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</si>
  <si>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</si>
  <si>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</si>
  <si>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</si>
  <si>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</si>
  <si>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</si>
  <si>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</si>
  <si>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</si>
  <si>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</si>
  <si>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</si>
  <si>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</si>
  <si>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</si>
  <si>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</si>
  <si>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</si>
  <si>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</si>
  <si>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</si>
  <si>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</si>
  <si>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</si>
  <si>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</si>
  <si>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</si>
  <si>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</si>
  <si>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</si>
  <si>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</si>
  <si>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</si>
  <si>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Maintainability (MiDAS)</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</si>
  <si>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</si>
  <si>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</si>
  <si>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</si>
  <si>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</si>
  <si>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</si>
  <si>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</si>
  <si>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</si>
  <si>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</si>
  <si>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</si>
  <si>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2 - FIXED METRICS</t>
  </si>
  <si>
    <t>(i)</t>
  </si>
  <si>
    <t>Reduced Heat Gain (RETV)</t>
  </si>
  <si>
    <t>Input (#)</t>
  </si>
  <si>
    <t>(ii)</t>
  </si>
  <si>
    <t>Ventilation Performance of Dwelling Units
a) Option 1: Plan Level
b) Option 2: Simulation
c) Option 3: Simulation + PMV</t>
  </si>
  <si>
    <t>Option
1 / 2 / 3</t>
  </si>
  <si>
    <t>Input (%)</t>
  </si>
  <si>
    <t>(iii)</t>
  </si>
  <si>
    <t>ACMV TSE</t>
  </si>
  <si>
    <t>Single Phase (no. of ticks)</t>
  </si>
  <si>
    <t>(iv)</t>
  </si>
  <si>
    <t>Energy Efficient Dwelling Unit Equipment Selection</t>
  </si>
  <si>
    <t>Refrigerators (no. of ticks)</t>
  </si>
  <si>
    <t>Dryer (no. of ticks)</t>
  </si>
  <si>
    <t>Other applicances (no. of ticks)</t>
  </si>
  <si>
    <t>(v)</t>
  </si>
  <si>
    <t>Ventilation Performance - Common Areas</t>
  </si>
  <si>
    <t>(vi)</t>
  </si>
  <si>
    <t>Vertical Transportation System</t>
  </si>
  <si>
    <t>(vii)</t>
  </si>
  <si>
    <t>Lighting Power Budget</t>
  </si>
  <si>
    <t>(viii)</t>
  </si>
  <si>
    <t xml:space="preserve">Mechanical Ventilation </t>
  </si>
  <si>
    <t>(ix)</t>
  </si>
  <si>
    <t>Demand Control Systems</t>
  </si>
  <si>
    <t>(x)</t>
  </si>
  <si>
    <t>On-Site Renewables to offset common area consumption</t>
  </si>
  <si>
    <t>(xi)</t>
  </si>
  <si>
    <r>
      <t xml:space="preserve">On-Site Renewables - </t>
    </r>
    <r>
      <rPr>
        <i/>
        <sz val="12"/>
        <color theme="1"/>
        <rFont val="Calibri"/>
        <family val="2"/>
        <scheme val="minor"/>
      </rPr>
      <t>replacement to make up any deficiencies from the above list, with safety factor</t>
    </r>
  </si>
  <si>
    <t>CRITERIA FOR RESILIENCE SECTION</t>
  </si>
  <si>
    <t>Available points for Existing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</si>
  <si>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</si>
  <si>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</si>
  <si>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</si>
  <si>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</si>
  <si>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</si>
  <si>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</si>
  <si>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</si>
  <si>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</si>
  <si>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</si>
  <si>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</si>
  <si>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</si>
  <si>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</si>
  <si>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</si>
  <si>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</si>
  <si>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</si>
  <si>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</si>
  <si>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</si>
  <si>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</si>
  <si>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</si>
  <si>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</si>
  <si>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</si>
  <si>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</si>
  <si>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</si>
  <si>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</si>
  <si>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</si>
  <si>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</si>
  <si>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</si>
  <si>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</si>
  <si>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</si>
  <si>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</si>
  <si>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</si>
  <si>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</si>
  <si>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</si>
  <si>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</si>
  <si>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</si>
  <si>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</si>
  <si>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</si>
  <si>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</si>
  <si>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</si>
  <si>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</si>
  <si>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</si>
  <si>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</si>
  <si>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</si>
  <si>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</si>
  <si>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</si>
  <si>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</si>
  <si>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</si>
  <si>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</si>
  <si>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</si>
  <si>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</si>
  <si>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</si>
  <si>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</si>
  <si>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</si>
  <si>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</si>
  <si>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</si>
  <si>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</si>
  <si>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</si>
  <si>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Residential Buildings i.e. MCST's procurement of replaced systems for common areas and AGN venues.</t>
    </r>
  </si>
  <si>
    <t>1.5 point</t>
  </si>
  <si>
    <t>Adoption of Energy Performance Contract (EPC) by accredited EPC firm</t>
  </si>
  <si>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</si>
  <si>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</si>
  <si>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</si>
  <si>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</si>
  <si>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</si>
  <si>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</si>
  <si>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</si>
  <si>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</si>
  <si>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</si>
  <si>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</si>
  <si>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</si>
  <si>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</si>
  <si>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</si>
  <si>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</si>
  <si>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</si>
  <si>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</si>
  <si>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</si>
  <si>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</si>
  <si>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</si>
  <si>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</si>
  <si>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</si>
  <si>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</si>
  <si>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</si>
  <si>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</si>
  <si>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</si>
  <si>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</si>
  <si>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</si>
  <si>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</si>
  <si>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</si>
  <si>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</si>
  <si>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</si>
  <si>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</si>
  <si>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</si>
  <si>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</si>
  <si>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</si>
  <si>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</si>
  <si>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</si>
  <si>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</si>
  <si>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</si>
  <si>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</si>
  <si>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</si>
  <si>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</si>
  <si>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</si>
  <si>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</si>
  <si>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</si>
  <si>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</si>
  <si>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</si>
  <si>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</si>
  <si>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</si>
  <si>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</si>
  <si>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</si>
  <si>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</si>
  <si>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</si>
  <si>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</si>
  <si>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</si>
  <si>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</si>
  <si>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</si>
  <si>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</si>
  <si>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</si>
  <si>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Embodied Carbon Computation</t>
  </si>
  <si>
    <t xml:space="preserve">(i) </t>
  </si>
  <si>
    <t>Input (#) kg CO2e/m2</t>
  </si>
  <si>
    <t xml:space="preserve">(ii) </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</si>
  <si>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</si>
  <si>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</si>
  <si>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</si>
  <si>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</si>
  <si>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</si>
  <si>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</si>
  <si>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</si>
  <si>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</si>
  <si>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</si>
  <si>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</si>
  <si>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</si>
  <si>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</si>
  <si>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</si>
  <si>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</si>
  <si>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</si>
  <si>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</si>
  <si>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</si>
  <si>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</si>
  <si>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</si>
  <si>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</si>
  <si>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</si>
  <si>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</si>
  <si>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</si>
  <si>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</si>
  <si>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</si>
  <si>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</si>
  <si>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</si>
  <si>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</si>
  <si>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</si>
  <si>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</si>
  <si>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</si>
  <si>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</si>
  <si>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</si>
  <si>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</si>
  <si>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</si>
  <si>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</si>
  <si>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</si>
  <si>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</si>
  <si>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</si>
  <si>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</si>
  <si>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</si>
  <si>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</si>
  <si>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3 points</t>
  </si>
  <si>
    <t>SUB-TOTAL FOR CN 2.2</t>
  </si>
  <si>
    <t>CN2.3</t>
  </si>
  <si>
    <t>Conservation, Resource Recovery and Waste Management</t>
  </si>
  <si>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</si>
  <si>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</si>
  <si>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</si>
  <si>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</si>
  <si>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</si>
  <si>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</si>
  <si>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</si>
  <si>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</si>
  <si>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</si>
  <si>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</si>
  <si>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</si>
  <si>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</si>
  <si>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</si>
  <si>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</si>
  <si>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</si>
  <si>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</si>
  <si>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</si>
  <si>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</si>
  <si>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(e.g. MCST) offset their common areas operational energy through the procurement of renewables, or through the ongoing purchase of certified carbon offsets.
(a) ≥ 30% of common areas consumption
(b) ≥ 60% of common areas consumption
(c) ≥ 90% of common areas consumption</t>
  </si>
  <si>
    <t xml:space="preserve">1 point for (a)
2 points for (b)
3 points for (c)  </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</si>
  <si>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</si>
  <si>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</si>
  <si>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</si>
  <si>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</si>
  <si>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</si>
  <si>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</si>
  <si>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</si>
  <si>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</si>
  <si>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</si>
  <si>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</si>
  <si>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</si>
  <si>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</si>
  <si>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</si>
  <si>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</si>
  <si>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For residential buildings the common staircases shall be designed to encourage their use through attractive wayfinding and design including stair finishes, use of colour and lighting and finishes.
</t>
    </r>
    <r>
      <rPr>
        <sz val="12"/>
        <color theme="1"/>
        <rFont val="Calibri"/>
        <family val="2"/>
        <scheme val="minor"/>
      </rPr>
      <t>(a) at least 10 floors, including basement(s) and ground floor
(b) all floors</t>
    </r>
  </si>
  <si>
    <t>A/B</t>
  </si>
  <si>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</si>
  <si>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</si>
  <si>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</si>
  <si>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</si>
  <si>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</si>
  <si>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</si>
  <si>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</si>
  <si>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</si>
  <si>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</si>
  <si>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</si>
  <si>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</si>
  <si>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</si>
  <si>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</si>
  <si>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</si>
  <si>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</si>
  <si>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</si>
  <si>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</si>
  <si>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</si>
  <si>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</si>
  <si>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</si>
  <si>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</si>
  <si>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r>
      <rPr>
        <u/>
        <sz val="12"/>
        <color theme="1"/>
        <rFont val="Calibri"/>
        <family val="2"/>
        <scheme val="minor"/>
      </rPr>
      <t>Residential Buildings and Non Residential non Air-Conditioned functional spaces.</t>
    </r>
    <r>
      <rPr>
        <sz val="12"/>
        <color theme="1"/>
        <rFont val="Calibri"/>
        <family val="2"/>
        <scheme val="minor"/>
      </rPr>
      <t xml:space="preserve">
A. Thermal comfort simulation: -0.5&lt;PMV&lt;0.5
B. Effective cross ventilation 70% of habitable areas to meet the following
     • Area weighted average wind velocity of 0.6m/s OR
C. Prescriptive performance in table HW1.3
</t>
    </r>
    <r>
      <rPr>
        <i/>
        <sz val="11"/>
        <color theme="1"/>
        <rFont val="Calibri"/>
        <family val="2"/>
        <scheme val="minor"/>
      </rPr>
      <t>For draft sensitive sports spaces, or industrial buildings with occupancy densities less than 50m</t>
    </r>
    <r>
      <rPr>
        <i/>
        <vertAlign val="superscript"/>
        <sz val="11"/>
        <color theme="1"/>
        <rFont val="Calibri"/>
        <family val="2"/>
        <scheme val="minor"/>
      </rPr>
      <t>2</t>
    </r>
    <r>
      <rPr>
        <i/>
        <sz val="11"/>
        <color theme="1"/>
        <rFont val="Calibri"/>
        <family val="2"/>
        <scheme val="minor"/>
      </rPr>
      <t xml:space="preserve"> per person, projects can meet the following requirements in leu of a) and b):
• Air Change rate </t>
    </r>
    <r>
      <rPr>
        <sz val="11"/>
        <color theme="1"/>
        <rFont val="Calibri"/>
        <family val="2"/>
      </rPr>
      <t>≥</t>
    </r>
    <r>
      <rPr>
        <i/>
        <sz val="11"/>
        <color theme="1"/>
        <rFont val="Calibri"/>
        <family val="2"/>
        <scheme val="minor"/>
      </rPr>
      <t xml:space="preserve"> 10
• Air Change Effectiveness ≥ 1.2</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</si>
  <si>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</si>
  <si>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</si>
  <si>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</si>
  <si>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</si>
  <si>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</si>
  <si>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</si>
  <si>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</si>
  <si>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</si>
  <si>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</si>
  <si>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</si>
  <si>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</si>
  <si>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</si>
  <si>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</si>
  <si>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</si>
  <si>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</si>
  <si>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</si>
  <si>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</si>
  <si>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</si>
  <si>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</si>
  <si>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</si>
  <si>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</si>
  <si>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</si>
  <si>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</si>
  <si>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</si>
  <si>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</si>
  <si>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</si>
  <si>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</si>
  <si>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</si>
  <si>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</si>
  <si>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</si>
  <si>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</si>
  <si>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</si>
  <si>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</si>
  <si>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</si>
  <si>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</si>
  <si>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</si>
  <si>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</si>
  <si>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</si>
  <si>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</si>
  <si>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</si>
  <si>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</si>
  <si>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</si>
  <si>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</si>
  <si>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</si>
  <si>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</si>
  <si>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</si>
  <si>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</si>
  <si>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</si>
  <si>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</si>
  <si>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</si>
  <si>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</si>
  <si>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</si>
  <si>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</si>
  <si>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</si>
  <si>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</si>
  <si>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</si>
  <si>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</si>
  <si>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</si>
  <si>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</si>
  <si>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</si>
  <si>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</si>
  <si>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</si>
  <si>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</si>
  <si>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</si>
  <si>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</si>
  <si>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</si>
  <si>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</si>
  <si>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</si>
  <si>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</si>
  <si>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</si>
  <si>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</si>
  <si>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</si>
  <si>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</si>
  <si>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</si>
  <si>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</si>
  <si>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</si>
  <si>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</si>
  <si>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</si>
  <si>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</si>
  <si>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</si>
  <si>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</si>
  <si>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</si>
  <si>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</si>
  <si>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</si>
  <si>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</si>
  <si>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</si>
  <si>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</si>
  <si>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</si>
  <si>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</si>
  <si>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</si>
  <si>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</si>
  <si>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</si>
  <si>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</si>
  <si>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</si>
  <si>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</si>
  <si>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</si>
  <si>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</si>
  <si>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</si>
  <si>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</si>
  <si>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</si>
  <si>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</si>
  <si>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</si>
  <si>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</si>
  <si>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</si>
  <si>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</si>
  <si>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</si>
  <si>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</si>
  <si>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</si>
  <si>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</si>
  <si>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</si>
  <si>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</si>
  <si>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</si>
  <si>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</si>
  <si>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</si>
  <si>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</si>
  <si>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</si>
  <si>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</si>
  <si>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</si>
  <si>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</si>
  <si>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</si>
  <si>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</si>
  <si>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</si>
  <si>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</si>
  <si>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</si>
  <si>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</si>
  <si>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</si>
  <si>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</si>
  <si>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</si>
  <si>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</si>
  <si>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</si>
  <si>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</si>
  <si>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</si>
  <si>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</si>
  <si>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</si>
  <si>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</si>
  <si>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</si>
  <si>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</si>
  <si>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</si>
  <si>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</si>
  <si>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</si>
  <si>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</si>
  <si>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</si>
  <si>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</si>
  <si>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</si>
  <si>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</si>
  <si>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(ERB).xlsx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</si>
  <si>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</si>
  <si>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Available points for New Buildings</t>
  </si>
  <si>
    <t>Points Scored from Embedded Scoresheet</t>
  </si>
  <si>
    <t>Manual input of Points</t>
  </si>
  <si>
    <t>Section 0 - General</t>
  </si>
  <si>
    <t>Section 1 - Architectural Exterior</t>
  </si>
  <si>
    <t>1.5</t>
  </si>
  <si>
    <t>1.6</t>
  </si>
  <si>
    <t>Section 2 - Architectural Interior &amp; Common Areas</t>
  </si>
  <si>
    <t>Section 3 - Mechanical</t>
  </si>
  <si>
    <t>Section 4 - Electrical</t>
  </si>
  <si>
    <t>Section 5 - Landscape</t>
  </si>
  <si>
    <t>Section 6 - Facilities</t>
  </si>
  <si>
    <t>Section 7 - Smart FM</t>
  </si>
  <si>
    <t>Cybersecurity</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</si>
  <si>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</si>
  <si>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</si>
  <si>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</si>
  <si>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</si>
  <si>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</si>
  <si>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</si>
  <si>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</si>
  <si>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</si>
  <si>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</si>
  <si>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</si>
  <si>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</si>
  <si>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</si>
  <si>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</si>
  <si>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</si>
  <si>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</si>
  <si>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Circadian Lighting System</t>
    </r>
    <r>
      <rPr>
        <sz val="12"/>
        <color theme="1"/>
        <rFont val="Calibri"/>
        <family val="2"/>
        <scheme val="minor"/>
      </rPr>
      <t xml:space="preserve">
Colour shift lighting for the management office, outsourced workers rest areas, common lobbies and corridors, function rooms. Landscape and outdoor lighting for low colour temperatures (2700K) where used at night to prevent disturbance to residents sleep</t>
    </r>
  </si>
  <si>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</si>
  <si>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Restorative and community Spaces</t>
    </r>
    <r>
      <rPr>
        <sz val="11"/>
        <color theme="1"/>
        <rFont val="Calibri"/>
        <family val="2"/>
        <scheme val="minor"/>
      </rPr>
      <t xml:space="preserve">
</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</si>
  <si>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</si>
  <si>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</si>
  <si>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</si>
  <si>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level of coarse aggregate with CCA </t>
    </r>
    <r>
      <rPr>
        <sz val="12"/>
        <rFont val="Calibri"/>
        <family val="2"/>
      </rPr>
      <t>≥ 20%</t>
    </r>
  </si>
  <si>
    <t>Minimum extent of usage of CCA ≥ 1.5% of GFA</t>
  </si>
  <si>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</si>
  <si>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t>0.50 points / tick</t>
  </si>
  <si>
    <t>At least 50% offset of scope 2 emissions offset at verification stage</t>
  </si>
  <si>
    <t>(Reference values based on A1-A5 emissions for superstructure)</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</si>
  <si>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</si>
  <si>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(b) &gt;10% Reduction from the reference embodied carbon (for Concrete, Glass and Steel)
(c) &gt;30% Reduction from the reference embodied carbon (for Concrete, Glass and Steel)</t>
  </si>
  <si>
    <t xml:space="preserve">(a) </t>
  </si>
  <si>
    <t>CN1.1(ii)</t>
  </si>
  <si>
    <t>CN1.1(i)</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</si>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</sst>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vertAlign val="superscript"/>
      <sz val="11"/>
      <color theme="1"/>
      <name val="Calibri"/>
      <family val="2"/>
      <scheme val="minor"/>
    </font>
    <font>
      <sz val="11"/>
      <color theme="1"/>
      <name val="Calibri"/>
      <family val="2"/>
    </font>
    <font>
      <b/>
      <u/>
      <sz val="16"/>
      <color theme="1"/>
      <name val="Calibri"/>
      <family val="2"/>
      <scheme val="minor"/>
    </font>
    <font>
      <sz val="12"/>
      <color theme="0"/>
      <name val="Calibri"/>
      <family val="2"/>
      <scheme val="minor"/>
    </font>
    <font>
      <sz val="11"/>
      <color rgb="FF3F3F76"/>
      <name val="Calibri"/>
      <family val="2"/>
      <scheme val="minor"/>
    </font>
    <font>
      <b/>
      <u/>
      <sz val="16"/>
      <color rgb="FF9933FF"/>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7030A0"/>
      <name val="Calibri"/>
      <family val="2"/>
      <scheme val="minor"/>
    </font>
    <font>
      <b/>
      <sz val="16"/>
      <color theme="5"/>
      <name val="Calibri"/>
      <family val="2"/>
      <scheme val="minor"/>
    </font>
    <font>
      <sz val="10"/>
      <color theme="1"/>
      <name val="Calibri"/>
      <family val="2"/>
    </font>
    <font>
      <strike/>
      <sz val="12"/>
      <color theme="1"/>
      <name val="Calibri"/>
      <family val="2"/>
      <scheme val="minor"/>
    </font>
    <font>
      <sz val="12"/>
      <name val="Calibri"/>
      <family val="2"/>
    </font>
    <font>
      <u/>
      <sz val="12"/>
      <name val="Calibri"/>
      <family val="2"/>
      <scheme val="minor"/>
    </font>
    <font>
      <i/>
      <sz val="12"/>
      <name val="Calibri"/>
      <family val="2"/>
      <scheme val="minor"/>
    </font>
    <font>
      <vertAlign val="subscript"/>
      <sz val="12"/>
      <name val="Calibri"/>
      <family val="2"/>
      <scheme val="minor"/>
    </font>
    <font>
      <vertAlign val="super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CCFF"/>
        <bgColor indexed="64"/>
      </patternFill>
    </fill>
    <fill>
      <patternFill patternType="solid">
        <fgColor rgb="FFFFCC99"/>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3" fillId="34" borderId="34" applyNumberFormat="0" applyAlignment="0" applyProtection="0"/>
  </cellStyleXfs>
  <cellXfs count="541">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0" fillId="0" borderId="0" xfId="0" applyAlignment="1">
      <alignment wrapText="1"/>
    </xf>
    <xf numFmtId="0" fontId="32" fillId="27" borderId="15" xfId="0" applyFont="1" applyFill="1" applyBorder="1" applyAlignment="1">
      <alignment horizontal="left"/>
    </xf>
    <xf numFmtId="0" fontId="32" fillId="27" borderId="0" xfId="0" applyFont="1" applyFill="1" applyAlignment="1">
      <alignment horizontal="left"/>
    </xf>
    <xf numFmtId="0" fontId="32" fillId="27" borderId="27" xfId="0" applyFont="1" applyFill="1" applyBorder="1" applyAlignment="1">
      <alignment horizontal="left"/>
    </xf>
    <xf numFmtId="0" fontId="32" fillId="27" borderId="11" xfId="0" applyFont="1" applyFill="1" applyBorder="1" applyAlignment="1">
      <alignment horizontal="center" wrapText="1"/>
    </xf>
    <xf numFmtId="0" fontId="32" fillId="27" borderId="12" xfId="0" applyFont="1" applyFill="1" applyBorder="1" applyAlignment="1">
      <alignment horizontal="center"/>
    </xf>
    <xf numFmtId="0" fontId="32" fillId="27" borderId="8" xfId="0" applyFont="1" applyFill="1" applyBorder="1" applyAlignment="1">
      <alignment horizontal="center"/>
    </xf>
    <xf numFmtId="0" fontId="11" fillId="29" borderId="1" xfId="0" applyFont="1" applyFill="1" applyBorder="1" applyAlignment="1" applyProtection="1">
      <alignment horizontal="center" vertical="center"/>
      <protection locked="0"/>
    </xf>
    <xf numFmtId="0" fontId="0" fillId="0" borderId="0" xfId="0" applyAlignment="1">
      <alignment horizontal="center"/>
    </xf>
    <xf numFmtId="0" fontId="12" fillId="0" borderId="1" xfId="0" applyFont="1" applyBorder="1" applyAlignment="1">
      <alignment horizontal="left" vertical="center" wrapText="1"/>
    </xf>
    <xf numFmtId="0" fontId="10" fillId="7" borderId="1" xfId="0" applyFont="1" applyFill="1" applyBorder="1" applyAlignment="1">
      <alignment horizontal="left" vertical="center"/>
    </xf>
    <xf numFmtId="0" fontId="42" fillId="7" borderId="1" xfId="0" applyFont="1" applyFill="1" applyBorder="1" applyAlignment="1">
      <alignment horizontal="right" vertical="center"/>
    </xf>
    <xf numFmtId="0" fontId="0" fillId="0" borderId="1" xfId="0" applyBorder="1" applyProtection="1">
      <protection locked="0"/>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3" fillId="0" borderId="0" xfId="0" applyFont="1"/>
    <xf numFmtId="0" fontId="2" fillId="0" borderId="0" xfId="0" applyFont="1"/>
    <xf numFmtId="0" fontId="7" fillId="0" borderId="0" xfId="0" applyFont="1"/>
    <xf numFmtId="0" fontId="6" fillId="2" borderId="2" xfId="0" applyFont="1" applyFill="1" applyBorder="1" applyAlignment="1">
      <alignment horizontal="center"/>
    </xf>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18" fillId="28" borderId="1" xfId="0" applyFont="1" applyFill="1" applyBorder="1" applyAlignment="1">
      <alignment vertical="center"/>
    </xf>
    <xf numFmtId="0" fontId="11" fillId="0" borderId="1" xfId="0" applyFont="1" applyBorder="1" applyAlignment="1">
      <alignment horizontal="center" vertical="center"/>
    </xf>
    <xf numFmtId="0" fontId="10" fillId="30" borderId="1" xfId="0" applyFont="1" applyFill="1" applyBorder="1" applyAlignment="1">
      <alignment vertical="center"/>
    </xf>
    <xf numFmtId="0" fontId="4" fillId="0" borderId="1" xfId="0" applyFont="1" applyBorder="1"/>
    <xf numFmtId="1" fontId="11" fillId="0" borderId="1" xfId="1" applyNumberFormat="1" applyFont="1" applyBorder="1" applyAlignment="1">
      <alignment horizontal="center" vertical="center" wrapText="1"/>
    </xf>
    <xf numFmtId="1" fontId="11" fillId="29" borderId="1" xfId="1"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164" fontId="10" fillId="14"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164" fontId="4" fillId="9" borderId="5" xfId="0" applyNumberFormat="1"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164" fontId="4" fillId="10" borderId="1" xfId="0" applyNumberFormat="1" applyFont="1" applyFill="1" applyBorder="1" applyAlignment="1">
      <alignment vertical="center"/>
    </xf>
    <xf numFmtId="0" fontId="4" fillId="10" borderId="1" xfId="0" applyFont="1" applyFill="1" applyBorder="1" applyAlignment="1">
      <alignment vertical="center"/>
    </xf>
    <xf numFmtId="164" fontId="11"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164" fontId="11" fillId="12" borderId="2" xfId="0" applyNumberFormat="1" applyFont="1" applyFill="1" applyBorder="1" applyAlignment="1">
      <alignment horizontal="center" vertical="center" wrapText="1"/>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1" borderId="1" xfId="1" applyFont="1" applyFill="1" applyBorder="1" applyAlignment="1">
      <alignment vertical="center" wrapText="1"/>
    </xf>
    <xf numFmtId="0" fontId="4" fillId="0" borderId="1" xfId="1" applyFont="1" applyBorder="1" applyAlignment="1">
      <alignment vertical="center" wrapText="1"/>
    </xf>
    <xf numFmtId="0" fontId="4" fillId="13" borderId="1" xfId="1" applyFont="1" applyFill="1" applyBorder="1" applyAlignment="1">
      <alignment vertical="center" wrapText="1"/>
    </xf>
    <xf numFmtId="0" fontId="4" fillId="0" borderId="7" xfId="1" applyFont="1" applyBorder="1" applyAlignment="1">
      <alignment vertical="center" wrapText="1"/>
    </xf>
    <xf numFmtId="0" fontId="11" fillId="0" borderId="1" xfId="0" applyFont="1" applyBorder="1" applyAlignment="1">
      <alignment horizontal="center" vertical="center" wrapText="1"/>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0" borderId="7" xfId="0" applyFont="1" applyFill="1" applyBorder="1" applyAlignment="1">
      <alignment vertical="center"/>
    </xf>
    <xf numFmtId="0" fontId="4" fillId="0" borderId="1" xfId="0" applyFont="1" applyBorder="1" applyAlignment="1">
      <alignment horizontal="justify"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164" fontId="11" fillId="12" borderId="1" xfId="0" applyNumberFormat="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11" xfId="0" applyFont="1" applyFill="1" applyBorder="1" applyAlignment="1">
      <alignment vertical="center"/>
    </xf>
    <xf numFmtId="0" fontId="4" fillId="10" borderId="6" xfId="0" applyFont="1" applyFill="1" applyBorder="1" applyAlignment="1">
      <alignment vertical="center"/>
    </xf>
    <xf numFmtId="0" fontId="4" fillId="31"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10" fillId="14" borderId="9" xfId="0" applyFont="1" applyFill="1" applyBorder="1" applyAlignment="1">
      <alignment horizontal="center" vertical="center"/>
    </xf>
    <xf numFmtId="164" fontId="10" fillId="14" borderId="9" xfId="0" applyNumberFormat="1"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9" borderId="5"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2" applyFont="1" applyFill="1" applyBorder="1" applyAlignment="1">
      <alignment horizontal="center"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1" borderId="1" xfId="2" applyFont="1" applyFill="1" applyBorder="1" applyAlignment="1">
      <alignment vertical="center" wrapText="1"/>
    </xf>
    <xf numFmtId="0" fontId="4" fillId="0" borderId="1" xfId="2" applyFont="1" applyBorder="1" applyAlignment="1">
      <alignment vertical="center" wrapText="1"/>
    </xf>
    <xf numFmtId="164" fontId="4" fillId="0" borderId="1" xfId="2" applyNumberFormat="1"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lignment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5" borderId="1" xfId="0" applyFont="1" applyFill="1" applyBorder="1" applyAlignment="1">
      <alignment horizontal="center" vertical="center" wrapText="1"/>
    </xf>
    <xf numFmtId="0" fontId="4" fillId="12" borderId="1" xfId="2" applyFont="1" applyFill="1" applyBorder="1" applyAlignment="1">
      <alignment horizontal="center" vertical="center"/>
    </xf>
    <xf numFmtId="164" fontId="5" fillId="12" borderId="1" xfId="0" applyNumberFormat="1"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5" fillId="0" borderId="1" xfId="2" applyFont="1" applyBorder="1" applyAlignment="1">
      <alignment horizontal="center"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0" fontId="4" fillId="9" borderId="5" xfId="2" applyFont="1" applyFill="1" applyBorder="1" applyAlignment="1">
      <alignment horizontal="center" vertical="center"/>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0" fontId="4" fillId="0" borderId="1" xfId="0" applyFont="1" applyBorder="1" applyAlignment="1" applyProtection="1">
      <alignment vertical="center"/>
      <protection locked="0"/>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164" fontId="10" fillId="20" borderId="1" xfId="0" applyNumberFormat="1" applyFont="1" applyFill="1" applyBorder="1" applyAlignment="1">
      <alignment horizontal="center" vertical="top"/>
    </xf>
    <xf numFmtId="164" fontId="4" fillId="0" borderId="1" xfId="0" applyNumberFormat="1" applyFont="1" applyBorder="1" applyAlignment="1">
      <alignment horizontal="center" vertical="top"/>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164" fontId="5" fillId="19" borderId="1" xfId="0" applyNumberFormat="1" applyFont="1" applyFill="1" applyBorder="1" applyAlignment="1">
      <alignment horizontal="center" vertical="top"/>
    </xf>
    <xf numFmtId="0" fontId="4" fillId="0" borderId="19" xfId="0" applyFont="1" applyBorder="1" applyAlignment="1">
      <alignment horizontal="left" vertical="top"/>
    </xf>
    <xf numFmtId="0" fontId="4" fillId="0" borderId="21" xfId="0" applyFont="1" applyBorder="1" applyAlignment="1">
      <alignment vertical="top"/>
    </xf>
    <xf numFmtId="0" fontId="0" fillId="31" borderId="1" xfId="0" applyFill="1" applyBorder="1" applyAlignment="1">
      <alignment horizontal="center" vertical="center"/>
    </xf>
    <xf numFmtId="0" fontId="4" fillId="5" borderId="1" xfId="2" applyFont="1" applyFill="1" applyBorder="1" applyAlignment="1">
      <alignment horizontal="center" vertical="center"/>
    </xf>
    <xf numFmtId="164" fontId="5" fillId="5" borderId="1" xfId="0" applyNumberFormat="1" applyFont="1" applyFill="1" applyBorder="1" applyAlignment="1">
      <alignment horizontal="center" vertical="top"/>
    </xf>
    <xf numFmtId="0" fontId="4" fillId="5" borderId="1" xfId="0" applyFont="1" applyFill="1" applyBorder="1" applyAlignment="1">
      <alignment horizontal="center" vertical="top"/>
    </xf>
    <xf numFmtId="0" fontId="5" fillId="0" borderId="1" xfId="0" applyFont="1" applyBorder="1" applyAlignment="1">
      <alignment horizontal="center" vertical="center" wrapText="1"/>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164" fontId="10" fillId="16" borderId="6" xfId="0" applyNumberFormat="1" applyFont="1" applyFill="1" applyBorder="1" applyAlignment="1">
      <alignment horizontal="center" vertical="center"/>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164" fontId="4" fillId="19" borderId="1" xfId="0" applyNumberFormat="1" applyFont="1" applyFill="1" applyBorder="1" applyAlignment="1">
      <alignment vertical="center"/>
    </xf>
    <xf numFmtId="0" fontId="5" fillId="0" borderId="1" xfId="0" applyFont="1" applyBorder="1" applyAlignment="1">
      <alignment vertical="center"/>
    </xf>
    <xf numFmtId="164" fontId="4" fillId="0" borderId="1" xfId="0" applyNumberFormat="1"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164" fontId="4" fillId="0" borderId="1" xfId="0" applyNumberFormat="1" applyFont="1" applyBorder="1" applyAlignment="1">
      <alignment vertical="center" wrapText="1"/>
    </xf>
    <xf numFmtId="0" fontId="10" fillId="20" borderId="2" xfId="0" applyFont="1" applyFill="1" applyBorder="1" applyAlignment="1">
      <alignment horizontal="center" vertical="top"/>
    </xf>
    <xf numFmtId="164" fontId="5" fillId="0" borderId="1" xfId="0" applyNumberFormat="1" applyFont="1" applyBorder="1" applyAlignment="1">
      <alignment horizontal="center" vertical="center" wrapText="1"/>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164" fontId="11" fillId="23" borderId="5" xfId="0" applyNumberFormat="1"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164" fontId="11" fillId="21" borderId="1" xfId="0" applyNumberFormat="1"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164" fontId="11" fillId="22" borderId="1" xfId="0" applyNumberFormat="1" applyFont="1" applyFill="1" applyBorder="1" applyAlignment="1">
      <alignment horizontal="center" vertical="center"/>
    </xf>
    <xf numFmtId="164" fontId="5" fillId="24" borderId="1" xfId="0" applyNumberFormat="1" applyFont="1" applyFill="1" applyBorder="1" applyAlignment="1">
      <alignment horizontal="center" vertical="center"/>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164" fontId="11" fillId="23" borderId="1" xfId="0" applyNumberFormat="1" applyFont="1" applyFill="1" applyBorder="1" applyAlignment="1">
      <alignment horizontal="center" vertical="center"/>
    </xf>
    <xf numFmtId="0" fontId="11" fillId="23" borderId="1" xfId="0" applyFont="1" applyFill="1" applyBorder="1" applyAlignment="1">
      <alignment vertical="center"/>
    </xf>
    <xf numFmtId="0" fontId="11" fillId="0" borderId="1" xfId="0" applyFont="1" applyBorder="1" applyAlignment="1">
      <alignment horizontal="center" vertical="top"/>
    </xf>
    <xf numFmtId="0" fontId="11" fillId="22" borderId="1" xfId="0" applyFont="1" applyFill="1" applyBorder="1" applyAlignment="1">
      <alignment horizontal="center" vertical="center"/>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31" borderId="1" xfId="0" applyFont="1" applyFill="1" applyBorder="1" applyAlignment="1">
      <alignment horizontal="center" vertical="center"/>
    </xf>
    <xf numFmtId="0" fontId="12" fillId="31" borderId="1" xfId="0" applyFont="1" applyFill="1" applyBorder="1" applyAlignment="1">
      <alignment horizontal="center" vertical="center"/>
    </xf>
    <xf numFmtId="0" fontId="12" fillId="0" borderId="1" xfId="0" applyFont="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horizontal="center" vertical="center" wrapText="1"/>
    </xf>
    <xf numFmtId="0" fontId="4" fillId="0" borderId="1" xfId="1" applyFont="1" applyBorder="1" applyAlignment="1">
      <alignment horizontal="center" vertical="center"/>
    </xf>
    <xf numFmtId="0" fontId="5" fillId="25"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0" fillId="0" borderId="0" xfId="0" applyProtection="1">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10" fillId="20" borderId="1" xfId="0" applyFont="1" applyFill="1" applyBorder="1" applyAlignment="1">
      <alignment horizontal="left" vertical="top" wrapText="1"/>
    </xf>
    <xf numFmtId="0" fontId="5" fillId="0" borderId="1" xfId="0" applyFont="1" applyBorder="1" applyAlignment="1">
      <alignment horizontal="center" vertical="top"/>
    </xf>
    <xf numFmtId="0" fontId="4" fillId="0" borderId="1" xfId="0" applyFont="1" applyBorder="1" applyAlignment="1">
      <alignment horizontal="center" vertical="top"/>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0" fontId="11" fillId="22" borderId="1" xfId="0" applyFont="1" applyFill="1" applyBorder="1" applyAlignment="1">
      <alignment horizontal="left" vertical="top" wrapText="1"/>
    </xf>
    <xf numFmtId="0" fontId="4" fillId="31"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2" fillId="0" borderId="0" xfId="0" applyFont="1" applyProtection="1">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1" fillId="11" borderId="1" xfId="0" applyFont="1" applyFill="1" applyBorder="1" applyAlignment="1">
      <alignment horizontal="center" vertical="center"/>
    </xf>
    <xf numFmtId="0" fontId="15" fillId="0" borderId="0" xfId="0" applyFont="1" applyAlignment="1" applyProtection="1">
      <alignment horizontal="center"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2" fontId="10" fillId="32" borderId="1" xfId="0" applyNumberFormat="1" applyFont="1" applyFill="1" applyBorder="1" applyAlignment="1">
      <alignment horizontal="center" vertical="center" wrapText="1"/>
    </xf>
    <xf numFmtId="0" fontId="0" fillId="0" borderId="0" xfId="0" applyAlignment="1" applyProtection="1">
      <alignment wrapText="1"/>
      <protection locked="0"/>
    </xf>
    <xf numFmtId="0" fontId="12" fillId="34" borderId="1" xfId="4" applyFont="1" applyBorder="1" applyAlignment="1" applyProtection="1">
      <alignment horizontal="center"/>
      <protection locked="0"/>
    </xf>
    <xf numFmtId="0" fontId="4" fillId="0" borderId="0" xfId="0" applyFont="1" applyAlignment="1">
      <alignment horizontal="center"/>
    </xf>
    <xf numFmtId="0" fontId="4" fillId="0" borderId="0" xfId="0" applyFont="1" applyAlignment="1" applyProtection="1">
      <alignment wrapText="1"/>
      <protection locked="0"/>
    </xf>
    <xf numFmtId="2" fontId="12" fillId="13"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2" fillId="7" borderId="2" xfId="0" applyFont="1" applyFill="1" applyBorder="1" applyAlignment="1">
      <alignment horizontal="right" vertical="center"/>
    </xf>
    <xf numFmtId="0" fontId="12" fillId="34" borderId="1" xfId="4" applyFont="1" applyBorder="1" applyAlignment="1" applyProtection="1">
      <alignment horizontal="center" vertical="center"/>
      <protection locked="0"/>
    </xf>
    <xf numFmtId="2" fontId="12" fillId="34" borderId="1" xfId="4" applyNumberFormat="1" applyFont="1" applyBorder="1" applyAlignment="1" applyProtection="1">
      <alignment horizontal="center" vertical="center" wrapText="1"/>
      <protection locked="0"/>
    </xf>
    <xf numFmtId="2" fontId="5" fillId="2"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7" fillId="0" borderId="1" xfId="0" applyNumberFormat="1" applyFont="1" applyBorder="1" applyAlignment="1">
      <alignment horizontal="center"/>
    </xf>
    <xf numFmtId="0" fontId="31" fillId="0" borderId="0" xfId="0" applyFont="1" applyProtection="1">
      <protection locked="0"/>
    </xf>
    <xf numFmtId="0" fontId="33" fillId="0" borderId="0" xfId="0" applyFont="1" applyProtection="1">
      <protection locked="0"/>
    </xf>
    <xf numFmtId="0" fontId="35" fillId="0" borderId="0" xfId="0" applyFont="1" applyProtection="1">
      <protection locked="0"/>
    </xf>
    <xf numFmtId="0" fontId="34" fillId="0" borderId="1" xfId="0" applyFont="1" applyBorder="1" applyProtection="1">
      <protection locked="0"/>
    </xf>
    <xf numFmtId="0" fontId="34" fillId="0" borderId="1" xfId="0" applyFont="1" applyBorder="1" applyAlignment="1" applyProtection="1">
      <alignment vertical="center"/>
      <protection locked="0"/>
    </xf>
    <xf numFmtId="0" fontId="11" fillId="35" borderId="1" xfId="0" applyFont="1" applyFill="1" applyBorder="1" applyAlignment="1" applyProtection="1">
      <alignment horizontal="center" vertical="center"/>
      <protection locked="0"/>
    </xf>
    <xf numFmtId="0" fontId="4" fillId="0" borderId="1" xfId="1" applyFont="1" applyBorder="1" applyAlignment="1">
      <alignment horizontal="left" vertical="center" wrapText="1"/>
    </xf>
    <xf numFmtId="0" fontId="4" fillId="0" borderId="1" xfId="2" applyFont="1" applyBorder="1" applyAlignment="1">
      <alignment vertical="center"/>
    </xf>
    <xf numFmtId="2" fontId="11" fillId="0" borderId="1" xfId="0" applyNumberFormat="1" applyFont="1" applyBorder="1" applyAlignment="1">
      <alignment horizontal="center" vertical="center" wrapText="1"/>
    </xf>
    <xf numFmtId="0" fontId="4" fillId="0" borderId="1" xfId="0" applyFont="1" applyBorder="1" applyAlignment="1" applyProtection="1">
      <alignment vertical="top" wrapText="1"/>
      <protection locked="0"/>
    </xf>
    <xf numFmtId="0" fontId="50" fillId="0" borderId="19" xfId="0" applyFont="1" applyBorder="1" applyAlignment="1">
      <alignment vertical="top" wrapText="1"/>
    </xf>
    <xf numFmtId="0" fontId="4" fillId="31"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1"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19" borderId="1" xfId="0" applyFont="1" applyFill="1" applyBorder="1" applyAlignment="1">
      <alignment horizontal="center" vertical="top"/>
    </xf>
    <xf numFmtId="0" fontId="6" fillId="0" borderId="1" xfId="0" applyFont="1" applyBorder="1" applyAlignment="1">
      <alignment horizontal="center" vertical="center"/>
    </xf>
    <xf numFmtId="0" fontId="0" fillId="8" borderId="1" xfId="0" applyFill="1" applyBorder="1" applyProtection="1">
      <protection locked="0"/>
    </xf>
    <xf numFmtId="0" fontId="31" fillId="0" borderId="1" xfId="0" applyFont="1" applyBorder="1" applyAlignment="1">
      <alignment horizontal="left" vertical="center" wrapText="1"/>
    </xf>
    <xf numFmtId="0" fontId="32" fillId="0" borderId="1" xfId="0" applyFont="1" applyBorder="1" applyAlignment="1">
      <alignment horizontal="center"/>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31" fillId="0" borderId="1" xfId="0" applyFont="1" applyBorder="1" applyAlignment="1">
      <alignment horizontal="left" vertical="top" wrapText="1"/>
    </xf>
    <xf numFmtId="0" fontId="38" fillId="0" borderId="1" xfId="0" applyFont="1" applyBorder="1" applyAlignment="1">
      <alignment horizontal="left" vertical="center" wrapText="1"/>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0" fillId="0" borderId="1" xfId="0" applyBorder="1" applyAlignment="1">
      <alignment horizontal="center" vertical="center"/>
    </xf>
    <xf numFmtId="0" fontId="11" fillId="30" borderId="1" xfId="0" applyFont="1" applyFill="1" applyBorder="1" applyAlignment="1">
      <alignment horizontal="left" vertical="center"/>
    </xf>
    <xf numFmtId="0" fontId="13" fillId="28"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left" vertical="center" wrapText="1"/>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0" fillId="15"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12" borderId="1" xfId="2" applyFont="1" applyFill="1" applyBorder="1" applyAlignment="1">
      <alignment horizontal="right" vertical="center" wrapText="1"/>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4" fillId="13" borderId="2" xfId="1" applyFont="1" applyFill="1" applyBorder="1" applyAlignment="1">
      <alignment horizontal="left" vertical="center" wrapText="1"/>
    </xf>
    <xf numFmtId="0" fontId="4" fillId="13" borderId="3" xfId="1"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12" borderId="6" xfId="2" applyFont="1" applyFill="1" applyBorder="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10" fillId="14" borderId="1"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19" borderId="5" xfId="0" applyFont="1" applyFill="1" applyBorder="1" applyAlignment="1">
      <alignment horizontal="left" vertical="top" wrapText="1"/>
    </xf>
    <xf numFmtId="0" fontId="12" fillId="0" borderId="5" xfId="0" applyFont="1" applyBorder="1" applyAlignment="1">
      <alignment horizontal="left" vertical="top"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5" xfId="0" applyFont="1" applyBorder="1" applyAlignment="1">
      <alignment horizontal="left" vertical="center"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4" fillId="0" borderId="0" xfId="0" applyFont="1" applyAlignment="1">
      <alignment horizontal="left" vertical="top" wrapText="1"/>
    </xf>
    <xf numFmtId="0" fontId="5" fillId="0" borderId="7"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5" fillId="31" borderId="7" xfId="0" applyFont="1" applyFill="1" applyBorder="1" applyAlignment="1">
      <alignment horizontal="center" vertical="center"/>
    </xf>
    <xf numFmtId="0" fontId="4" fillId="0" borderId="24" xfId="0" applyFont="1" applyBorder="1" applyAlignment="1">
      <alignment horizontal="center" vertical="top" wrapText="1"/>
    </xf>
    <xf numFmtId="0" fontId="5" fillId="0" borderId="1" xfId="0" applyFont="1" applyBorder="1" applyAlignment="1">
      <alignment horizontal="center" vertical="top"/>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31" borderId="2" xfId="0" applyFont="1" applyFill="1" applyBorder="1" applyAlignment="1">
      <alignment horizontal="center" vertical="center"/>
    </xf>
    <xf numFmtId="0" fontId="4" fillId="31" borderId="10" xfId="0" applyFont="1" applyFill="1" applyBorder="1" applyAlignment="1">
      <alignment horizontal="center" vertical="center"/>
    </xf>
    <xf numFmtId="0" fontId="4" fillId="31" borderId="3" xfId="0" applyFont="1" applyFill="1" applyBorder="1" applyAlignment="1">
      <alignment horizontal="center" vertical="center"/>
    </xf>
    <xf numFmtId="0" fontId="5" fillId="0" borderId="10" xfId="0"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top" wrapText="1"/>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12" fillId="0" borderId="7" xfId="0" applyFont="1" applyBorder="1" applyAlignment="1">
      <alignment horizontal="left" vertical="top" wrapText="1"/>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5" fillId="0" borderId="1" xfId="0" applyFont="1" applyBorder="1" applyAlignment="1" applyProtection="1">
      <alignment horizontal="center" vertical="top"/>
      <protection locked="0"/>
    </xf>
    <xf numFmtId="0" fontId="5" fillId="31" borderId="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24" borderId="1" xfId="0" applyFont="1" applyFill="1" applyBorder="1" applyAlignment="1">
      <alignment horizontal="right" vertical="center"/>
    </xf>
    <xf numFmtId="0" fontId="11" fillId="23" borderId="1" xfId="0" applyFont="1" applyFill="1" applyBorder="1" applyAlignment="1">
      <alignment horizontal="left" vertical="top"/>
    </xf>
    <xf numFmtId="0" fontId="11" fillId="22" borderId="1" xfId="0" applyFont="1" applyFill="1" applyBorder="1" applyAlignment="1">
      <alignment horizontal="left" vertical="center" wrapText="1"/>
    </xf>
    <xf numFmtId="0" fontId="11" fillId="22" borderId="1" xfId="0" applyFont="1" applyFill="1" applyBorder="1" applyAlignment="1">
      <alignment horizontal="left" vertical="top" wrapText="1"/>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20"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1" fillId="21" borderId="5" xfId="0" applyFont="1" applyFill="1" applyBorder="1" applyAlignment="1">
      <alignment horizontal="left" vertical="top" wrapText="1"/>
    </xf>
    <xf numFmtId="0" fontId="11" fillId="22" borderId="5" xfId="0" applyFont="1" applyFill="1" applyBorder="1" applyAlignment="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4" fillId="31" borderId="1" xfId="0" applyFont="1" applyFill="1" applyBorder="1" applyAlignment="1">
      <alignment horizontal="center" vertical="center"/>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6" xfId="0" applyFont="1" applyBorder="1" applyAlignment="1">
      <alignment horizontal="left" vertical="top" wrapText="1"/>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49" fontId="4" fillId="13"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2" fontId="4" fillId="0" borderId="1" xfId="0" applyNumberFormat="1" applyFont="1" applyBorder="1" applyAlignment="1">
      <alignment horizontal="center" vertical="center" wrapText="1"/>
    </xf>
    <xf numFmtId="2" fontId="12" fillId="0" borderId="7"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2" fontId="10" fillId="32" borderId="1" xfId="0" applyNumberFormat="1" applyFont="1" applyFill="1" applyBorder="1" applyAlignment="1">
      <alignment horizontal="center" vertical="center" wrapText="1"/>
    </xf>
    <xf numFmtId="0" fontId="10" fillId="32" borderId="1" xfId="0" applyFont="1" applyFill="1" applyBorder="1" applyAlignment="1">
      <alignment horizontal="center" vertical="center" wrapText="1"/>
    </xf>
    <xf numFmtId="2" fontId="4" fillId="0" borderId="1" xfId="0" applyNumberFormat="1" applyFont="1" applyBorder="1" applyAlignment="1">
      <alignment horizontal="center"/>
    </xf>
    <xf numFmtId="0" fontId="9" fillId="2" borderId="1" xfId="0" applyFont="1" applyFill="1" applyBorder="1" applyAlignment="1">
      <alignment horizontal="center" vertical="center" wrapText="1"/>
    </xf>
    <xf numFmtId="2" fontId="5" fillId="33" borderId="1" xfId="0" applyNumberFormat="1" applyFont="1" applyFill="1" applyBorder="1" applyAlignment="1">
      <alignment horizontal="center" vertical="center"/>
    </xf>
    <xf numFmtId="0" fontId="5" fillId="33" borderId="1" xfId="0" applyFont="1" applyFill="1" applyBorder="1" applyAlignment="1">
      <alignment horizontal="center" vertical="center"/>
    </xf>
    <xf numFmtId="2"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0" fontId="12" fillId="0" borderId="1" xfId="0" applyFont="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10" fillId="32" borderId="1" xfId="0" applyFont="1" applyFill="1" applyBorder="1" applyAlignment="1">
      <alignment horizontal="left" vertical="center"/>
    </xf>
    <xf numFmtId="2" fontId="12" fillId="0" borderId="5" xfId="0" applyNumberFormat="1" applyFont="1" applyBorder="1" applyAlignment="1">
      <alignment horizontal="center" vertical="center"/>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0" fontId="45" fillId="0" borderId="31" xfId="0" applyFont="1" applyBorder="1" applyAlignment="1">
      <alignment horizontal="left" vertical="top" wrapText="1"/>
    </xf>
    <xf numFmtId="0" fontId="44" fillId="0" borderId="32" xfId="0" applyFont="1" applyBorder="1" applyAlignment="1">
      <alignment horizontal="left" vertical="top" wrapText="1"/>
    </xf>
    <xf numFmtId="0" fontId="44" fillId="0" borderId="33" xfId="0" applyFont="1" applyBorder="1" applyAlignment="1">
      <alignment horizontal="left" vertical="top"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5" fillId="33" borderId="7" xfId="0" applyFont="1" applyFill="1" applyBorder="1" applyAlignment="1">
      <alignment horizontal="left" vertical="center"/>
    </xf>
    <xf numFmtId="0" fontId="5" fillId="33" borderId="6" xfId="0" applyFont="1" applyFill="1" applyBorder="1" applyAlignment="1">
      <alignment horizontal="left" vertical="center"/>
    </xf>
    <xf numFmtId="0" fontId="0" fillId="0" borderId="1" xfId="0" applyBorder="1" applyAlignment="1">
      <alignment horizontal="center"/>
    </xf>
    <xf numFmtId="2" fontId="12" fillId="34" borderId="1" xfId="4" applyNumberFormat="1" applyFont="1" applyBorder="1" applyAlignment="1" applyProtection="1">
      <alignment horizontal="center" vertical="center"/>
      <protection locked="0"/>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0"/>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486810"/>
          <a:ext cx="1076406" cy="1059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326745</xdr:rowOff>
    </xdr:from>
    <xdr:ext cx="6038384" cy="34278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21287" y="574395"/>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317753</xdr:colOff>
      <xdr:row>2</xdr:row>
      <xdr:rowOff>494424</xdr:rowOff>
    </xdr:from>
    <xdr:to>
      <xdr:col>1</xdr:col>
      <xdr:colOff>2135687</xdr:colOff>
      <xdr:row>2</xdr:row>
      <xdr:rowOff>498138</xdr:rowOff>
    </xdr:to>
    <xdr:cxnSp macro="">
      <xdr:nvCxnSpPr>
        <xdr:cNvPr id="3" name="Straight Arrow Connector 2">
          <a:extLst>
            <a:ext uri="{FF2B5EF4-FFF2-40B4-BE49-F238E27FC236}">
              <a16:creationId xmlns:a16="http://schemas.microsoft.com/office/drawing/2014/main" id="{00000000-0008-0000-0700-000003000000}"/>
            </a:ext>
          </a:extLst>
        </xdr:cNvPr>
        <xdr:cNvCxnSpPr>
          <a:stCxn id="2" idx="1"/>
        </xdr:cNvCxnSpPr>
      </xdr:nvCxnSpPr>
      <xdr:spPr>
        <a:xfrm flipH="1" flipV="1">
          <a:off x="927353" y="570624"/>
          <a:ext cx="293934" cy="371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99060</xdr:rowOff>
        </xdr:from>
        <xdr:to>
          <xdr:col>1</xdr:col>
          <xdr:colOff>297180</xdr:colOff>
          <xdr:row>2</xdr:row>
          <xdr:rowOff>975360</xdr:rowOff>
        </xdr:to>
        <xdr:sp macro="" textlink="">
          <xdr:nvSpPr>
            <xdr:cNvPr id="7174" name="Object 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RB)"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ca-wengkin\Desktop\Worksheet%20in%20Green%20Mark%202021_Scoresheet%20(ERB).xlsx" TargetMode="External"/><Relationship Id="rId1" Type="http://schemas.openxmlformats.org/officeDocument/2006/relationships/externalLinkPath" Target="/Users/bca-wengkin/Desktop/Worksheet%20in%20Green%20Mark%202021_Scoresheet%20(E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E6">
            <v>3</v>
          </cell>
          <cell r="F6">
            <v>0</v>
          </cell>
          <cell r="L6">
            <v>10.5</v>
          </cell>
          <cell r="M6">
            <v>0</v>
          </cell>
        </row>
        <row r="7">
          <cell r="B7" t="str">
            <v>General Project Requirement</v>
          </cell>
          <cell r="E7">
            <v>3</v>
          </cell>
          <cell r="F7">
            <v>0</v>
          </cell>
          <cell r="I7" t="str">
            <v>Softscape</v>
          </cell>
          <cell r="L7">
            <v>1</v>
          </cell>
          <cell r="M7">
            <v>0</v>
          </cell>
        </row>
        <row r="8">
          <cell r="E8">
            <v>11.5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v>
          </cell>
          <cell r="M10">
            <v>0</v>
          </cell>
        </row>
        <row r="11">
          <cell r="A11" t="str">
            <v>Part B - Façade System</v>
          </cell>
          <cell r="E11">
            <v>4</v>
          </cell>
          <cell r="F11">
            <v>0</v>
          </cell>
          <cell r="I11" t="str">
            <v>Water Retaining Structures</v>
          </cell>
          <cell r="L11">
            <v>3</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L13">
            <v>2</v>
          </cell>
          <cell r="M13">
            <v>0</v>
          </cell>
        </row>
        <row r="14">
          <cell r="B14" t="str">
            <v>Masonry and Lightweight Concrete Panels</v>
          </cell>
          <cell r="I14" t="str">
            <v>Outdoor games court</v>
          </cell>
          <cell r="L14">
            <v>2</v>
          </cell>
          <cell r="M14">
            <v>0</v>
          </cell>
        </row>
        <row r="15">
          <cell r="A15" t="str">
            <v>Part C - Others</v>
          </cell>
          <cell r="E15">
            <v>7</v>
          </cell>
          <cell r="F15">
            <v>0</v>
          </cell>
          <cell r="L15">
            <v>5</v>
          </cell>
          <cell r="M15">
            <v>0</v>
          </cell>
        </row>
        <row r="16">
          <cell r="B16" t="str">
            <v>Façade Features/ considerations</v>
          </cell>
          <cell r="E16">
            <v>3</v>
          </cell>
          <cell r="F16">
            <v>0</v>
          </cell>
          <cell r="I16" t="str">
            <v>Innovation features in labour-saving/maintenance-free</v>
          </cell>
          <cell r="L16">
            <v>5</v>
          </cell>
          <cell r="M16">
            <v>0</v>
          </cell>
        </row>
        <row r="17">
          <cell r="B17" t="str">
            <v>Entrance lobby/ Integrated drop-off points at blocks</v>
          </cell>
          <cell r="E17">
            <v>2</v>
          </cell>
          <cell r="F17">
            <v>0</v>
          </cell>
        </row>
        <row r="18">
          <cell r="B18" t="str">
            <v>Exposed corridors and link bridges</v>
          </cell>
          <cell r="E18">
            <v>2</v>
          </cell>
          <cell r="F18">
            <v>0</v>
          </cell>
          <cell r="H18" t="str">
            <v>Section 1 BONUS POINTS</v>
          </cell>
          <cell r="L18">
            <v>3</v>
          </cell>
          <cell r="M18">
            <v>0</v>
          </cell>
        </row>
        <row r="19">
          <cell r="B19" t="str">
            <v>Roof</v>
          </cell>
          <cell r="E19" t="str">
            <v>Pre-req</v>
          </cell>
          <cell r="H19" t="str">
            <v>Section 5 BONUS POINTS</v>
          </cell>
          <cell r="L19">
            <v>1</v>
          </cell>
          <cell r="M19">
            <v>0</v>
          </cell>
        </row>
        <row r="20">
          <cell r="E20">
            <v>18.5</v>
          </cell>
          <cell r="F20">
            <v>0</v>
          </cell>
        </row>
        <row r="21">
          <cell r="B21" t="str">
            <v>Floors</v>
          </cell>
          <cell r="E21">
            <v>2.5</v>
          </cell>
          <cell r="F21">
            <v>0</v>
          </cell>
        </row>
        <row r="22">
          <cell r="B22" t="str">
            <v>Walls and Partitions</v>
          </cell>
          <cell r="E22">
            <v>1</v>
          </cell>
          <cell r="F22">
            <v>0</v>
          </cell>
          <cell r="K22">
            <v>0</v>
          </cell>
          <cell r="N22">
            <v>0</v>
          </cell>
        </row>
        <row r="23">
          <cell r="B23" t="str">
            <v>Ceiling</v>
          </cell>
          <cell r="E23">
            <v>4</v>
          </cell>
          <cell r="F23">
            <v>0</v>
          </cell>
          <cell r="K23">
            <v>71</v>
          </cell>
        </row>
        <row r="24">
          <cell r="B24" t="str">
            <v xml:space="preserve">Common toilets </v>
          </cell>
          <cell r="E24">
            <v>7</v>
          </cell>
          <cell r="F24">
            <v>0</v>
          </cell>
          <cell r="K24">
            <v>0</v>
          </cell>
        </row>
        <row r="25">
          <cell r="B25" t="str">
            <v>Basements</v>
          </cell>
          <cell r="E25">
            <v>4</v>
          </cell>
          <cell r="F25">
            <v>0</v>
          </cell>
          <cell r="K25">
            <v>0</v>
          </cell>
          <cell r="M25">
            <v>0</v>
          </cell>
        </row>
        <row r="26">
          <cell r="E26">
            <v>10</v>
          </cell>
          <cell r="F26">
            <v>0</v>
          </cell>
        </row>
        <row r="27">
          <cell r="B27" t="str">
            <v xml:space="preserve">Air Conditioning System-Direct Expansion System 
(DX Units) </v>
          </cell>
          <cell r="E27">
            <v>2</v>
          </cell>
          <cell r="F27">
            <v>0</v>
          </cell>
        </row>
        <row r="28">
          <cell r="B28" t="str">
            <v>Air Conditioning System - Variable Refrigerant Flow (VRF) System</v>
          </cell>
          <cell r="E28" t="str">
            <v>Pre-req</v>
          </cell>
        </row>
        <row r="29">
          <cell r="B29" t="str">
            <v>Air Distribution System</v>
          </cell>
          <cell r="E29">
            <v>1</v>
          </cell>
          <cell r="F29">
            <v>0</v>
          </cell>
        </row>
        <row r="30">
          <cell r="B30" t="str">
            <v>Domestic Water Supply</v>
          </cell>
          <cell r="E30" t="str">
            <v>Pre-req</v>
          </cell>
          <cell r="M30" t="str">
            <v/>
          </cell>
        </row>
        <row r="31">
          <cell r="B31" t="str">
            <v>Sanitary System</v>
          </cell>
          <cell r="E31">
            <v>2</v>
          </cell>
          <cell r="F31">
            <v>0</v>
          </cell>
          <cell r="M31">
            <v>0</v>
          </cell>
        </row>
        <row r="32">
          <cell r="B32" t="str">
            <v xml:space="preserve">Fire Protection System </v>
          </cell>
          <cell r="E32">
            <v>2</v>
          </cell>
          <cell r="F32">
            <v>0</v>
          </cell>
        </row>
        <row r="33">
          <cell r="B33" t="str">
            <v>Swimming Pool System</v>
          </cell>
          <cell r="E33">
            <v>3</v>
          </cell>
          <cell r="F33">
            <v>0</v>
          </cell>
        </row>
        <row r="35">
          <cell r="E35">
            <v>10.5</v>
          </cell>
          <cell r="F35">
            <v>0</v>
          </cell>
        </row>
        <row r="36">
          <cell r="B36" t="str">
            <v>Lighting System</v>
          </cell>
          <cell r="E36">
            <v>1.5</v>
          </cell>
          <cell r="F36">
            <v>0</v>
          </cell>
        </row>
        <row r="37">
          <cell r="B37" t="str">
            <v>Power Distribution System</v>
          </cell>
          <cell r="E37">
            <v>3</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Carpark Entry System</v>
          </cell>
          <cell r="E41" t="str">
            <v>Pre-req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efreshError="1">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row>
        <row r="18">
          <cell r="F18">
            <v>0</v>
          </cell>
          <cell r="M18">
            <v>0</v>
          </cell>
        </row>
        <row r="19">
          <cell r="M19">
            <v>0</v>
          </cell>
        </row>
        <row r="20">
          <cell r="F20">
            <v>0</v>
          </cell>
        </row>
        <row r="21">
          <cell r="F21">
            <v>0</v>
          </cell>
        </row>
        <row r="22">
          <cell r="F22">
            <v>0</v>
          </cell>
          <cell r="K22">
            <v>0</v>
          </cell>
          <cell r="N22">
            <v>0</v>
          </cell>
        </row>
        <row r="23">
          <cell r="F23">
            <v>0</v>
          </cell>
        </row>
        <row r="24">
          <cell r="F24">
            <v>0</v>
          </cell>
          <cell r="K24">
            <v>0</v>
          </cell>
        </row>
        <row r="25">
          <cell r="F25">
            <v>0</v>
          </cell>
          <cell r="K25">
            <v>0</v>
          </cell>
          <cell r="M25">
            <v>0</v>
          </cell>
        </row>
        <row r="26">
          <cell r="F26">
            <v>0</v>
          </cell>
        </row>
        <row r="27">
          <cell r="F27">
            <v>0</v>
          </cell>
        </row>
        <row r="29">
          <cell r="F29">
            <v>0</v>
          </cell>
        </row>
        <row r="30">
          <cell r="M30" t="str">
            <v/>
          </cell>
        </row>
        <row r="31">
          <cell r="F31">
            <v>0</v>
          </cell>
          <cell r="M31">
            <v>0</v>
          </cell>
        </row>
        <row r="32">
          <cell r="F32">
            <v>0</v>
          </cell>
        </row>
        <row r="33">
          <cell r="F33">
            <v>0</v>
          </cell>
        </row>
        <row r="35">
          <cell r="F35">
            <v>0</v>
          </cell>
        </row>
        <row r="36">
          <cell r="F36">
            <v>0</v>
          </cell>
        </row>
        <row r="37">
          <cell r="F37">
            <v>0</v>
          </cell>
        </row>
        <row r="38">
          <cell r="F38">
            <v>0</v>
          </cell>
        </row>
        <row r="39">
          <cell r="F39">
            <v>0</v>
          </cell>
        </row>
        <row r="40">
          <cell r="F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BD85-8E55-45DA-A912-6B708FF54D43}">
  <dimension ref="A1:G25"/>
  <sheetViews>
    <sheetView tabSelected="1" zoomScaleNormal="100" workbookViewId="0">
      <selection activeCell="C8" sqref="C8"/>
    </sheetView>
  </sheetViews>
  <sheetFormatPr defaultColWidth="8.88671875" defaultRowHeight="14.4" x14ac:dyDescent="0.3"/>
  <cols>
    <col min="1" max="1" width="33.88671875" style="298" customWidth="1"/>
    <col min="2" max="2" width="11.88671875" style="267" customWidth="1"/>
    <col min="3" max="3" width="63" style="267" customWidth="1"/>
    <col min="4" max="5" width="50.6640625" style="267" customWidth="1"/>
    <col min="6" max="6" width="8.88671875" style="267"/>
    <col min="7" max="7" width="63" style="310" hidden="1" customWidth="1"/>
    <col min="8" max="16384" width="8.88671875" style="267"/>
  </cols>
  <sheetData>
    <row r="1" spans="1:7" x14ac:dyDescent="0.3">
      <c r="A1" s="11"/>
      <c r="B1"/>
      <c r="C1"/>
    </row>
    <row r="2" spans="1:7" s="311" customFormat="1" ht="21" x14ac:dyDescent="0.4">
      <c r="A2" s="330"/>
      <c r="B2" s="330"/>
      <c r="C2" s="330"/>
    </row>
    <row r="3" spans="1:7" s="311" customFormat="1" ht="21" x14ac:dyDescent="0.4">
      <c r="A3" s="12"/>
      <c r="B3" s="13"/>
      <c r="C3" s="14"/>
    </row>
    <row r="4" spans="1:7" s="311" customFormat="1" ht="21" x14ac:dyDescent="0.4">
      <c r="A4" s="12" t="s">
        <v>0</v>
      </c>
      <c r="B4" s="13"/>
      <c r="C4" s="14"/>
    </row>
    <row r="5" spans="1:7" s="311" customFormat="1" ht="21" x14ac:dyDescent="0.4">
      <c r="A5" s="12"/>
      <c r="B5" s="13"/>
      <c r="C5" s="14"/>
    </row>
    <row r="6" spans="1:7" s="311" customFormat="1" ht="31.5" customHeight="1" x14ac:dyDescent="0.4">
      <c r="A6" s="15"/>
      <c r="B6" s="16"/>
      <c r="C6" s="17"/>
    </row>
    <row r="7" spans="1:7" ht="20.100000000000001" customHeight="1" x14ac:dyDescent="0.3">
      <c r="A7" s="331" t="s">
        <v>1</v>
      </c>
      <c r="B7" s="331"/>
      <c r="C7" s="331"/>
      <c r="G7" s="312" t="s">
        <v>2</v>
      </c>
    </row>
    <row r="8" spans="1:7" ht="20.100000000000001" customHeight="1" x14ac:dyDescent="0.3">
      <c r="A8" s="329" t="s">
        <v>3</v>
      </c>
      <c r="B8" s="329"/>
      <c r="C8" s="24"/>
    </row>
    <row r="9" spans="1:7" ht="20.100000000000001" customHeight="1" x14ac:dyDescent="0.3">
      <c r="A9" s="329" t="s">
        <v>4</v>
      </c>
      <c r="B9" s="329"/>
      <c r="C9" s="24"/>
    </row>
    <row r="10" spans="1:7" ht="20.100000000000001" customHeight="1" x14ac:dyDescent="0.3">
      <c r="A10" s="329" t="s">
        <v>5</v>
      </c>
      <c r="B10" s="329"/>
      <c r="C10" s="24"/>
      <c r="G10" s="292" t="s">
        <v>6</v>
      </c>
    </row>
    <row r="11" spans="1:7" ht="20.100000000000001" customHeight="1" x14ac:dyDescent="0.3">
      <c r="A11" s="329" t="s">
        <v>7</v>
      </c>
      <c r="B11" s="329"/>
      <c r="C11" s="25"/>
      <c r="G11" s="292"/>
    </row>
    <row r="12" spans="1:7" ht="20.100000000000001" customHeight="1" x14ac:dyDescent="0.3">
      <c r="A12" s="329" t="s">
        <v>8</v>
      </c>
      <c r="B12" s="329"/>
      <c r="C12" s="25"/>
      <c r="G12" s="292"/>
    </row>
    <row r="13" spans="1:7" ht="20.100000000000001" customHeight="1" x14ac:dyDescent="0.3">
      <c r="A13" s="329" t="s">
        <v>9</v>
      </c>
      <c r="B13" s="329"/>
      <c r="C13" s="25"/>
      <c r="G13" s="292"/>
    </row>
    <row r="14" spans="1:7" ht="20.100000000000001" customHeight="1" x14ac:dyDescent="0.3">
      <c r="A14" s="332"/>
      <c r="B14" s="332"/>
      <c r="C14" s="313"/>
      <c r="G14" s="292"/>
    </row>
    <row r="15" spans="1:7" ht="20.100000000000001" customHeight="1" x14ac:dyDescent="0.3">
      <c r="A15" s="332" t="s">
        <v>10</v>
      </c>
      <c r="B15" s="332"/>
      <c r="C15" s="314"/>
      <c r="G15" s="292"/>
    </row>
    <row r="16" spans="1:7" ht="20.100000000000001" customHeight="1" x14ac:dyDescent="0.3">
      <c r="A16" s="329" t="s">
        <v>11</v>
      </c>
      <c r="B16" s="329"/>
      <c r="C16" s="26"/>
      <c r="G16" s="292" t="s">
        <v>12</v>
      </c>
    </row>
    <row r="17" spans="1:3" ht="20.100000000000001" customHeight="1" x14ac:dyDescent="0.3">
      <c r="A17" s="329" t="s">
        <v>13</v>
      </c>
      <c r="B17" s="329"/>
      <c r="C17" s="27"/>
    </row>
    <row r="18" spans="1:3" ht="20.100000000000001" customHeight="1" x14ac:dyDescent="0.3">
      <c r="A18" s="329" t="s">
        <v>14</v>
      </c>
      <c r="B18" s="329"/>
      <c r="C18" s="26"/>
    </row>
    <row r="19" spans="1:3" ht="20.100000000000001" customHeight="1" x14ac:dyDescent="0.3">
      <c r="A19" s="329" t="s">
        <v>15</v>
      </c>
      <c r="B19" s="329"/>
      <c r="C19" s="28"/>
    </row>
    <row r="20" spans="1:3" ht="20.100000000000001" customHeight="1" x14ac:dyDescent="0.3">
      <c r="A20" s="334" t="s">
        <v>16</v>
      </c>
      <c r="B20" s="334"/>
      <c r="C20" s="29"/>
    </row>
    <row r="21" spans="1:3" ht="20.100000000000001" customHeight="1" x14ac:dyDescent="0.3">
      <c r="A21" s="334" t="s">
        <v>17</v>
      </c>
      <c r="B21" s="334"/>
      <c r="C21" s="30"/>
    </row>
    <row r="22" spans="1:3" ht="20.100000000000001" customHeight="1" x14ac:dyDescent="0.3">
      <c r="A22" s="334" t="s">
        <v>18</v>
      </c>
      <c r="B22" s="334"/>
      <c r="C22" s="31"/>
    </row>
    <row r="23" spans="1:3" ht="20.100000000000001" customHeight="1" x14ac:dyDescent="0.3">
      <c r="A23" s="329" t="s">
        <v>19</v>
      </c>
      <c r="B23" s="329"/>
      <c r="C23" s="23"/>
    </row>
    <row r="24" spans="1:3" x14ac:dyDescent="0.3">
      <c r="A24" s="329"/>
      <c r="B24" s="329"/>
      <c r="C24" s="42"/>
    </row>
    <row r="25" spans="1:3" ht="104.25" customHeight="1" x14ac:dyDescent="0.3">
      <c r="A25" s="333" t="s">
        <v>20</v>
      </c>
      <c r="B25" s="333"/>
      <c r="C25" s="23"/>
    </row>
  </sheetData>
  <sheetProtection algorithmName="SHA-512" hashValue="oU4AkkBOTjBwnqo6YtJ6ju2BsXfnOhoespi17aUcqUgrB4yn2wngi0+VklJ6Vd0CfxaKcw/0DCBKYpdkHNWcAA==" saltValue="AyEA76PZgt2hwVxLDPmqgA==" spinCount="100000" sheet="1" objects="1" scenarios="1" formatCells="0" selectLockedCells="1"/>
  <mergeCells count="20">
    <mergeCell ref="A24:B24"/>
    <mergeCell ref="A25:B25"/>
    <mergeCell ref="A18:B18"/>
    <mergeCell ref="A19:B19"/>
    <mergeCell ref="A20:B20"/>
    <mergeCell ref="A21:B21"/>
    <mergeCell ref="A22:B22"/>
    <mergeCell ref="A23:B23"/>
    <mergeCell ref="A17:B17"/>
    <mergeCell ref="A2:C2"/>
    <mergeCell ref="A7:C7"/>
    <mergeCell ref="A8:B8"/>
    <mergeCell ref="A9:B9"/>
    <mergeCell ref="A10:B10"/>
    <mergeCell ref="A11:B11"/>
    <mergeCell ref="A12:B12"/>
    <mergeCell ref="A13:B13"/>
    <mergeCell ref="A14:B14"/>
    <mergeCell ref="A15:B15"/>
    <mergeCell ref="A16:B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zoomScaleSheetLayoutView="100" workbookViewId="0">
      <selection activeCell="E8" sqref="E8"/>
    </sheetView>
  </sheetViews>
  <sheetFormatPr defaultColWidth="9.109375" defaultRowHeight="14.4" x14ac:dyDescent="0.3"/>
  <cols>
    <col min="1" max="1" width="29.88671875" style="267" customWidth="1"/>
    <col min="2" max="2" width="26.33203125" style="267" customWidth="1"/>
    <col min="3" max="3" width="26.109375" style="267" customWidth="1"/>
    <col min="4" max="5" width="23.5546875" style="267" customWidth="1"/>
    <col min="6" max="6" width="50.6640625" style="267" customWidth="1"/>
    <col min="7" max="16384" width="9.109375" style="267"/>
  </cols>
  <sheetData>
    <row r="1" spans="1:5" ht="31.2" x14ac:dyDescent="0.6">
      <c r="A1" s="32" t="s">
        <v>21</v>
      </c>
    </row>
    <row r="2" spans="1:5" x14ac:dyDescent="0.3">
      <c r="A2" s="33" t="s">
        <v>22</v>
      </c>
    </row>
    <row r="3" spans="1:5" x14ac:dyDescent="0.3">
      <c r="A3" s="33" t="s">
        <v>23</v>
      </c>
    </row>
    <row r="4" spans="1:5" x14ac:dyDescent="0.3">
      <c r="A4" s="33" t="s">
        <v>24</v>
      </c>
    </row>
    <row r="5" spans="1:5" x14ac:dyDescent="0.3">
      <c r="A5"/>
    </row>
    <row r="6" spans="1:5" ht="31.2" x14ac:dyDescent="0.6">
      <c r="A6"/>
      <c r="B6" s="337" t="s">
        <v>25</v>
      </c>
      <c r="C6" s="337"/>
      <c r="D6" s="337"/>
      <c r="E6" s="337"/>
    </row>
    <row r="7" spans="1:5" ht="18" x14ac:dyDescent="0.35">
      <c r="A7" s="34"/>
      <c r="B7" s="35" t="s">
        <v>26</v>
      </c>
      <c r="C7" s="268" t="s">
        <v>27</v>
      </c>
      <c r="D7" s="268" t="s">
        <v>28</v>
      </c>
      <c r="E7" s="268" t="s">
        <v>29</v>
      </c>
    </row>
    <row r="8" spans="1:5" ht="18" x14ac:dyDescent="0.35">
      <c r="A8" s="36" t="s">
        <v>30</v>
      </c>
      <c r="B8" s="37">
        <v>15</v>
      </c>
      <c r="C8" s="309">
        <f>'4. Resilience'!F2</f>
        <v>0</v>
      </c>
      <c r="D8" s="327" t="str">
        <f>IF(C8&gt;=10, "Y","")</f>
        <v/>
      </c>
      <c r="E8" s="328"/>
    </row>
    <row r="9" spans="1:5" ht="18" x14ac:dyDescent="0.35">
      <c r="A9" s="38" t="s">
        <v>31</v>
      </c>
      <c r="B9" s="37">
        <v>15</v>
      </c>
      <c r="C9" s="309">
        <f>'5. Whole Life Carbon'!H2</f>
        <v>0</v>
      </c>
      <c r="D9" s="327" t="str">
        <f>IF(C9&gt;=10, "Y","")</f>
        <v/>
      </c>
      <c r="E9" s="328"/>
    </row>
    <row r="10" spans="1:5" ht="18" x14ac:dyDescent="0.35">
      <c r="A10" s="39" t="s">
        <v>32</v>
      </c>
      <c r="B10" s="37">
        <v>15</v>
      </c>
      <c r="C10" s="309">
        <f>'6. Health&amp;Wellbeing'!H2</f>
        <v>0</v>
      </c>
      <c r="D10" s="327" t="str">
        <f>IF(C10&gt;=10, "Y","")</f>
        <v/>
      </c>
      <c r="E10" s="328"/>
    </row>
    <row r="11" spans="1:5" ht="18" x14ac:dyDescent="0.35">
      <c r="A11" s="40" t="s">
        <v>33</v>
      </c>
      <c r="B11" s="37">
        <v>15</v>
      </c>
      <c r="C11" s="309">
        <f>'7. Intelligence'!F2</f>
        <v>0</v>
      </c>
      <c r="D11" s="327" t="str">
        <f>IF(C11&gt;=10,"Y","")</f>
        <v/>
      </c>
      <c r="E11" s="328"/>
    </row>
    <row r="12" spans="1:5" ht="18" x14ac:dyDescent="0.35">
      <c r="A12" s="269" t="s">
        <v>34</v>
      </c>
      <c r="B12" s="37">
        <v>15</v>
      </c>
      <c r="C12" s="309">
        <f>D32</f>
        <v>0</v>
      </c>
      <c r="D12" s="327" t="str">
        <f>IF('8. Maintainability'!C64="Yes","Y","")</f>
        <v/>
      </c>
      <c r="E12" s="328"/>
    </row>
    <row r="13" spans="1:5" ht="18" x14ac:dyDescent="0.35">
      <c r="A13" s="41" t="s">
        <v>35</v>
      </c>
      <c r="B13" s="268">
        <v>75</v>
      </c>
      <c r="C13" s="309">
        <f>SUM(C8:C12)</f>
        <v>0</v>
      </c>
      <c r="D13" s="42"/>
      <c r="E13" s="328"/>
    </row>
    <row r="14" spans="1:5" x14ac:dyDescent="0.3">
      <c r="A14"/>
      <c r="B14"/>
      <c r="C14"/>
      <c r="D14"/>
    </row>
    <row r="15" spans="1:5" x14ac:dyDescent="0.3">
      <c r="A15"/>
      <c r="B15"/>
      <c r="C15"/>
      <c r="D15"/>
    </row>
    <row r="16" spans="1:5" x14ac:dyDescent="0.3">
      <c r="A16"/>
      <c r="B16"/>
      <c r="C16"/>
      <c r="D16"/>
    </row>
    <row r="17" spans="1:4" ht="18" x14ac:dyDescent="0.35">
      <c r="A17" s="335" t="s">
        <v>36</v>
      </c>
      <c r="B17" s="335"/>
      <c r="C17" s="268" t="s">
        <v>26</v>
      </c>
      <c r="D17" s="268" t="s">
        <v>27</v>
      </c>
    </row>
    <row r="18" spans="1:4" ht="18" x14ac:dyDescent="0.35">
      <c r="A18" s="36" t="s">
        <v>37</v>
      </c>
      <c r="B18" s="36" t="s">
        <v>38</v>
      </c>
      <c r="C18" s="37">
        <v>5</v>
      </c>
      <c r="D18" s="309">
        <f>'4. Resilience'!F3</f>
        <v>0</v>
      </c>
    </row>
    <row r="19" spans="1:4" ht="18" x14ac:dyDescent="0.35">
      <c r="A19" s="36" t="s">
        <v>39</v>
      </c>
      <c r="B19" s="36" t="s">
        <v>40</v>
      </c>
      <c r="C19" s="37">
        <v>5</v>
      </c>
      <c r="D19" s="309">
        <f>'4. Resilience'!F28</f>
        <v>0</v>
      </c>
    </row>
    <row r="20" spans="1:4" ht="18" x14ac:dyDescent="0.35">
      <c r="A20" s="36" t="s">
        <v>41</v>
      </c>
      <c r="B20" s="36" t="s">
        <v>42</v>
      </c>
      <c r="C20" s="37">
        <v>5</v>
      </c>
      <c r="D20" s="309">
        <f>'4. Resilience'!F54</f>
        <v>0</v>
      </c>
    </row>
    <row r="21" spans="1:4" ht="18" x14ac:dyDescent="0.35">
      <c r="A21" s="38" t="s">
        <v>43</v>
      </c>
      <c r="B21" s="38" t="s">
        <v>44</v>
      </c>
      <c r="C21" s="37">
        <v>5</v>
      </c>
      <c r="D21" s="309">
        <f>'5. Whole Life Carbon'!H3</f>
        <v>0</v>
      </c>
    </row>
    <row r="22" spans="1:4" ht="18" x14ac:dyDescent="0.35">
      <c r="A22" s="38" t="s">
        <v>45</v>
      </c>
      <c r="B22" s="38" t="s">
        <v>46</v>
      </c>
      <c r="C22" s="37">
        <v>5</v>
      </c>
      <c r="D22" s="309">
        <f>'5. Whole Life Carbon'!H30</f>
        <v>0</v>
      </c>
    </row>
    <row r="23" spans="1:4" ht="18" x14ac:dyDescent="0.35">
      <c r="A23" s="38" t="s">
        <v>47</v>
      </c>
      <c r="B23" s="38" t="s">
        <v>48</v>
      </c>
      <c r="C23" s="37">
        <v>5</v>
      </c>
      <c r="D23" s="309">
        <f>'5. Whole Life Carbon'!H69</f>
        <v>0</v>
      </c>
    </row>
    <row r="24" spans="1:4" ht="18" x14ac:dyDescent="0.35">
      <c r="A24" s="39" t="s">
        <v>49</v>
      </c>
      <c r="B24" s="39" t="s">
        <v>50</v>
      </c>
      <c r="C24" s="37">
        <v>5</v>
      </c>
      <c r="D24" s="309">
        <f>'6. Health&amp;Wellbeing'!H3</f>
        <v>0</v>
      </c>
    </row>
    <row r="25" spans="1:4" ht="18" x14ac:dyDescent="0.35">
      <c r="A25" s="39" t="s">
        <v>51</v>
      </c>
      <c r="B25" s="39" t="s">
        <v>52</v>
      </c>
      <c r="C25" s="37">
        <v>5</v>
      </c>
      <c r="D25" s="309">
        <f>'6. Health&amp;Wellbeing'!H39</f>
        <v>0</v>
      </c>
    </row>
    <row r="26" spans="1:4" ht="18" x14ac:dyDescent="0.35">
      <c r="A26" s="39" t="s">
        <v>53</v>
      </c>
      <c r="B26" s="39" t="s">
        <v>54</v>
      </c>
      <c r="C26" s="37">
        <v>5</v>
      </c>
      <c r="D26" s="309">
        <f>'6. Health&amp;Wellbeing'!H64</f>
        <v>0</v>
      </c>
    </row>
    <row r="27" spans="1:4" ht="18" x14ac:dyDescent="0.35">
      <c r="A27" s="40" t="s">
        <v>55</v>
      </c>
      <c r="B27" s="40" t="s">
        <v>56</v>
      </c>
      <c r="C27" s="37">
        <v>5</v>
      </c>
      <c r="D27" s="309">
        <f>'7. Intelligence'!F3</f>
        <v>0</v>
      </c>
    </row>
    <row r="28" spans="1:4" ht="18" x14ac:dyDescent="0.35">
      <c r="A28" s="40" t="s">
        <v>57</v>
      </c>
      <c r="B28" s="40" t="s">
        <v>58</v>
      </c>
      <c r="C28" s="37">
        <v>5</v>
      </c>
      <c r="D28" s="309">
        <f>'7. Intelligence'!F20</f>
        <v>0</v>
      </c>
    </row>
    <row r="29" spans="1:4" ht="18" x14ac:dyDescent="0.35">
      <c r="A29" s="40" t="s">
        <v>59</v>
      </c>
      <c r="B29" s="40" t="s">
        <v>60</v>
      </c>
      <c r="C29" s="37">
        <v>5</v>
      </c>
      <c r="D29" s="309">
        <f>'7. Intelligence'!F34</f>
        <v>0</v>
      </c>
    </row>
    <row r="30" spans="1:4" x14ac:dyDescent="0.3">
      <c r="A30"/>
      <c r="B30"/>
      <c r="C30"/>
      <c r="D30"/>
    </row>
    <row r="31" spans="1:4" ht="36" x14ac:dyDescent="0.3">
      <c r="A31" s="336" t="s">
        <v>61</v>
      </c>
      <c r="B31" s="43" t="s">
        <v>62</v>
      </c>
      <c r="C31" s="43" t="s">
        <v>63</v>
      </c>
      <c r="D31" s="43" t="s">
        <v>64</v>
      </c>
    </row>
    <row r="32" spans="1:4" ht="18.75" customHeight="1" x14ac:dyDescent="0.3">
      <c r="A32" s="336"/>
      <c r="B32" s="44">
        <f>'8. Maintainability'!C7</f>
        <v>71</v>
      </c>
      <c r="C32" s="44">
        <f>'8. Maintainability'!G61</f>
        <v>0</v>
      </c>
      <c r="D32" s="44">
        <f>'8. Maintainability'!C63</f>
        <v>0</v>
      </c>
    </row>
  </sheetData>
  <sheetProtection algorithmName="SHA-512" hashValue="ZkGHclhohOrCLGq5mUBk6Do7vXwdc3frIfQGLOhpPFczjoLTp1V3VB8ZYNSYCIGHRek2ttWQpMBoPIM2MA97JQ==" saltValue="744Hy6MFC6ia2uX0qddSZg=="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zoomScaleNormal="100" workbookViewId="0">
      <selection activeCell="C3" sqref="C3"/>
    </sheetView>
  </sheetViews>
  <sheetFormatPr defaultColWidth="9.109375" defaultRowHeight="14.4" x14ac:dyDescent="0.3"/>
  <cols>
    <col min="1" max="1" width="8.6640625" style="267" customWidth="1"/>
    <col min="2" max="2" width="65.6640625" style="267" customWidth="1"/>
    <col min="3" max="4" width="10.6640625" style="267" customWidth="1"/>
    <col min="5" max="6" width="50.6640625" style="267" customWidth="1"/>
    <col min="7" max="7" width="15.5546875" style="267" customWidth="1"/>
    <col min="8" max="8" width="17.33203125" style="267" customWidth="1"/>
    <col min="9" max="16384" width="9.109375" style="267"/>
  </cols>
  <sheetData>
    <row r="1" spans="1:4" ht="31.2" x14ac:dyDescent="0.3">
      <c r="A1" s="341" t="s">
        <v>65</v>
      </c>
      <c r="B1" s="341"/>
      <c r="C1" s="45" t="s">
        <v>66</v>
      </c>
      <c r="D1" s="45" t="s">
        <v>67</v>
      </c>
    </row>
    <row r="2" spans="1:4" ht="21" x14ac:dyDescent="0.3">
      <c r="A2" s="340" t="s">
        <v>68</v>
      </c>
      <c r="B2" s="340"/>
      <c r="C2" s="46"/>
      <c r="D2" s="46"/>
    </row>
    <row r="3" spans="1:4" ht="15.6" x14ac:dyDescent="0.3">
      <c r="A3" s="42"/>
      <c r="B3" s="7" t="s">
        <v>69</v>
      </c>
      <c r="C3" s="18"/>
      <c r="D3" s="47" t="s">
        <v>70</v>
      </c>
    </row>
    <row r="4" spans="1:4" ht="15.6" x14ac:dyDescent="0.3">
      <c r="A4" s="339" t="s">
        <v>71</v>
      </c>
      <c r="B4" s="339"/>
      <c r="C4" s="48"/>
      <c r="D4" s="48"/>
    </row>
    <row r="5" spans="1:4" ht="15.6" x14ac:dyDescent="0.3">
      <c r="A5" s="270" t="s">
        <v>72</v>
      </c>
      <c r="B5" s="49" t="s">
        <v>73</v>
      </c>
      <c r="C5" s="18"/>
      <c r="D5" s="47" t="s">
        <v>74</v>
      </c>
    </row>
    <row r="6" spans="1:4" ht="33" customHeight="1" x14ac:dyDescent="0.3">
      <c r="A6" s="338" t="s">
        <v>75</v>
      </c>
      <c r="B6" s="342" t="s">
        <v>76</v>
      </c>
      <c r="C6" s="18"/>
      <c r="D6" s="86" t="s">
        <v>77</v>
      </c>
    </row>
    <row r="7" spans="1:4" ht="30.6" customHeight="1" x14ac:dyDescent="0.3">
      <c r="A7" s="338"/>
      <c r="B7" s="342"/>
      <c r="C7" s="18"/>
      <c r="D7" s="47" t="s">
        <v>78</v>
      </c>
    </row>
    <row r="8" spans="1:4" ht="15.6" x14ac:dyDescent="0.3">
      <c r="A8" s="338" t="s">
        <v>79</v>
      </c>
      <c r="B8" s="8" t="s">
        <v>80</v>
      </c>
      <c r="C8" s="18"/>
      <c r="D8" s="47" t="s">
        <v>74</v>
      </c>
    </row>
    <row r="9" spans="1:4" ht="15.6" x14ac:dyDescent="0.3">
      <c r="A9" s="338"/>
      <c r="B9" s="8" t="s">
        <v>81</v>
      </c>
      <c r="C9" s="18"/>
      <c r="D9" s="47" t="s">
        <v>74</v>
      </c>
    </row>
    <row r="10" spans="1:4" ht="15.6" x14ac:dyDescent="0.3">
      <c r="A10" s="338" t="s">
        <v>82</v>
      </c>
      <c r="B10" s="8" t="s">
        <v>83</v>
      </c>
      <c r="C10" s="315"/>
      <c r="D10" s="47"/>
    </row>
    <row r="11" spans="1:4" ht="15.6" x14ac:dyDescent="0.3">
      <c r="A11" s="338"/>
      <c r="B11" s="23" t="s">
        <v>84</v>
      </c>
      <c r="C11" s="18"/>
      <c r="D11" s="47" t="s">
        <v>74</v>
      </c>
    </row>
    <row r="12" spans="1:4" ht="15.6" x14ac:dyDescent="0.3">
      <c r="A12" s="338"/>
      <c r="B12" s="8" t="s">
        <v>85</v>
      </c>
      <c r="C12" s="18"/>
      <c r="D12" s="47" t="s">
        <v>74</v>
      </c>
    </row>
    <row r="13" spans="1:4" ht="15.6" x14ac:dyDescent="0.3">
      <c r="A13" s="338"/>
      <c r="B13" s="8" t="s">
        <v>86</v>
      </c>
      <c r="C13" s="18"/>
      <c r="D13" s="47" t="s">
        <v>74</v>
      </c>
    </row>
    <row r="14" spans="1:4" ht="15.6" x14ac:dyDescent="0.3">
      <c r="A14" s="270" t="s">
        <v>87</v>
      </c>
      <c r="B14" s="23" t="s">
        <v>88</v>
      </c>
      <c r="C14" s="18"/>
      <c r="D14" s="47" t="s">
        <v>70</v>
      </c>
    </row>
    <row r="15" spans="1:4" ht="15.6" x14ac:dyDescent="0.3">
      <c r="A15" s="270" t="s">
        <v>89</v>
      </c>
      <c r="B15" s="8" t="s">
        <v>90</v>
      </c>
      <c r="C15" s="18"/>
      <c r="D15" s="47" t="s">
        <v>70</v>
      </c>
    </row>
    <row r="16" spans="1:4" ht="15.6" x14ac:dyDescent="0.3">
      <c r="A16" s="270" t="s">
        <v>91</v>
      </c>
      <c r="B16" s="8" t="s">
        <v>92</v>
      </c>
      <c r="C16" s="18"/>
      <c r="D16" s="47" t="s">
        <v>70</v>
      </c>
    </row>
    <row r="17" spans="1:4" ht="15.6" x14ac:dyDescent="0.3">
      <c r="A17" s="270" t="s">
        <v>93</v>
      </c>
      <c r="B17" s="8" t="s">
        <v>94</v>
      </c>
      <c r="C17" s="18"/>
      <c r="D17" s="47" t="s">
        <v>70</v>
      </c>
    </row>
    <row r="18" spans="1:4" ht="15.6" x14ac:dyDescent="0.3">
      <c r="A18" s="270" t="s">
        <v>95</v>
      </c>
      <c r="B18" s="8" t="s">
        <v>96</v>
      </c>
      <c r="C18" s="18"/>
      <c r="D18" s="47" t="s">
        <v>70</v>
      </c>
    </row>
    <row r="19" spans="1:4" ht="15.6" x14ac:dyDescent="0.3">
      <c r="A19" s="270" t="s">
        <v>97</v>
      </c>
      <c r="B19" s="8" t="s">
        <v>98</v>
      </c>
      <c r="C19" s="18"/>
      <c r="D19" s="47" t="s">
        <v>78</v>
      </c>
    </row>
    <row r="20" spans="1:4" ht="31.2" x14ac:dyDescent="0.3">
      <c r="A20" s="270" t="s">
        <v>99</v>
      </c>
      <c r="B20" s="9" t="s">
        <v>100</v>
      </c>
      <c r="C20" s="51"/>
      <c r="D20" s="47" t="s">
        <v>74</v>
      </c>
    </row>
  </sheetData>
  <sheetProtection algorithmName="SHA-512" hashValue="O2Ty4FTG5OFkQEMw4wc/74W7fOALD1G/1bNwxk4Mu/ulah1LghX+G6VO477iDcvccxXqnIv1V/BpmCCGyuKW8w==" saltValue="ffbEgTr07hgQE/JO9kK2FA==" spinCount="100000" sheet="1" objects="1" scenarios="1" formatCells="0" selectLockedCells="1"/>
  <mergeCells count="7">
    <mergeCell ref="A10:A13"/>
    <mergeCell ref="A4:B4"/>
    <mergeCell ref="A2:B2"/>
    <mergeCell ref="A1:B1"/>
    <mergeCell ref="A8:A9"/>
    <mergeCell ref="A6:A7"/>
    <mergeCell ref="B6:B7"/>
  </mergeCells>
  <dataValidations count="10">
    <dataValidation type="decimal" allowBlank="1" showInputMessage="1" showErrorMessage="1" sqref="C7 C19" xr:uid="{00000000-0002-0000-0200-000000000000}">
      <formula1>0</formula1>
      <formula2>100</formula2>
    </dataValidation>
    <dataValidation type="list" allowBlank="1" showInputMessage="1" showErrorMessage="1" sqref="C3 C14:C18" xr:uid="{00000000-0002-0000-0200-000001000000}">
      <formula1>"Y,N"</formula1>
    </dataValidation>
    <dataValidation type="decimal" allowBlank="1" showInputMessage="1" showErrorMessage="1" sqref="C10" xr:uid="{00000000-0002-0000-0200-000002000000}">
      <formula1>0</formula1>
      <formula2>1000</formula2>
    </dataValidation>
    <dataValidation type="whole" allowBlank="1" showInputMessage="1" showErrorMessage="1" sqref="C9 C12" xr:uid="{2B8B7263-8537-42EC-BEDA-6681D481AFA1}">
      <formula1>0</formula1>
      <formula2>5</formula2>
    </dataValidation>
    <dataValidation type="decimal" allowBlank="1" showInputMessage="1" showErrorMessage="1" sqref="C8" xr:uid="{CBD0ECD1-FF5F-42D2-9432-6F5CAE91D035}">
      <formula1>0</formula1>
      <formula2>10</formula2>
    </dataValidation>
    <dataValidation type="whole" allowBlank="1" showInputMessage="1" showErrorMessage="1" sqref="C11" xr:uid="{396E0982-B15C-4DDB-96C5-089E68DFCDF9}">
      <formula1>0</formula1>
      <formula2>4</formula2>
    </dataValidation>
    <dataValidation type="whole" allowBlank="1" showInputMessage="1" showErrorMessage="1" sqref="C13" xr:uid="{53F3AF35-9F24-438D-8230-188DBE439EBD}">
      <formula1>0</formula1>
      <formula2>10</formula2>
    </dataValidation>
    <dataValidation type="list" allowBlank="1" showInputMessage="1" showErrorMessage="1" sqref="C6" xr:uid="{8E364482-258C-4225-A9F1-33AD3AC3926F}">
      <formula1>"1,2,3"</formula1>
    </dataValidation>
    <dataValidation type="decimal" allowBlank="1" showInputMessage="1" showErrorMessage="1" sqref="C20" xr:uid="{C58833B9-29B9-44F2-9557-24C4A88C5367}">
      <formula1>0</formula1>
      <formula2>1000000</formula2>
    </dataValidation>
    <dataValidation type="decimal" allowBlank="1" showInputMessage="1" showErrorMessage="1" sqref="C5" xr:uid="{7F472268-74DD-410C-9CCC-704E286FD935}">
      <formula1>0</formula1>
      <formula2>100000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50" sqref="C50"/>
    </sheetView>
  </sheetViews>
  <sheetFormatPr defaultColWidth="9.109375" defaultRowHeight="15.6" x14ac:dyDescent="0.3"/>
  <cols>
    <col min="1" max="1" width="8.33203125" style="289" customWidth="1"/>
    <col min="2" max="2" width="65.6640625" style="267" customWidth="1"/>
    <col min="3" max="4" width="10.6640625" style="267" customWidth="1"/>
    <col min="5" max="5" width="18.109375" style="267" customWidth="1"/>
    <col min="6" max="6" width="10.6640625" style="267" customWidth="1"/>
    <col min="7" max="7" width="30.6640625" style="267" customWidth="1"/>
    <col min="8" max="8" width="8.6640625" style="267" customWidth="1"/>
    <col min="9" max="9" width="10.6640625" style="267" customWidth="1"/>
    <col min="10" max="11" width="15.6640625" style="267" customWidth="1"/>
    <col min="12" max="12" width="50.6640625" style="267" customWidth="1"/>
    <col min="13" max="16384" width="9.109375" style="267"/>
  </cols>
  <sheetData>
    <row r="1" spans="1:11" ht="46.8" x14ac:dyDescent="0.3">
      <c r="A1" s="2"/>
      <c r="B1" s="3" t="s">
        <v>101</v>
      </c>
      <c r="C1" s="45" t="s">
        <v>66</v>
      </c>
      <c r="D1" s="45" t="s">
        <v>67</v>
      </c>
      <c r="E1" s="52" t="s">
        <v>102</v>
      </c>
      <c r="F1" s="45" t="s">
        <v>103</v>
      </c>
      <c r="G1" s="3" t="s">
        <v>104</v>
      </c>
    </row>
    <row r="2" spans="1:11" ht="21" x14ac:dyDescent="0.3">
      <c r="A2" s="348" t="s">
        <v>30</v>
      </c>
      <c r="B2" s="349"/>
      <c r="C2" s="349"/>
      <c r="D2" s="350"/>
      <c r="E2" s="53">
        <v>15</v>
      </c>
      <c r="F2" s="54">
        <f>MIN(SUM(F3,F28,F54,F66), 15)</f>
        <v>0</v>
      </c>
      <c r="G2" s="55" t="s">
        <v>105</v>
      </c>
      <c r="H2" s="343"/>
      <c r="I2" s="344"/>
      <c r="J2" s="344"/>
      <c r="K2" s="344"/>
    </row>
    <row r="3" spans="1:11" x14ac:dyDescent="0.3">
      <c r="A3" s="56" t="s">
        <v>106</v>
      </c>
      <c r="B3" s="379" t="s">
        <v>107</v>
      </c>
      <c r="C3" s="379"/>
      <c r="D3" s="379"/>
      <c r="E3" s="57">
        <v>5</v>
      </c>
      <c r="F3" s="58">
        <f>MIN(SUM(F27,F23,F20,F16,F8),5)</f>
        <v>0</v>
      </c>
      <c r="G3" s="56"/>
      <c r="H3" s="343"/>
      <c r="I3" s="344"/>
      <c r="J3" s="344"/>
      <c r="K3" s="344"/>
    </row>
    <row r="4" spans="1:11" x14ac:dyDescent="0.3">
      <c r="A4" s="59" t="s">
        <v>108</v>
      </c>
      <c r="B4" s="60" t="s">
        <v>109</v>
      </c>
      <c r="C4" s="61"/>
      <c r="D4" s="62"/>
      <c r="E4" s="63"/>
      <c r="F4" s="64"/>
      <c r="G4" s="65"/>
      <c r="H4" s="343"/>
      <c r="I4" s="344"/>
      <c r="J4" s="344"/>
      <c r="K4" s="344"/>
    </row>
    <row r="5" spans="1:11" x14ac:dyDescent="0.3">
      <c r="A5" s="66" t="s">
        <v>110</v>
      </c>
      <c r="B5" s="67" t="s">
        <v>111</v>
      </c>
      <c r="C5" s="68"/>
      <c r="D5" s="69"/>
      <c r="E5" s="70"/>
      <c r="F5" s="71"/>
      <c r="G5" s="72"/>
      <c r="H5" s="343"/>
      <c r="I5" s="344"/>
      <c r="J5" s="344"/>
      <c r="K5" s="344"/>
    </row>
    <row r="6" spans="1:11" ht="46.8" x14ac:dyDescent="0.3">
      <c r="A6" s="6" t="s">
        <v>72</v>
      </c>
      <c r="B6" s="7" t="s">
        <v>112</v>
      </c>
      <c r="C6" s="4"/>
      <c r="D6" s="47" t="s">
        <v>70</v>
      </c>
      <c r="E6" s="276" t="s">
        <v>113</v>
      </c>
      <c r="F6" s="73">
        <f>IF(C6="Y",1,0)</f>
        <v>0</v>
      </c>
      <c r="G6" s="159"/>
      <c r="H6" s="343"/>
      <c r="I6" s="344"/>
      <c r="J6" s="344"/>
      <c r="K6" s="344"/>
    </row>
    <row r="7" spans="1:11" ht="46.8" x14ac:dyDescent="0.3">
      <c r="A7" s="6" t="s">
        <v>75</v>
      </c>
      <c r="B7" s="7" t="s">
        <v>114</v>
      </c>
      <c r="C7" s="4"/>
      <c r="D7" s="47" t="s">
        <v>70</v>
      </c>
      <c r="E7" s="274" t="s">
        <v>113</v>
      </c>
      <c r="F7" s="73">
        <f>IF((C7="Y")*AND(C6="Y"),1,0)</f>
        <v>0</v>
      </c>
      <c r="G7" s="159"/>
      <c r="H7" s="343"/>
      <c r="I7" s="344"/>
      <c r="J7" s="344"/>
      <c r="K7" s="344"/>
    </row>
    <row r="8" spans="1:11" x14ac:dyDescent="0.3">
      <c r="A8" s="74"/>
      <c r="B8" s="351" t="s">
        <v>115</v>
      </c>
      <c r="C8" s="352"/>
      <c r="D8" s="352"/>
      <c r="E8" s="352"/>
      <c r="F8" s="75">
        <f>MIN((F6+F7),2)</f>
        <v>0</v>
      </c>
      <c r="G8" s="76"/>
      <c r="H8" s="343"/>
      <c r="I8" s="344"/>
      <c r="J8" s="344"/>
      <c r="K8" s="344"/>
    </row>
    <row r="9" spans="1:11" x14ac:dyDescent="0.3">
      <c r="A9" s="77" t="s">
        <v>116</v>
      </c>
      <c r="B9" s="78" t="s">
        <v>117</v>
      </c>
      <c r="C9" s="79"/>
      <c r="D9" s="80"/>
      <c r="E9" s="70"/>
      <c r="F9" s="66"/>
      <c r="G9" s="72"/>
      <c r="H9" s="343"/>
      <c r="I9" s="344"/>
      <c r="J9" s="344"/>
      <c r="K9" s="344"/>
    </row>
    <row r="10" spans="1:11" ht="31.2" x14ac:dyDescent="0.3">
      <c r="A10" s="361" t="s">
        <v>72</v>
      </c>
      <c r="B10" s="81" t="s">
        <v>118</v>
      </c>
      <c r="C10" s="82"/>
      <c r="D10" s="83"/>
      <c r="E10" s="84"/>
      <c r="F10" s="8"/>
      <c r="G10" s="161"/>
      <c r="H10" s="343"/>
      <c r="I10" s="344"/>
      <c r="J10" s="344"/>
      <c r="K10" s="344"/>
    </row>
    <row r="11" spans="1:11" x14ac:dyDescent="0.3">
      <c r="A11" s="362"/>
      <c r="B11" s="85" t="s">
        <v>119</v>
      </c>
      <c r="C11" s="4"/>
      <c r="D11" s="47" t="s">
        <v>70</v>
      </c>
      <c r="E11" s="274" t="s">
        <v>113</v>
      </c>
      <c r="F11" s="86">
        <f t="shared" ref="F11:F13" si="0">IF(C11="Y",1,0)</f>
        <v>0</v>
      </c>
      <c r="G11" s="161"/>
      <c r="H11" s="343"/>
      <c r="I11" s="344"/>
      <c r="J11" s="344"/>
      <c r="K11" s="344"/>
    </row>
    <row r="12" spans="1:11" x14ac:dyDescent="0.3">
      <c r="A12" s="362"/>
      <c r="B12" s="85" t="s">
        <v>120</v>
      </c>
      <c r="C12" s="4"/>
      <c r="D12" s="47" t="s">
        <v>70</v>
      </c>
      <c r="E12" s="274" t="s">
        <v>113</v>
      </c>
      <c r="F12" s="86">
        <f t="shared" si="0"/>
        <v>0</v>
      </c>
      <c r="G12" s="161"/>
      <c r="H12" s="343"/>
      <c r="I12" s="344"/>
      <c r="J12" s="344"/>
      <c r="K12" s="344"/>
    </row>
    <row r="13" spans="1:11" x14ac:dyDescent="0.3">
      <c r="A13" s="362"/>
      <c r="B13" s="85" t="s">
        <v>121</v>
      </c>
      <c r="C13" s="4"/>
      <c r="D13" s="47" t="s">
        <v>70</v>
      </c>
      <c r="E13" s="274" t="s">
        <v>113</v>
      </c>
      <c r="F13" s="86">
        <f t="shared" si="0"/>
        <v>0</v>
      </c>
      <c r="G13" s="161"/>
      <c r="H13" s="343"/>
      <c r="I13" s="344"/>
      <c r="J13" s="344"/>
      <c r="K13" s="344"/>
    </row>
    <row r="14" spans="1:11" ht="24.75" customHeight="1" x14ac:dyDescent="0.3">
      <c r="A14" s="363" t="s">
        <v>75</v>
      </c>
      <c r="B14" s="364" t="s">
        <v>122</v>
      </c>
      <c r="C14" s="4"/>
      <c r="D14" s="47" t="s">
        <v>70</v>
      </c>
      <c r="E14" s="370" t="s">
        <v>123</v>
      </c>
      <c r="F14" s="380">
        <f>IF(C15&gt;=90,1,IF(C14="Y",0.5,0))</f>
        <v>0</v>
      </c>
      <c r="G14" s="161"/>
      <c r="H14" s="343"/>
      <c r="I14" s="344"/>
      <c r="J14" s="344"/>
      <c r="K14" s="344"/>
    </row>
    <row r="15" spans="1:11" ht="23.25" customHeight="1" x14ac:dyDescent="0.3">
      <c r="A15" s="363"/>
      <c r="B15" s="365"/>
      <c r="C15" s="160"/>
      <c r="D15" s="50" t="s">
        <v>78</v>
      </c>
      <c r="E15" s="371"/>
      <c r="F15" s="381"/>
      <c r="G15" s="159"/>
      <c r="H15" s="343"/>
      <c r="I15" s="344"/>
      <c r="J15" s="344"/>
      <c r="K15" s="344"/>
    </row>
    <row r="16" spans="1:11" x14ac:dyDescent="0.3">
      <c r="A16" s="87"/>
      <c r="B16" s="351" t="s">
        <v>124</v>
      </c>
      <c r="C16" s="352"/>
      <c r="D16" s="352"/>
      <c r="E16" s="369"/>
      <c r="F16" s="75">
        <f>MIN(SUM(F11:F15),3)</f>
        <v>0</v>
      </c>
      <c r="G16" s="88"/>
      <c r="H16" s="343"/>
      <c r="I16" s="344"/>
      <c r="J16" s="344"/>
      <c r="K16" s="344"/>
    </row>
    <row r="17" spans="1:11" x14ac:dyDescent="0.3">
      <c r="A17" s="59" t="s">
        <v>125</v>
      </c>
      <c r="B17" s="89" t="s">
        <v>126</v>
      </c>
      <c r="C17" s="90"/>
      <c r="D17" s="91"/>
      <c r="E17" s="92"/>
      <c r="F17" s="93"/>
      <c r="G17" s="94"/>
      <c r="H17" s="343"/>
      <c r="I17" s="344"/>
      <c r="J17" s="344"/>
      <c r="K17" s="344"/>
    </row>
    <row r="18" spans="1:11" x14ac:dyDescent="0.3">
      <c r="A18" s="66" t="s">
        <v>127</v>
      </c>
      <c r="B18" s="95" t="s">
        <v>128</v>
      </c>
      <c r="C18" s="96"/>
      <c r="D18" s="97"/>
      <c r="E18" s="70"/>
      <c r="F18" s="98"/>
      <c r="G18" s="72"/>
      <c r="H18" s="343"/>
      <c r="I18" s="344"/>
      <c r="J18" s="344"/>
      <c r="K18" s="344"/>
    </row>
    <row r="19" spans="1:11" ht="124.8" x14ac:dyDescent="0.3">
      <c r="A19" s="8"/>
      <c r="B19" s="99" t="s">
        <v>129</v>
      </c>
      <c r="C19" s="4"/>
      <c r="D19" s="47" t="s">
        <v>70</v>
      </c>
      <c r="E19" s="276" t="s">
        <v>130</v>
      </c>
      <c r="F19" s="73">
        <f>IF(C19="Y",2,0)</f>
        <v>0</v>
      </c>
      <c r="G19" s="159"/>
      <c r="H19" s="343"/>
      <c r="I19" s="344"/>
      <c r="J19" s="344"/>
      <c r="K19" s="344"/>
    </row>
    <row r="20" spans="1:11" x14ac:dyDescent="0.3">
      <c r="A20" s="100"/>
      <c r="B20" s="351" t="s">
        <v>131</v>
      </c>
      <c r="C20" s="352"/>
      <c r="D20" s="352"/>
      <c r="E20" s="352"/>
      <c r="F20" s="75">
        <f>F19</f>
        <v>0</v>
      </c>
      <c r="G20" s="101"/>
      <c r="H20" s="343"/>
      <c r="I20" s="344"/>
      <c r="J20" s="344"/>
      <c r="K20" s="344"/>
    </row>
    <row r="21" spans="1:11" x14ac:dyDescent="0.3">
      <c r="A21" s="66" t="s">
        <v>132</v>
      </c>
      <c r="B21" s="95" t="s">
        <v>133</v>
      </c>
      <c r="C21" s="102"/>
      <c r="D21" s="103"/>
      <c r="E21" s="70"/>
      <c r="F21" s="98"/>
      <c r="G21" s="72"/>
      <c r="H21" s="343"/>
      <c r="I21" s="344"/>
      <c r="J21" s="344"/>
      <c r="K21" s="344"/>
    </row>
    <row r="22" spans="1:11" ht="62.4" x14ac:dyDescent="0.3">
      <c r="A22" s="6"/>
      <c r="B22" s="104" t="s">
        <v>134</v>
      </c>
      <c r="C22" s="160"/>
      <c r="D22" s="50" t="s">
        <v>78</v>
      </c>
      <c r="E22" s="105" t="s">
        <v>135</v>
      </c>
      <c r="F22" s="106">
        <f>IF(AND(C22&gt;=50, C22&lt;80),0.5,0) + IF(C22&gt;=80,1,0)</f>
        <v>0</v>
      </c>
      <c r="G22" s="162"/>
      <c r="H22" s="343"/>
      <c r="I22" s="344"/>
      <c r="J22" s="344"/>
      <c r="K22" s="344"/>
    </row>
    <row r="23" spans="1:11" x14ac:dyDescent="0.3">
      <c r="A23" s="74"/>
      <c r="B23" s="351" t="s">
        <v>136</v>
      </c>
      <c r="C23" s="352"/>
      <c r="D23" s="352"/>
      <c r="E23" s="352"/>
      <c r="F23" s="107">
        <f>MIN(F22, 1)</f>
        <v>0</v>
      </c>
      <c r="G23" s="74"/>
      <c r="H23" s="343"/>
      <c r="I23" s="344"/>
      <c r="J23" s="344"/>
      <c r="K23" s="344"/>
    </row>
    <row r="24" spans="1:11" x14ac:dyDescent="0.3">
      <c r="A24" s="59" t="s">
        <v>137</v>
      </c>
      <c r="B24" s="89" t="s">
        <v>138</v>
      </c>
      <c r="C24" s="108"/>
      <c r="D24" s="109"/>
      <c r="E24" s="92"/>
      <c r="F24" s="92"/>
      <c r="G24" s="94"/>
      <c r="H24" s="343"/>
      <c r="I24" s="344"/>
      <c r="J24" s="344"/>
      <c r="K24" s="344"/>
    </row>
    <row r="25" spans="1:11" x14ac:dyDescent="0.3">
      <c r="A25" s="66" t="s">
        <v>137</v>
      </c>
      <c r="B25" s="95" t="s">
        <v>139</v>
      </c>
      <c r="C25" s="96"/>
      <c r="D25" s="97"/>
      <c r="E25" s="70"/>
      <c r="F25" s="110"/>
      <c r="G25" s="111"/>
      <c r="H25" s="343"/>
      <c r="I25" s="344"/>
      <c r="J25" s="344"/>
      <c r="K25" s="344"/>
    </row>
    <row r="26" spans="1:11" ht="46.8" x14ac:dyDescent="0.3">
      <c r="A26" s="8"/>
      <c r="B26" s="99" t="s">
        <v>140</v>
      </c>
      <c r="C26" s="112" t="s">
        <v>141</v>
      </c>
      <c r="D26" s="113" t="s">
        <v>141</v>
      </c>
      <c r="E26" s="113" t="s">
        <v>141</v>
      </c>
      <c r="F26" s="113" t="s">
        <v>141</v>
      </c>
      <c r="G26" s="159"/>
      <c r="H26" s="343"/>
      <c r="I26" s="344"/>
      <c r="J26" s="344"/>
      <c r="K26" s="344"/>
    </row>
    <row r="27" spans="1:11" x14ac:dyDescent="0.3">
      <c r="A27" s="76"/>
      <c r="B27" s="351" t="s">
        <v>142</v>
      </c>
      <c r="C27" s="352"/>
      <c r="D27" s="352"/>
      <c r="E27" s="352"/>
      <c r="F27" s="107">
        <f>0</f>
        <v>0</v>
      </c>
      <c r="G27" s="101"/>
      <c r="H27" s="343"/>
      <c r="I27" s="344"/>
      <c r="J27" s="344"/>
      <c r="K27" s="344"/>
    </row>
    <row r="28" spans="1:11" x14ac:dyDescent="0.3">
      <c r="A28" s="56" t="s">
        <v>143</v>
      </c>
      <c r="B28" s="366" t="s">
        <v>144</v>
      </c>
      <c r="C28" s="367"/>
      <c r="D28" s="368"/>
      <c r="E28" s="114">
        <v>5</v>
      </c>
      <c r="F28" s="115">
        <f>MIN(SUM(F53,F47,F39,F35),5)</f>
        <v>0</v>
      </c>
      <c r="G28" s="116"/>
      <c r="H28" s="343"/>
      <c r="I28" s="344"/>
      <c r="J28" s="344"/>
      <c r="K28" s="344"/>
    </row>
    <row r="29" spans="1:11" x14ac:dyDescent="0.3">
      <c r="A29" s="117" t="s">
        <v>145</v>
      </c>
      <c r="B29" s="356" t="s">
        <v>146</v>
      </c>
      <c r="C29" s="357"/>
      <c r="D29" s="118"/>
      <c r="E29" s="119"/>
      <c r="F29" s="120"/>
      <c r="G29" s="65"/>
      <c r="H29" s="343"/>
      <c r="I29" s="344"/>
      <c r="J29" s="344"/>
      <c r="K29" s="344"/>
    </row>
    <row r="30" spans="1:11" x14ac:dyDescent="0.3">
      <c r="A30" s="121" t="s">
        <v>147</v>
      </c>
      <c r="B30" s="122" t="s">
        <v>148</v>
      </c>
      <c r="C30" s="122"/>
      <c r="D30" s="123"/>
      <c r="E30" s="70"/>
      <c r="F30" s="124"/>
      <c r="G30" s="125"/>
      <c r="H30" s="343"/>
      <c r="I30" s="344"/>
      <c r="J30" s="344"/>
      <c r="K30" s="344"/>
    </row>
    <row r="31" spans="1:11" ht="31.2" x14ac:dyDescent="0.3">
      <c r="A31" s="353" t="s">
        <v>72</v>
      </c>
      <c r="B31" s="126" t="s">
        <v>149</v>
      </c>
      <c r="C31" s="127"/>
      <c r="D31" s="128"/>
      <c r="E31" s="128"/>
      <c r="F31" s="129"/>
      <c r="G31" s="159"/>
      <c r="I31" s="130"/>
      <c r="J31" s="131" t="s">
        <v>150</v>
      </c>
      <c r="K31" s="132"/>
    </row>
    <row r="32" spans="1:11" ht="27" customHeight="1" x14ac:dyDescent="0.3">
      <c r="A32" s="354"/>
      <c r="B32" s="128" t="s">
        <v>151</v>
      </c>
      <c r="C32" s="163"/>
      <c r="D32" s="50" t="s">
        <v>74</v>
      </c>
      <c r="E32" s="359" t="s">
        <v>152</v>
      </c>
      <c r="F32" s="377">
        <f>MIN(SUM(C32*0.55,C33*0.5),1)</f>
        <v>0</v>
      </c>
      <c r="G32" s="164"/>
      <c r="I32" s="134">
        <f>IF(C32&gt;0,C32*0.25,0)</f>
        <v>0</v>
      </c>
      <c r="J32" s="345">
        <f>IF(SUM(I32+I33)&gt;=0.5,"0.5",I32+I33)</f>
        <v>0</v>
      </c>
      <c r="K32" s="346" t="s">
        <v>153</v>
      </c>
    </row>
    <row r="33" spans="1:11" ht="25.5" customHeight="1" x14ac:dyDescent="0.3">
      <c r="A33" s="358"/>
      <c r="B33" s="128" t="s">
        <v>154</v>
      </c>
      <c r="C33" s="163"/>
      <c r="D33" s="50" t="s">
        <v>74</v>
      </c>
      <c r="E33" s="360"/>
      <c r="F33" s="378"/>
      <c r="G33" s="165"/>
      <c r="I33" s="134">
        <f>IF(C33&gt;0,C33*0.5,0)</f>
        <v>0</v>
      </c>
      <c r="J33" s="345"/>
      <c r="K33" s="347"/>
    </row>
    <row r="34" spans="1:11" ht="46.8" x14ac:dyDescent="0.3">
      <c r="A34" s="286" t="s">
        <v>75</v>
      </c>
      <c r="B34" s="128" t="s">
        <v>155</v>
      </c>
      <c r="C34" s="163"/>
      <c r="D34" s="50" t="s">
        <v>74</v>
      </c>
      <c r="E34" s="135" t="s">
        <v>156</v>
      </c>
      <c r="F34" s="73">
        <f>IF(I34&gt;=0.5,0.5,I34)</f>
        <v>0</v>
      </c>
      <c r="G34" s="165"/>
      <c r="I34" s="134">
        <f>IF(C34&gt;0,C34*0.25,0)</f>
        <v>0</v>
      </c>
      <c r="J34" s="136">
        <f>IF(I34&gt;=0.5,"0.5",I34)</f>
        <v>0</v>
      </c>
      <c r="K34" s="270" t="s">
        <v>153</v>
      </c>
    </row>
    <row r="35" spans="1:11" x14ac:dyDescent="0.3">
      <c r="A35" s="137"/>
      <c r="B35" s="351" t="s">
        <v>157</v>
      </c>
      <c r="C35" s="352"/>
      <c r="D35" s="352"/>
      <c r="E35" s="352"/>
      <c r="F35" s="138">
        <f>MIN(F32+F34,1)</f>
        <v>0</v>
      </c>
      <c r="G35" s="74"/>
      <c r="H35" s="343"/>
      <c r="I35" s="344"/>
      <c r="J35" s="344"/>
      <c r="K35" s="344"/>
    </row>
    <row r="36" spans="1:11" x14ac:dyDescent="0.3">
      <c r="A36" s="121" t="s">
        <v>158</v>
      </c>
      <c r="B36" s="122" t="s">
        <v>159</v>
      </c>
      <c r="C36" s="122"/>
      <c r="D36" s="122"/>
      <c r="E36" s="70"/>
      <c r="F36" s="139"/>
      <c r="G36" s="72"/>
      <c r="H36" s="343"/>
      <c r="I36" s="344"/>
      <c r="J36" s="344"/>
      <c r="K36" s="344"/>
    </row>
    <row r="37" spans="1:11" ht="46.8" x14ac:dyDescent="0.3">
      <c r="A37" s="275" t="s">
        <v>72</v>
      </c>
      <c r="B37" s="140" t="s">
        <v>160</v>
      </c>
      <c r="C37" s="290"/>
      <c r="D37" s="47" t="s">
        <v>70</v>
      </c>
      <c r="E37" s="276" t="s">
        <v>161</v>
      </c>
      <c r="F37" s="73">
        <f>IF(C37="Y",1.5,0)</f>
        <v>0</v>
      </c>
      <c r="G37" s="6"/>
      <c r="H37" s="343"/>
      <c r="I37" s="344"/>
      <c r="J37" s="344"/>
      <c r="K37" s="344"/>
    </row>
    <row r="38" spans="1:11" ht="31.2" x14ac:dyDescent="0.3">
      <c r="A38" s="286" t="s">
        <v>75</v>
      </c>
      <c r="B38" s="141" t="s">
        <v>162</v>
      </c>
      <c r="C38" s="112" t="s">
        <v>141</v>
      </c>
      <c r="D38" s="142" t="s">
        <v>141</v>
      </c>
      <c r="E38" s="113" t="s">
        <v>141</v>
      </c>
      <c r="F38" s="142" t="s">
        <v>141</v>
      </c>
      <c r="G38" s="133"/>
      <c r="H38" s="343"/>
      <c r="I38" s="344"/>
      <c r="J38" s="344"/>
      <c r="K38" s="344"/>
    </row>
    <row r="39" spans="1:11" x14ac:dyDescent="0.3">
      <c r="A39" s="137"/>
      <c r="B39" s="351" t="s">
        <v>163</v>
      </c>
      <c r="C39" s="352"/>
      <c r="D39" s="352"/>
      <c r="E39" s="352"/>
      <c r="F39" s="75">
        <f>MIN(SUM(F37:F38),2)</f>
        <v>0</v>
      </c>
      <c r="G39" s="143"/>
      <c r="H39" s="343"/>
      <c r="I39" s="344"/>
      <c r="J39" s="344"/>
      <c r="K39" s="344"/>
    </row>
    <row r="40" spans="1:11" x14ac:dyDescent="0.3">
      <c r="A40" s="117" t="s">
        <v>164</v>
      </c>
      <c r="B40" s="144" t="s">
        <v>165</v>
      </c>
      <c r="C40" s="145"/>
      <c r="D40" s="118"/>
      <c r="E40" s="119"/>
      <c r="F40" s="120"/>
      <c r="G40" s="65"/>
      <c r="H40" s="343"/>
      <c r="I40" s="344"/>
      <c r="J40" s="344"/>
      <c r="K40" s="344"/>
    </row>
    <row r="41" spans="1:11" ht="31.2" x14ac:dyDescent="0.3">
      <c r="A41" s="121"/>
      <c r="B41" s="122" t="s">
        <v>166</v>
      </c>
      <c r="C41" s="122"/>
      <c r="D41" s="122"/>
      <c r="E41" s="146"/>
      <c r="F41" s="124"/>
      <c r="G41" s="125"/>
      <c r="H41" s="343"/>
      <c r="I41" s="344"/>
      <c r="J41" s="344"/>
      <c r="K41" s="344"/>
    </row>
    <row r="42" spans="1:11" x14ac:dyDescent="0.3">
      <c r="A42" s="353" t="s">
        <v>72</v>
      </c>
      <c r="B42" s="126" t="s">
        <v>167</v>
      </c>
      <c r="C42" s="127"/>
      <c r="D42" s="128"/>
      <c r="E42" s="113"/>
      <c r="F42" s="113"/>
      <c r="G42" s="159"/>
      <c r="H42" s="343"/>
      <c r="I42" s="344"/>
      <c r="J42" s="344"/>
      <c r="K42" s="344"/>
    </row>
    <row r="43" spans="1:11" x14ac:dyDescent="0.3">
      <c r="A43" s="354"/>
      <c r="B43" s="128" t="s">
        <v>168</v>
      </c>
      <c r="C43" s="4"/>
      <c r="D43" s="47" t="s">
        <v>70</v>
      </c>
      <c r="E43" s="276" t="s">
        <v>169</v>
      </c>
      <c r="F43" s="73">
        <f t="shared" ref="F43:F44" si="1">IF(C43="Y",0.5,0)</f>
        <v>0</v>
      </c>
      <c r="G43" s="164"/>
      <c r="H43" s="343"/>
      <c r="I43" s="344"/>
      <c r="J43" s="344"/>
      <c r="K43" s="344"/>
    </row>
    <row r="44" spans="1:11" x14ac:dyDescent="0.3">
      <c r="A44" s="354"/>
      <c r="B44" s="128" t="s">
        <v>170</v>
      </c>
      <c r="C44" s="4"/>
      <c r="D44" s="47" t="s">
        <v>70</v>
      </c>
      <c r="E44" s="276" t="s">
        <v>169</v>
      </c>
      <c r="F44" s="73">
        <f t="shared" si="1"/>
        <v>0</v>
      </c>
      <c r="G44" s="164"/>
      <c r="H44" s="343"/>
      <c r="I44" s="344"/>
      <c r="J44" s="344"/>
      <c r="K44" s="344"/>
    </row>
    <row r="45" spans="1:11" ht="33.75" customHeight="1" x14ac:dyDescent="0.3">
      <c r="A45" s="271" t="s">
        <v>75</v>
      </c>
      <c r="B45" s="147" t="s">
        <v>171</v>
      </c>
      <c r="C45" s="4"/>
      <c r="D45" s="47" t="s">
        <v>70</v>
      </c>
      <c r="E45" s="276" t="s">
        <v>113</v>
      </c>
      <c r="F45" s="73">
        <f>IF(C45="Y",1,0)</f>
        <v>0</v>
      </c>
      <c r="G45" s="166"/>
      <c r="H45" s="343"/>
      <c r="I45" s="344"/>
      <c r="J45" s="344"/>
      <c r="K45" s="344"/>
    </row>
    <row r="46" spans="1:11" ht="62.4" x14ac:dyDescent="0.3">
      <c r="A46" s="271" t="s">
        <v>79</v>
      </c>
      <c r="B46" s="147" t="s">
        <v>172</v>
      </c>
      <c r="C46" s="5"/>
      <c r="D46" s="148" t="s">
        <v>70</v>
      </c>
      <c r="E46" s="273" t="s">
        <v>113</v>
      </c>
      <c r="F46" s="73">
        <f>IF(C46="Y",1,0)</f>
        <v>0</v>
      </c>
      <c r="G46" s="164"/>
      <c r="H46" s="343"/>
      <c r="I46" s="344"/>
      <c r="J46" s="344"/>
      <c r="K46" s="344"/>
    </row>
    <row r="47" spans="1:11" x14ac:dyDescent="0.3">
      <c r="A47" s="137"/>
      <c r="B47" s="355" t="s">
        <v>173</v>
      </c>
      <c r="C47" s="355"/>
      <c r="D47" s="355"/>
      <c r="E47" s="355"/>
      <c r="F47" s="138">
        <f>MIN(F43+F44+F45+F46)</f>
        <v>0</v>
      </c>
      <c r="G47" s="76"/>
      <c r="H47" s="343"/>
      <c r="I47" s="344"/>
      <c r="J47" s="344"/>
      <c r="K47" s="344"/>
    </row>
    <row r="48" spans="1:11" x14ac:dyDescent="0.3">
      <c r="A48" s="117" t="s">
        <v>174</v>
      </c>
      <c r="B48" s="144" t="s">
        <v>175</v>
      </c>
      <c r="C48" s="145"/>
      <c r="D48" s="118"/>
      <c r="E48" s="119"/>
      <c r="F48" s="120"/>
      <c r="G48" s="65"/>
      <c r="H48" s="343"/>
      <c r="I48" s="344"/>
      <c r="J48" s="344"/>
      <c r="K48" s="344"/>
    </row>
    <row r="49" spans="1:11" ht="31.2" x14ac:dyDescent="0.3">
      <c r="A49" s="149"/>
      <c r="B49" s="150" t="s">
        <v>176</v>
      </c>
      <c r="C49" s="123"/>
      <c r="D49" s="123"/>
      <c r="E49" s="151"/>
      <c r="F49" s="124"/>
      <c r="G49" s="125"/>
      <c r="H49" s="343"/>
      <c r="I49" s="344"/>
      <c r="J49" s="344"/>
      <c r="K49" s="344"/>
    </row>
    <row r="50" spans="1:11" ht="31.2" x14ac:dyDescent="0.3">
      <c r="A50" s="286" t="s">
        <v>72</v>
      </c>
      <c r="B50" s="152" t="s">
        <v>177</v>
      </c>
      <c r="C50" s="4"/>
      <c r="D50" s="47" t="s">
        <v>70</v>
      </c>
      <c r="E50" s="276" t="s">
        <v>130</v>
      </c>
      <c r="F50" s="73">
        <f>IF(C50="Y",2,0)</f>
        <v>0</v>
      </c>
      <c r="G50" s="159"/>
      <c r="H50" s="343"/>
      <c r="I50" s="344"/>
      <c r="J50" s="344"/>
      <c r="K50" s="344"/>
    </row>
    <row r="51" spans="1:11" ht="46.8" x14ac:dyDescent="0.3">
      <c r="A51" s="286" t="s">
        <v>75</v>
      </c>
      <c r="B51" s="152" t="s">
        <v>178</v>
      </c>
      <c r="C51" s="112" t="s">
        <v>141</v>
      </c>
      <c r="D51" s="113" t="s">
        <v>141</v>
      </c>
      <c r="E51" s="113" t="s">
        <v>141</v>
      </c>
      <c r="F51" s="113" t="s">
        <v>141</v>
      </c>
      <c r="G51" s="159"/>
      <c r="H51" s="343"/>
      <c r="I51" s="344"/>
      <c r="J51" s="344"/>
      <c r="K51" s="344"/>
    </row>
    <row r="52" spans="1:11" ht="31.2" x14ac:dyDescent="0.3">
      <c r="A52" s="286" t="s">
        <v>79</v>
      </c>
      <c r="B52" s="141" t="s">
        <v>179</v>
      </c>
      <c r="C52" s="4"/>
      <c r="D52" s="47" t="s">
        <v>70</v>
      </c>
      <c r="E52" s="276" t="s">
        <v>113</v>
      </c>
      <c r="F52" s="73">
        <f>IF((C52="Y")*AND(C50="Y"),1,0)</f>
        <v>0</v>
      </c>
      <c r="G52" s="159"/>
      <c r="H52" s="343"/>
      <c r="I52" s="344"/>
      <c r="J52" s="344"/>
      <c r="K52" s="344"/>
    </row>
    <row r="53" spans="1:11" x14ac:dyDescent="0.3">
      <c r="A53" s="137"/>
      <c r="B53" s="351" t="s">
        <v>180</v>
      </c>
      <c r="C53" s="352"/>
      <c r="D53" s="352"/>
      <c r="E53" s="352"/>
      <c r="F53" s="138">
        <f>MIN((F50+F52),3)</f>
        <v>0</v>
      </c>
      <c r="G53" s="76"/>
      <c r="H53" s="343"/>
      <c r="I53" s="344"/>
      <c r="J53" s="344"/>
      <c r="K53" s="344"/>
    </row>
    <row r="54" spans="1:11" x14ac:dyDescent="0.3">
      <c r="A54" s="56" t="s">
        <v>181</v>
      </c>
      <c r="B54" s="379" t="s">
        <v>182</v>
      </c>
      <c r="C54" s="379"/>
      <c r="D54" s="379"/>
      <c r="E54" s="56">
        <v>5</v>
      </c>
      <c r="F54" s="58">
        <f>MIN(SUM(F65,F60),5)</f>
        <v>0</v>
      </c>
      <c r="G54" s="56"/>
      <c r="H54" s="343"/>
      <c r="I54" s="344"/>
      <c r="J54" s="344"/>
      <c r="K54" s="344"/>
    </row>
    <row r="55" spans="1:11" x14ac:dyDescent="0.3">
      <c r="A55" s="117" t="s">
        <v>183</v>
      </c>
      <c r="B55" s="144" t="s">
        <v>184</v>
      </c>
      <c r="C55" s="145"/>
      <c r="D55" s="118"/>
      <c r="E55" s="119"/>
      <c r="F55" s="153"/>
      <c r="G55" s="65"/>
      <c r="H55" s="343"/>
      <c r="I55" s="344"/>
      <c r="J55" s="344"/>
      <c r="K55" s="344"/>
    </row>
    <row r="56" spans="1:11" ht="31.2" x14ac:dyDescent="0.3">
      <c r="A56" s="154"/>
      <c r="B56" s="150" t="s">
        <v>185</v>
      </c>
      <c r="C56" s="155"/>
      <c r="D56" s="155"/>
      <c r="E56" s="151"/>
      <c r="F56" s="154"/>
      <c r="G56" s="72"/>
      <c r="H56" s="343"/>
      <c r="I56" s="344"/>
      <c r="J56" s="344"/>
      <c r="K56" s="344"/>
    </row>
    <row r="57" spans="1:11" x14ac:dyDescent="0.3">
      <c r="A57" s="286" t="s">
        <v>72</v>
      </c>
      <c r="B57" s="141" t="s">
        <v>186</v>
      </c>
      <c r="C57" s="4"/>
      <c r="D57" s="50" t="s">
        <v>74</v>
      </c>
      <c r="E57" s="276" t="s">
        <v>113</v>
      </c>
      <c r="F57" s="73">
        <f>IF(C57&gt;3,1,0)</f>
        <v>0</v>
      </c>
      <c r="G57" s="159"/>
      <c r="H57" s="343"/>
      <c r="I57" s="344"/>
      <c r="J57" s="344"/>
      <c r="K57" s="344"/>
    </row>
    <row r="58" spans="1:11" ht="31.2" x14ac:dyDescent="0.3">
      <c r="A58" s="286" t="s">
        <v>75</v>
      </c>
      <c r="B58" s="141" t="s">
        <v>187</v>
      </c>
      <c r="C58" s="4"/>
      <c r="D58" s="47" t="s">
        <v>70</v>
      </c>
      <c r="E58" s="276" t="s">
        <v>113</v>
      </c>
      <c r="F58" s="73">
        <f t="shared" ref="F58:F59" si="2">IF(C58="Y",1,0)</f>
        <v>0</v>
      </c>
      <c r="G58" s="159"/>
      <c r="H58" s="343"/>
      <c r="I58" s="344"/>
      <c r="J58" s="344"/>
      <c r="K58" s="344"/>
    </row>
    <row r="59" spans="1:11" ht="46.8" x14ac:dyDescent="0.3">
      <c r="A59" s="286" t="s">
        <v>79</v>
      </c>
      <c r="B59" s="141" t="s">
        <v>188</v>
      </c>
      <c r="C59" s="4"/>
      <c r="D59" s="47" t="s">
        <v>70</v>
      </c>
      <c r="E59" s="276" t="s">
        <v>113</v>
      </c>
      <c r="F59" s="73">
        <f t="shared" si="2"/>
        <v>0</v>
      </c>
      <c r="G59" s="159"/>
      <c r="H59" s="343"/>
      <c r="I59" s="344"/>
      <c r="J59" s="344"/>
      <c r="K59" s="344"/>
    </row>
    <row r="60" spans="1:11" x14ac:dyDescent="0.3">
      <c r="A60" s="137"/>
      <c r="B60" s="351" t="s">
        <v>189</v>
      </c>
      <c r="C60" s="352"/>
      <c r="D60" s="352"/>
      <c r="E60" s="352"/>
      <c r="F60" s="138">
        <f>MIN(F57+F58+F59,3)</f>
        <v>0</v>
      </c>
      <c r="G60" s="101"/>
      <c r="H60" s="343"/>
      <c r="I60" s="344"/>
      <c r="J60" s="344"/>
      <c r="K60" s="344"/>
    </row>
    <row r="61" spans="1:11" x14ac:dyDescent="0.3">
      <c r="A61" s="117" t="s">
        <v>190</v>
      </c>
      <c r="B61" s="356" t="s">
        <v>191</v>
      </c>
      <c r="C61" s="357"/>
      <c r="D61" s="118"/>
      <c r="E61" s="119"/>
      <c r="F61" s="153"/>
      <c r="G61" s="65"/>
      <c r="H61" s="343"/>
      <c r="I61" s="344"/>
      <c r="J61" s="344"/>
      <c r="K61" s="344"/>
    </row>
    <row r="62" spans="1:11" ht="46.8" x14ac:dyDescent="0.3">
      <c r="A62" s="156"/>
      <c r="B62" s="122" t="s">
        <v>192</v>
      </c>
      <c r="C62" s="157"/>
      <c r="D62" s="157"/>
      <c r="E62" s="139"/>
      <c r="F62" s="154"/>
      <c r="G62" s="72"/>
      <c r="H62" s="343"/>
      <c r="I62" s="344"/>
      <c r="J62" s="344"/>
      <c r="K62" s="344"/>
    </row>
    <row r="63" spans="1:11" ht="62.4" x14ac:dyDescent="0.3">
      <c r="A63" s="286" t="s">
        <v>72</v>
      </c>
      <c r="B63" s="128" t="s">
        <v>193</v>
      </c>
      <c r="C63" s="4"/>
      <c r="D63" s="47" t="s">
        <v>70</v>
      </c>
      <c r="E63" s="276" t="s">
        <v>130</v>
      </c>
      <c r="F63" s="73">
        <f t="shared" ref="F63:F64" si="3">IF(C63="Y",2,0)</f>
        <v>0</v>
      </c>
      <c r="G63" s="159"/>
      <c r="H63" s="343"/>
      <c r="I63" s="344"/>
      <c r="J63" s="344"/>
      <c r="K63" s="344"/>
    </row>
    <row r="64" spans="1:11" ht="62.4" x14ac:dyDescent="0.3">
      <c r="A64" s="286" t="s">
        <v>75</v>
      </c>
      <c r="B64" s="128" t="s">
        <v>194</v>
      </c>
      <c r="C64" s="4"/>
      <c r="D64" s="47" t="s">
        <v>70</v>
      </c>
      <c r="E64" s="276" t="s">
        <v>130</v>
      </c>
      <c r="F64" s="73">
        <f t="shared" si="3"/>
        <v>0</v>
      </c>
      <c r="G64" s="159"/>
      <c r="H64" s="343"/>
      <c r="I64" s="344"/>
      <c r="J64" s="344"/>
      <c r="K64" s="344"/>
    </row>
    <row r="65" spans="1:11" x14ac:dyDescent="0.3">
      <c r="A65" s="137"/>
      <c r="B65" s="351" t="s">
        <v>195</v>
      </c>
      <c r="C65" s="352"/>
      <c r="D65" s="352"/>
      <c r="E65" s="352"/>
      <c r="F65" s="138">
        <f>MIN(F63+F64,4)</f>
        <v>0</v>
      </c>
      <c r="G65" s="76"/>
      <c r="H65" s="343"/>
      <c r="I65" s="344"/>
      <c r="J65" s="344"/>
      <c r="K65" s="344"/>
    </row>
    <row r="66" spans="1:11" x14ac:dyDescent="0.3">
      <c r="A66" s="56"/>
      <c r="B66" s="379" t="s">
        <v>196</v>
      </c>
      <c r="C66" s="379"/>
      <c r="D66" s="379"/>
      <c r="E66" s="57">
        <v>2</v>
      </c>
      <c r="F66" s="58">
        <f>MIN(F68+F69,2)</f>
        <v>0</v>
      </c>
      <c r="G66" s="56"/>
      <c r="H66" s="343"/>
      <c r="I66" s="344"/>
      <c r="J66" s="344"/>
      <c r="K66" s="344"/>
    </row>
    <row r="67" spans="1:11" ht="93.6" x14ac:dyDescent="0.3">
      <c r="A67" s="121"/>
      <c r="B67" s="158" t="s">
        <v>197</v>
      </c>
      <c r="C67" s="139"/>
      <c r="D67" s="139"/>
      <c r="E67" s="139" t="s">
        <v>198</v>
      </c>
      <c r="F67" s="111"/>
      <c r="G67" s="102" t="s">
        <v>199</v>
      </c>
      <c r="H67" s="343"/>
      <c r="I67" s="344"/>
      <c r="J67" s="344"/>
      <c r="K67" s="344"/>
    </row>
    <row r="68" spans="1:11" ht="136.5" customHeight="1" x14ac:dyDescent="0.3">
      <c r="A68" s="372"/>
      <c r="B68" s="374" t="s">
        <v>200</v>
      </c>
      <c r="C68" s="167"/>
      <c r="D68" s="86" t="s">
        <v>74</v>
      </c>
      <c r="E68" s="376" t="s">
        <v>201</v>
      </c>
      <c r="F68" s="73">
        <f>C68</f>
        <v>0</v>
      </c>
      <c r="G68" s="168" t="s">
        <v>202</v>
      </c>
      <c r="H68" s="343"/>
      <c r="I68" s="344"/>
      <c r="J68" s="344"/>
      <c r="K68" s="344"/>
    </row>
    <row r="69" spans="1:11" ht="135.9" customHeight="1" x14ac:dyDescent="0.3">
      <c r="A69" s="373"/>
      <c r="B69" s="375"/>
      <c r="C69" s="167"/>
      <c r="D69" s="86" t="s">
        <v>74</v>
      </c>
      <c r="E69" s="376"/>
      <c r="F69" s="73">
        <f>C69</f>
        <v>0</v>
      </c>
      <c r="G69" s="168" t="s">
        <v>203</v>
      </c>
      <c r="H69" s="343"/>
      <c r="I69" s="344"/>
      <c r="J69" s="344"/>
      <c r="K69" s="344"/>
    </row>
  </sheetData>
  <sheetProtection algorithmName="SHA-512" hashValue="+dZ4vFpkRCd01WuYo6PY8X//VHprGBmNWtQadVnyMxGqBSBEoO4K/ekUp1vOwN9scSiFXu1tT20uY70Gg2wwHw==" saltValue="bf+bkYf28qkbJwqTUyeg1Q==" spinCount="100000" sheet="1" objects="1" scenarios="1" formatCells="0" selectLockedCells="1"/>
  <mergeCells count="96">
    <mergeCell ref="A68:A69"/>
    <mergeCell ref="B68:B69"/>
    <mergeCell ref="E68:E69"/>
    <mergeCell ref="F32:F33"/>
    <mergeCell ref="B3:D3"/>
    <mergeCell ref="B23:E23"/>
    <mergeCell ref="B66:D66"/>
    <mergeCell ref="F14:F15"/>
    <mergeCell ref="B54:D54"/>
    <mergeCell ref="H12:K12"/>
    <mergeCell ref="H13:K13"/>
    <mergeCell ref="H14:K14"/>
    <mergeCell ref="H15:K15"/>
    <mergeCell ref="H16:K16"/>
    <mergeCell ref="H17:K17"/>
    <mergeCell ref="H18:K18"/>
    <mergeCell ref="B65:E65"/>
    <mergeCell ref="B8:E8"/>
    <mergeCell ref="B60:E60"/>
    <mergeCell ref="B61:C61"/>
    <mergeCell ref="E14:E15"/>
    <mergeCell ref="H19:K19"/>
    <mergeCell ref="H20:K20"/>
    <mergeCell ref="H21:K21"/>
    <mergeCell ref="H22:K22"/>
    <mergeCell ref="H23:K23"/>
    <mergeCell ref="H24:K24"/>
    <mergeCell ref="H25:K25"/>
    <mergeCell ref="H26:K26"/>
    <mergeCell ref="H27:K27"/>
    <mergeCell ref="A2:D2"/>
    <mergeCell ref="B39:E39"/>
    <mergeCell ref="A42:A44"/>
    <mergeCell ref="B47:E47"/>
    <mergeCell ref="B53:E53"/>
    <mergeCell ref="B27:E27"/>
    <mergeCell ref="B29:C29"/>
    <mergeCell ref="A31:A33"/>
    <mergeCell ref="E32:E33"/>
    <mergeCell ref="B35:E35"/>
    <mergeCell ref="A10:A13"/>
    <mergeCell ref="A14:A15"/>
    <mergeCell ref="B14:B15"/>
    <mergeCell ref="B28:D28"/>
    <mergeCell ref="B16:E16"/>
    <mergeCell ref="B20:E20"/>
    <mergeCell ref="H2:K2"/>
    <mergeCell ref="H3:K3"/>
    <mergeCell ref="H4:K4"/>
    <mergeCell ref="H5:K5"/>
    <mergeCell ref="H6:K6"/>
    <mergeCell ref="H7:K7"/>
    <mergeCell ref="H8:K8"/>
    <mergeCell ref="H9:K9"/>
    <mergeCell ref="H10:K10"/>
    <mergeCell ref="H11:K11"/>
    <mergeCell ref="H28:K28"/>
    <mergeCell ref="H29:K29"/>
    <mergeCell ref="H30:K30"/>
    <mergeCell ref="H35:K35"/>
    <mergeCell ref="H36:K36"/>
    <mergeCell ref="H37:K37"/>
    <mergeCell ref="J32:J33"/>
    <mergeCell ref="K32:K33"/>
    <mergeCell ref="H38:K38"/>
    <mergeCell ref="H39:K39"/>
    <mergeCell ref="H40:K40"/>
    <mergeCell ref="H41:K41"/>
    <mergeCell ref="H42:K42"/>
    <mergeCell ref="H43:K43"/>
    <mergeCell ref="H44:K44"/>
    <mergeCell ref="H45:K45"/>
    <mergeCell ref="H46:K46"/>
    <mergeCell ref="H47:K47"/>
    <mergeCell ref="H48:K48"/>
    <mergeCell ref="H49:K49"/>
    <mergeCell ref="H50:K50"/>
    <mergeCell ref="H51:K51"/>
    <mergeCell ref="H52:K52"/>
    <mergeCell ref="H53:K53"/>
    <mergeCell ref="H54:K54"/>
    <mergeCell ref="H55:K55"/>
    <mergeCell ref="H56:K56"/>
    <mergeCell ref="H57:K57"/>
    <mergeCell ref="H58:K58"/>
    <mergeCell ref="H59:K59"/>
    <mergeCell ref="H60:K60"/>
    <mergeCell ref="H61:K61"/>
    <mergeCell ref="H62:K62"/>
    <mergeCell ref="H68:K68"/>
    <mergeCell ref="H69:K69"/>
    <mergeCell ref="H63:K63"/>
    <mergeCell ref="H64:K64"/>
    <mergeCell ref="H65:K65"/>
    <mergeCell ref="H66:K66"/>
    <mergeCell ref="H67:K67"/>
  </mergeCells>
  <dataValidations count="8">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52 C63:C64 C58:C59 C6:C7 C50 C37"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18" sqref="E18"/>
    </sheetView>
  </sheetViews>
  <sheetFormatPr defaultColWidth="9.109375" defaultRowHeight="14.4" x14ac:dyDescent="0.3"/>
  <cols>
    <col min="1" max="1" width="8.33203125" style="267" customWidth="1"/>
    <col min="2" max="2" width="22.33203125" style="267" customWidth="1"/>
    <col min="3" max="3" width="34" style="267" customWidth="1"/>
    <col min="4" max="4" width="21.109375" style="267" customWidth="1"/>
    <col min="5" max="5" width="10.6640625" style="288" customWidth="1"/>
    <col min="6" max="6" width="16.109375" style="287" customWidth="1"/>
    <col min="7" max="7" width="18.109375" style="267" customWidth="1"/>
    <col min="8" max="8" width="10.6640625" style="267" customWidth="1"/>
    <col min="9" max="9" width="30.6640625" style="267" customWidth="1"/>
    <col min="10" max="11" width="50.6640625" style="267" customWidth="1"/>
    <col min="12" max="12" width="15.5546875" style="267" customWidth="1"/>
    <col min="13" max="13" width="17.33203125" style="267" customWidth="1"/>
    <col min="14" max="16384" width="9.109375" style="267"/>
  </cols>
  <sheetData>
    <row r="1" spans="1:9" ht="46.8" x14ac:dyDescent="0.3">
      <c r="A1" s="2"/>
      <c r="B1" s="388" t="s">
        <v>204</v>
      </c>
      <c r="C1" s="389"/>
      <c r="D1" s="390"/>
      <c r="E1" s="45" t="s">
        <v>66</v>
      </c>
      <c r="F1" s="45" t="s">
        <v>67</v>
      </c>
      <c r="G1" s="52" t="s">
        <v>102</v>
      </c>
      <c r="H1" s="45" t="s">
        <v>103</v>
      </c>
      <c r="I1" s="3" t="s">
        <v>104</v>
      </c>
    </row>
    <row r="2" spans="1:9" ht="21" x14ac:dyDescent="0.3">
      <c r="A2" s="402" t="s">
        <v>31</v>
      </c>
      <c r="B2" s="403"/>
      <c r="C2" s="403"/>
      <c r="D2" s="403"/>
      <c r="E2" s="403"/>
      <c r="F2" s="404"/>
      <c r="G2" s="169">
        <v>15</v>
      </c>
      <c r="H2" s="170">
        <f>MIN(SUM(H3,H30,H69,H80),15)</f>
        <v>0</v>
      </c>
      <c r="I2" s="171" t="s">
        <v>105</v>
      </c>
    </row>
    <row r="3" spans="1:9" ht="15.6" x14ac:dyDescent="0.3">
      <c r="A3" s="172" t="s">
        <v>205</v>
      </c>
      <c r="B3" s="391" t="s">
        <v>206</v>
      </c>
      <c r="C3" s="392"/>
      <c r="D3" s="392"/>
      <c r="E3" s="392"/>
      <c r="F3" s="392"/>
      <c r="G3" s="173">
        <v>5</v>
      </c>
      <c r="H3" s="173">
        <f>MIN(SUM(H16,H25,H29),5)</f>
        <v>0</v>
      </c>
      <c r="I3" s="174"/>
    </row>
    <row r="4" spans="1:9" ht="15.6" x14ac:dyDescent="0.3">
      <c r="A4" s="175" t="s">
        <v>207</v>
      </c>
      <c r="B4" s="382" t="s">
        <v>208</v>
      </c>
      <c r="C4" s="382"/>
      <c r="D4" s="383"/>
      <c r="E4" s="176"/>
      <c r="F4" s="175"/>
      <c r="G4" s="175"/>
      <c r="H4" s="177"/>
      <c r="I4" s="175"/>
    </row>
    <row r="5" spans="1:9" ht="15.6" x14ac:dyDescent="0.3">
      <c r="A5" s="280"/>
      <c r="B5" s="442" t="s">
        <v>501</v>
      </c>
      <c r="C5" s="442"/>
      <c r="D5" s="442"/>
      <c r="E5" s="284"/>
      <c r="F5" s="279"/>
      <c r="G5" s="280"/>
      <c r="H5" s="178"/>
      <c r="I5" s="216"/>
    </row>
    <row r="6" spans="1:9" ht="16.2" thickBot="1" x14ac:dyDescent="0.35">
      <c r="A6" s="326" t="s">
        <v>522</v>
      </c>
      <c r="B6" s="443" t="s">
        <v>209</v>
      </c>
      <c r="C6" s="444"/>
      <c r="D6" s="445"/>
      <c r="E6" s="180"/>
      <c r="F6" s="179"/>
      <c r="G6" s="179"/>
      <c r="H6" s="181"/>
      <c r="I6" s="179"/>
    </row>
    <row r="7" spans="1:9" ht="15.6" x14ac:dyDescent="0.3">
      <c r="A7" s="406"/>
      <c r="B7" s="448" t="s">
        <v>210</v>
      </c>
      <c r="C7" s="449"/>
      <c r="D7" s="407"/>
      <c r="E7" s="410"/>
      <c r="F7" s="406"/>
      <c r="G7" s="406"/>
      <c r="H7" s="378"/>
      <c r="I7" s="450"/>
    </row>
    <row r="8" spans="1:9" ht="15.6" x14ac:dyDescent="0.3">
      <c r="A8" s="406"/>
      <c r="B8" s="425" t="s">
        <v>211</v>
      </c>
      <c r="C8" s="182" t="s">
        <v>212</v>
      </c>
      <c r="D8" s="408"/>
      <c r="E8" s="410"/>
      <c r="F8" s="406"/>
      <c r="G8" s="406"/>
      <c r="H8" s="378"/>
      <c r="I8" s="450"/>
    </row>
    <row r="9" spans="1:9" ht="15.6" x14ac:dyDescent="0.3">
      <c r="A9" s="406"/>
      <c r="B9" s="425"/>
      <c r="C9" s="182" t="s">
        <v>213</v>
      </c>
      <c r="D9" s="408"/>
      <c r="E9" s="410"/>
      <c r="F9" s="406"/>
      <c r="G9" s="406"/>
      <c r="H9" s="378"/>
      <c r="I9" s="450"/>
    </row>
    <row r="10" spans="1:9" ht="15.6" x14ac:dyDescent="0.3">
      <c r="A10" s="406"/>
      <c r="B10" s="425" t="s">
        <v>214</v>
      </c>
      <c r="C10" s="182" t="s">
        <v>215</v>
      </c>
      <c r="D10" s="408"/>
      <c r="E10" s="410"/>
      <c r="F10" s="406"/>
      <c r="G10" s="406"/>
      <c r="H10" s="378"/>
      <c r="I10" s="450"/>
    </row>
    <row r="11" spans="1:9" ht="15.6" x14ac:dyDescent="0.3">
      <c r="A11" s="406"/>
      <c r="B11" s="425"/>
      <c r="C11" s="182" t="s">
        <v>216</v>
      </c>
      <c r="D11" s="408"/>
      <c r="E11" s="410"/>
      <c r="F11" s="406"/>
      <c r="G11" s="406"/>
      <c r="H11" s="378"/>
      <c r="I11" s="450"/>
    </row>
    <row r="12" spans="1:9" ht="15.6" x14ac:dyDescent="0.3">
      <c r="A12" s="406"/>
      <c r="B12" s="425"/>
      <c r="C12" s="182" t="s">
        <v>217</v>
      </c>
      <c r="D12" s="408"/>
      <c r="E12" s="410"/>
      <c r="F12" s="406"/>
      <c r="G12" s="406"/>
      <c r="H12" s="378"/>
      <c r="I12" s="450"/>
    </row>
    <row r="13" spans="1:9" ht="15.6" x14ac:dyDescent="0.3">
      <c r="A13" s="406"/>
      <c r="B13" s="425"/>
      <c r="C13" s="182" t="s">
        <v>218</v>
      </c>
      <c r="D13" s="408"/>
      <c r="E13" s="410"/>
      <c r="F13" s="406"/>
      <c r="G13" s="406"/>
      <c r="H13" s="378"/>
      <c r="I13" s="450"/>
    </row>
    <row r="14" spans="1:9" ht="16.2" thickBot="1" x14ac:dyDescent="0.35">
      <c r="A14" s="406"/>
      <c r="B14" s="426"/>
      <c r="C14" s="183" t="s">
        <v>219</v>
      </c>
      <c r="D14" s="408"/>
      <c r="E14" s="410"/>
      <c r="F14" s="406"/>
      <c r="G14" s="406"/>
      <c r="H14" s="378"/>
      <c r="I14" s="450"/>
    </row>
    <row r="15" spans="1:9" ht="98.4" customHeight="1" x14ac:dyDescent="0.3">
      <c r="A15" s="280"/>
      <c r="B15" s="385" t="s">
        <v>220</v>
      </c>
      <c r="C15" s="442"/>
      <c r="D15" s="442"/>
      <c r="E15" s="184" t="s">
        <v>141</v>
      </c>
      <c r="F15" s="131" t="s">
        <v>141</v>
      </c>
      <c r="G15" s="270" t="s">
        <v>141</v>
      </c>
      <c r="H15" s="131" t="s">
        <v>141</v>
      </c>
      <c r="I15" s="244"/>
    </row>
    <row r="16" spans="1:9" ht="15.6" x14ac:dyDescent="0.3">
      <c r="A16" s="185"/>
      <c r="B16" s="394" t="s">
        <v>221</v>
      </c>
      <c r="C16" s="395"/>
      <c r="D16" s="395"/>
      <c r="E16" s="395"/>
      <c r="F16" s="395"/>
      <c r="G16" s="396"/>
      <c r="H16" s="186" t="str">
        <f>H15</f>
        <v>N.A.</v>
      </c>
      <c r="I16" s="187"/>
    </row>
    <row r="17" spans="1:9" ht="15.75" customHeight="1" x14ac:dyDescent="0.3">
      <c r="A17" s="326" t="s">
        <v>521</v>
      </c>
      <c r="B17" s="443" t="s">
        <v>222</v>
      </c>
      <c r="C17" s="444"/>
      <c r="D17" s="445"/>
      <c r="E17" s="180"/>
      <c r="F17" s="179"/>
      <c r="G17" s="179"/>
      <c r="H17" s="181"/>
      <c r="I17" s="179"/>
    </row>
    <row r="18" spans="1:9" ht="84.75" customHeight="1" x14ac:dyDescent="0.3">
      <c r="A18" s="325" t="s">
        <v>520</v>
      </c>
      <c r="B18" s="387" t="s">
        <v>518</v>
      </c>
      <c r="C18" s="387"/>
      <c r="D18" s="387"/>
      <c r="E18" s="215"/>
      <c r="F18" s="188" t="s">
        <v>224</v>
      </c>
      <c r="G18" s="6" t="s">
        <v>113</v>
      </c>
      <c r="H18" s="277">
        <f>IF(ISNUMBER(E18), 1, 0)</f>
        <v>0</v>
      </c>
      <c r="I18" s="216"/>
    </row>
    <row r="19" spans="1:9" ht="64.5" customHeight="1" thickBot="1" x14ac:dyDescent="0.35">
      <c r="A19" s="323"/>
      <c r="B19" s="387" t="s">
        <v>519</v>
      </c>
      <c r="C19" s="387"/>
      <c r="D19" s="387"/>
      <c r="E19" s="184" t="s">
        <v>141</v>
      </c>
      <c r="F19" s="131" t="s">
        <v>141</v>
      </c>
      <c r="G19" s="270" t="s">
        <v>141</v>
      </c>
      <c r="H19" s="131" t="s">
        <v>141</v>
      </c>
      <c r="I19" s="216"/>
    </row>
    <row r="20" spans="1:9" ht="31.2" x14ac:dyDescent="0.3">
      <c r="A20" s="406"/>
      <c r="B20" s="189"/>
      <c r="C20" s="190" t="s">
        <v>226</v>
      </c>
      <c r="D20" s="191"/>
      <c r="E20" s="410"/>
      <c r="F20" s="406"/>
      <c r="G20" s="406"/>
      <c r="H20" s="378"/>
      <c r="I20" s="450"/>
    </row>
    <row r="21" spans="1:9" ht="15.6" x14ac:dyDescent="0.3">
      <c r="A21" s="406"/>
      <c r="B21" s="192" t="s">
        <v>227</v>
      </c>
      <c r="C21" s="193">
        <v>1000</v>
      </c>
      <c r="D21" s="194"/>
      <c r="E21" s="410"/>
      <c r="F21" s="406"/>
      <c r="G21" s="406"/>
      <c r="H21" s="378"/>
      <c r="I21" s="450"/>
    </row>
    <row r="22" spans="1:9" ht="15.6" x14ac:dyDescent="0.3">
      <c r="A22" s="406"/>
      <c r="B22" s="192" t="s">
        <v>228</v>
      </c>
      <c r="C22" s="324">
        <v>1300</v>
      </c>
      <c r="D22" s="194"/>
      <c r="E22" s="410"/>
      <c r="F22" s="406"/>
      <c r="G22" s="406"/>
      <c r="H22" s="378"/>
      <c r="I22" s="450"/>
    </row>
    <row r="23" spans="1:9" ht="16.2" thickBot="1" x14ac:dyDescent="0.35">
      <c r="A23" s="406"/>
      <c r="B23" s="195" t="s">
        <v>229</v>
      </c>
      <c r="C23" s="196">
        <v>2500</v>
      </c>
      <c r="D23" s="194"/>
      <c r="E23" s="410"/>
      <c r="F23" s="406"/>
      <c r="G23" s="406"/>
      <c r="H23" s="378"/>
      <c r="I23" s="450"/>
    </row>
    <row r="24" spans="1:9" ht="15.6" x14ac:dyDescent="0.3">
      <c r="A24" s="412"/>
      <c r="B24" s="405" t="s">
        <v>517</v>
      </c>
      <c r="C24" s="405"/>
      <c r="D24" s="405"/>
      <c r="E24" s="451"/>
      <c r="F24" s="412"/>
      <c r="G24" s="412"/>
      <c r="H24" s="377"/>
      <c r="I24" s="450"/>
    </row>
    <row r="25" spans="1:9" ht="15.6" x14ac:dyDescent="0.3">
      <c r="A25" s="185"/>
      <c r="B25" s="394" t="s">
        <v>230</v>
      </c>
      <c r="C25" s="395"/>
      <c r="D25" s="395"/>
      <c r="E25" s="395"/>
      <c r="F25" s="395"/>
      <c r="G25" s="396"/>
      <c r="H25" s="186">
        <f>SUM(H18:H19)</f>
        <v>0</v>
      </c>
      <c r="I25" s="187"/>
    </row>
    <row r="26" spans="1:9" ht="15.6" x14ac:dyDescent="0.3">
      <c r="A26" s="175" t="s">
        <v>231</v>
      </c>
      <c r="B26" s="382" t="s">
        <v>232</v>
      </c>
      <c r="C26" s="382"/>
      <c r="D26" s="383"/>
      <c r="E26" s="176"/>
      <c r="F26" s="175"/>
      <c r="G26" s="175"/>
      <c r="H26" s="177"/>
      <c r="I26" s="175"/>
    </row>
    <row r="27" spans="1:9" ht="47.25" customHeight="1" x14ac:dyDescent="0.3">
      <c r="A27" s="280" t="s">
        <v>223</v>
      </c>
      <c r="B27" s="385" t="s">
        <v>233</v>
      </c>
      <c r="C27" s="385"/>
      <c r="D27" s="385"/>
      <c r="E27" s="215"/>
      <c r="F27" s="281" t="s">
        <v>70</v>
      </c>
      <c r="G27" s="6" t="s">
        <v>113</v>
      </c>
      <c r="H27" s="277">
        <f>IF(E27="Y",1,0)</f>
        <v>0</v>
      </c>
      <c r="I27" s="217"/>
    </row>
    <row r="28" spans="1:9" ht="21.75" customHeight="1" x14ac:dyDescent="0.3">
      <c r="A28" s="280" t="s">
        <v>75</v>
      </c>
      <c r="B28" s="387" t="s">
        <v>516</v>
      </c>
      <c r="C28" s="387"/>
      <c r="D28" s="387"/>
      <c r="E28" s="184" t="s">
        <v>141</v>
      </c>
      <c r="F28" s="131" t="s">
        <v>141</v>
      </c>
      <c r="G28" s="270" t="s">
        <v>141</v>
      </c>
      <c r="H28" s="131" t="s">
        <v>141</v>
      </c>
      <c r="I28" s="216"/>
    </row>
    <row r="29" spans="1:9" ht="15.6" x14ac:dyDescent="0.3">
      <c r="A29" s="185"/>
      <c r="B29" s="394" t="s">
        <v>234</v>
      </c>
      <c r="C29" s="395"/>
      <c r="D29" s="395"/>
      <c r="E29" s="395"/>
      <c r="F29" s="395"/>
      <c r="G29" s="396"/>
      <c r="H29" s="186">
        <f>H27</f>
        <v>0</v>
      </c>
      <c r="I29" s="187"/>
    </row>
    <row r="30" spans="1:9" ht="15.6" x14ac:dyDescent="0.3">
      <c r="A30" s="172" t="s">
        <v>235</v>
      </c>
      <c r="B30" s="391" t="s">
        <v>236</v>
      </c>
      <c r="C30" s="392"/>
      <c r="D30" s="392"/>
      <c r="E30" s="392"/>
      <c r="F30" s="392"/>
      <c r="G30" s="173">
        <v>5</v>
      </c>
      <c r="H30" s="197">
        <f>MIN(SUM(H57,H62,H68),5)</f>
        <v>0</v>
      </c>
      <c r="I30" s="174"/>
    </row>
    <row r="31" spans="1:9" ht="15.75" customHeight="1" x14ac:dyDescent="0.3">
      <c r="A31" s="175" t="s">
        <v>237</v>
      </c>
      <c r="B31" s="382" t="s">
        <v>238</v>
      </c>
      <c r="C31" s="382"/>
      <c r="D31" s="383"/>
      <c r="E31" s="176"/>
      <c r="F31" s="175"/>
      <c r="G31" s="175"/>
      <c r="H31" s="175"/>
      <c r="I31" s="175"/>
    </row>
    <row r="32" spans="1:9" ht="31.5" customHeight="1" x14ac:dyDescent="0.3">
      <c r="A32" s="198"/>
      <c r="B32" s="386" t="s">
        <v>239</v>
      </c>
      <c r="C32" s="386"/>
      <c r="D32" s="386"/>
      <c r="E32" s="199"/>
      <c r="F32" s="200"/>
      <c r="G32" s="201"/>
      <c r="H32" s="202"/>
      <c r="I32" s="198"/>
    </row>
    <row r="33" spans="1:13" ht="16.2" thickBot="1" x14ac:dyDescent="0.35">
      <c r="A33" s="415" t="s">
        <v>72</v>
      </c>
      <c r="B33" s="433" t="s">
        <v>240</v>
      </c>
      <c r="C33" s="434"/>
      <c r="D33" s="435"/>
      <c r="E33" s="284"/>
      <c r="F33" s="203"/>
      <c r="G33" s="42"/>
      <c r="H33" s="204"/>
      <c r="I33" s="8"/>
    </row>
    <row r="34" spans="1:13" ht="15.6" x14ac:dyDescent="0.3">
      <c r="A34" s="416"/>
      <c r="B34" s="189"/>
      <c r="C34" s="190" t="s">
        <v>241</v>
      </c>
      <c r="D34" s="411"/>
      <c r="E34" s="428"/>
      <c r="F34" s="430" t="s">
        <v>74</v>
      </c>
      <c r="G34" s="415" t="s">
        <v>130</v>
      </c>
      <c r="H34" s="431">
        <f>IF(ISBLANK(E34),0,IF(E34&lt;=0.45,2,0))</f>
        <v>0</v>
      </c>
      <c r="I34" s="452"/>
    </row>
    <row r="35" spans="1:13" ht="15.6" x14ac:dyDescent="0.3">
      <c r="A35" s="416"/>
      <c r="B35" s="192" t="s">
        <v>227</v>
      </c>
      <c r="C35" s="193" t="s">
        <v>242</v>
      </c>
      <c r="D35" s="411"/>
      <c r="E35" s="429"/>
      <c r="F35" s="430"/>
      <c r="G35" s="415"/>
      <c r="H35" s="432"/>
      <c r="I35" s="453"/>
    </row>
    <row r="36" spans="1:13" ht="15.6" x14ac:dyDescent="0.3">
      <c r="A36" s="416"/>
      <c r="B36" s="192" t="s">
        <v>228</v>
      </c>
      <c r="C36" s="193" t="s">
        <v>243</v>
      </c>
      <c r="D36" s="411"/>
      <c r="E36" s="429"/>
      <c r="F36" s="430"/>
      <c r="G36" s="415"/>
      <c r="H36" s="432"/>
      <c r="I36" s="453"/>
    </row>
    <row r="37" spans="1:13" ht="16.2" thickBot="1" x14ac:dyDescent="0.35">
      <c r="A37" s="416"/>
      <c r="B37" s="195" t="s">
        <v>229</v>
      </c>
      <c r="C37" s="196" t="s">
        <v>243</v>
      </c>
      <c r="D37" s="411"/>
      <c r="E37" s="429"/>
      <c r="F37" s="430"/>
      <c r="G37" s="415"/>
      <c r="H37" s="432"/>
      <c r="I37" s="453"/>
    </row>
    <row r="38" spans="1:13" ht="67.5" customHeight="1" thickBot="1" x14ac:dyDescent="0.35">
      <c r="A38" s="417" t="s">
        <v>225</v>
      </c>
      <c r="B38" s="385" t="s">
        <v>244</v>
      </c>
      <c r="C38" s="385"/>
      <c r="D38" s="435"/>
      <c r="E38" s="421"/>
      <c r="F38" s="380"/>
      <c r="G38" s="380"/>
      <c r="H38" s="380"/>
      <c r="I38" s="455"/>
      <c r="K38" s="291"/>
      <c r="L38" s="292"/>
      <c r="M38" s="292"/>
    </row>
    <row r="39" spans="1:13" ht="31.5" customHeight="1" x14ac:dyDescent="0.3">
      <c r="A39" s="418"/>
      <c r="B39" s="189"/>
      <c r="C39" s="205" t="s">
        <v>245</v>
      </c>
      <c r="D39" s="413"/>
      <c r="E39" s="422"/>
      <c r="F39" s="424"/>
      <c r="G39" s="424"/>
      <c r="H39" s="424"/>
      <c r="I39" s="456"/>
      <c r="K39" s="291"/>
      <c r="L39" s="292"/>
      <c r="M39" s="292"/>
    </row>
    <row r="40" spans="1:13" ht="15.75" customHeight="1" x14ac:dyDescent="0.3">
      <c r="A40" s="418"/>
      <c r="B40" s="192" t="s">
        <v>227</v>
      </c>
      <c r="C40" s="193" t="s">
        <v>246</v>
      </c>
      <c r="D40" s="413"/>
      <c r="E40" s="422"/>
      <c r="F40" s="424"/>
      <c r="G40" s="424"/>
      <c r="H40" s="424"/>
      <c r="I40" s="456"/>
      <c r="K40" s="291"/>
      <c r="L40" s="292"/>
      <c r="M40" s="292"/>
    </row>
    <row r="41" spans="1:13" ht="15.75" customHeight="1" thickBot="1" x14ac:dyDescent="0.35">
      <c r="A41" s="418"/>
      <c r="B41" s="195" t="s">
        <v>228</v>
      </c>
      <c r="C41" s="206" t="s">
        <v>247</v>
      </c>
      <c r="D41" s="414"/>
      <c r="E41" s="423"/>
      <c r="F41" s="381"/>
      <c r="G41" s="381"/>
      <c r="H41" s="381"/>
      <c r="I41" s="457"/>
      <c r="K41" s="291"/>
      <c r="L41" s="292"/>
      <c r="M41" s="292"/>
    </row>
    <row r="42" spans="1:13" ht="15.75" customHeight="1" x14ac:dyDescent="0.3">
      <c r="A42" s="419"/>
      <c r="B42" s="437" t="s">
        <v>248</v>
      </c>
      <c r="C42" s="437"/>
      <c r="D42" s="385"/>
      <c r="E42" s="215"/>
      <c r="F42" s="281" t="s">
        <v>78</v>
      </c>
      <c r="G42" s="417" t="s">
        <v>113</v>
      </c>
      <c r="H42" s="431">
        <f>IF(SUM(E42:E46)&gt;=55, 1, 0)</f>
        <v>0</v>
      </c>
      <c r="I42" s="452"/>
      <c r="K42" s="291"/>
      <c r="L42" s="292"/>
      <c r="M42" s="292"/>
    </row>
    <row r="43" spans="1:13" ht="15.6" x14ac:dyDescent="0.3">
      <c r="A43" s="419"/>
      <c r="B43" s="385" t="s">
        <v>249</v>
      </c>
      <c r="C43" s="385"/>
      <c r="D43" s="385"/>
      <c r="E43" s="215"/>
      <c r="F43" s="281" t="s">
        <v>78</v>
      </c>
      <c r="G43" s="419"/>
      <c r="H43" s="432"/>
      <c r="I43" s="453"/>
      <c r="K43" s="291"/>
      <c r="L43" s="293"/>
      <c r="M43" s="288"/>
    </row>
    <row r="44" spans="1:13" ht="15.75" customHeight="1" x14ac:dyDescent="0.3">
      <c r="A44" s="419"/>
      <c r="B44" s="385" t="s">
        <v>250</v>
      </c>
      <c r="C44" s="385"/>
      <c r="D44" s="385"/>
      <c r="E44" s="215"/>
      <c r="F44" s="281" t="s">
        <v>78</v>
      </c>
      <c r="G44" s="419"/>
      <c r="H44" s="432"/>
      <c r="I44" s="453"/>
    </row>
    <row r="45" spans="1:13" ht="15.75" customHeight="1" x14ac:dyDescent="0.3">
      <c r="A45" s="419"/>
      <c r="B45" s="385" t="s">
        <v>251</v>
      </c>
      <c r="C45" s="385"/>
      <c r="D45" s="385"/>
      <c r="E45" s="215"/>
      <c r="F45" s="281" t="s">
        <v>78</v>
      </c>
      <c r="G45" s="419"/>
      <c r="H45" s="432"/>
      <c r="I45" s="453"/>
    </row>
    <row r="46" spans="1:13" ht="47.25" customHeight="1" x14ac:dyDescent="0.3">
      <c r="A46" s="420"/>
      <c r="B46" s="385" t="s">
        <v>252</v>
      </c>
      <c r="C46" s="385"/>
      <c r="D46" s="385"/>
      <c r="E46" s="215"/>
      <c r="F46" s="281" t="s">
        <v>78</v>
      </c>
      <c r="G46" s="420"/>
      <c r="H46" s="439"/>
      <c r="I46" s="454"/>
    </row>
    <row r="47" spans="1:13" ht="47.25" customHeight="1" x14ac:dyDescent="0.3">
      <c r="A47" s="417" t="s">
        <v>79</v>
      </c>
      <c r="B47" s="385" t="s">
        <v>253</v>
      </c>
      <c r="C47" s="385"/>
      <c r="D47" s="385"/>
      <c r="E47" s="284"/>
      <c r="F47" s="281"/>
      <c r="G47"/>
      <c r="H47" s="277"/>
      <c r="I47" s="159"/>
    </row>
    <row r="48" spans="1:13" ht="33" customHeight="1" x14ac:dyDescent="0.3">
      <c r="A48" s="420"/>
      <c r="B48" s="400" t="s">
        <v>254</v>
      </c>
      <c r="C48" s="400"/>
      <c r="D48" s="400"/>
      <c r="E48" s="215"/>
      <c r="F48" s="281" t="s">
        <v>74</v>
      </c>
      <c r="G48" s="322" t="s">
        <v>515</v>
      </c>
      <c r="H48" s="207">
        <f>IF(E48&gt;=2,E48*0.5,0)</f>
        <v>0</v>
      </c>
      <c r="I48" s="159"/>
    </row>
    <row r="49" spans="1:9" ht="81.599999999999994" customHeight="1" x14ac:dyDescent="0.3">
      <c r="A49" s="417" t="s">
        <v>82</v>
      </c>
      <c r="B49" s="398" t="s">
        <v>514</v>
      </c>
      <c r="C49" s="387"/>
      <c r="D49" s="399"/>
      <c r="E49" s="284"/>
      <c r="F49" s="281"/>
      <c r="G49" s="208" t="s">
        <v>255</v>
      </c>
      <c r="H49" s="209"/>
      <c r="I49" s="245"/>
    </row>
    <row r="50" spans="1:9" ht="15.6" x14ac:dyDescent="0.3">
      <c r="A50" s="419"/>
      <c r="B50" s="400" t="s">
        <v>256</v>
      </c>
      <c r="C50" s="400"/>
      <c r="D50" s="400"/>
      <c r="E50" s="215"/>
      <c r="F50" s="281" t="s">
        <v>74</v>
      </c>
      <c r="G50" s="6" t="s">
        <v>141</v>
      </c>
      <c r="H50" s="204"/>
      <c r="I50" s="159"/>
    </row>
    <row r="51" spans="1:9" ht="15.6" x14ac:dyDescent="0.3">
      <c r="A51" s="419"/>
      <c r="B51" s="387" t="s">
        <v>512</v>
      </c>
      <c r="C51" s="387"/>
      <c r="D51" s="387"/>
      <c r="E51" s="215"/>
      <c r="F51" s="281" t="s">
        <v>78</v>
      </c>
      <c r="G51" s="370" t="s">
        <v>257</v>
      </c>
      <c r="H51" s="431">
        <f>IF(AND(E51&gt;=20,E52="Y"),0.5,0)</f>
        <v>0</v>
      </c>
      <c r="I51" s="159"/>
    </row>
    <row r="52" spans="1:9" ht="18" customHeight="1" x14ac:dyDescent="0.3">
      <c r="A52" s="419"/>
      <c r="B52" s="387" t="s">
        <v>513</v>
      </c>
      <c r="C52" s="387"/>
      <c r="D52" s="387"/>
      <c r="E52" s="215"/>
      <c r="F52" s="281" t="s">
        <v>70</v>
      </c>
      <c r="G52" s="371"/>
      <c r="H52" s="439"/>
      <c r="I52" s="159"/>
    </row>
    <row r="53" spans="1:9" ht="15.6" x14ac:dyDescent="0.3">
      <c r="A53" s="419"/>
      <c r="B53" s="385" t="s">
        <v>258</v>
      </c>
      <c r="C53" s="385"/>
      <c r="D53" s="385"/>
      <c r="E53" s="215"/>
      <c r="F53" s="188" t="s">
        <v>78</v>
      </c>
      <c r="G53" s="370" t="s">
        <v>257</v>
      </c>
      <c r="H53" s="431">
        <f>IF(OR(AND(E53&lt;=10,E54="Y"),AND(E55&gt;=50,E56="Y")),0.5,0)</f>
        <v>0</v>
      </c>
      <c r="I53" s="159"/>
    </row>
    <row r="54" spans="1:9" ht="15.75" customHeight="1" x14ac:dyDescent="0.3">
      <c r="A54" s="419"/>
      <c r="B54" s="385" t="s">
        <v>259</v>
      </c>
      <c r="C54" s="385"/>
      <c r="D54" s="385"/>
      <c r="E54" s="215"/>
      <c r="F54" s="281" t="s">
        <v>70</v>
      </c>
      <c r="G54" s="447"/>
      <c r="H54" s="432"/>
      <c r="I54" s="159"/>
    </row>
    <row r="55" spans="1:9" ht="15.75" customHeight="1" x14ac:dyDescent="0.3">
      <c r="A55" s="419"/>
      <c r="B55" s="385" t="s">
        <v>260</v>
      </c>
      <c r="C55" s="385"/>
      <c r="D55" s="385"/>
      <c r="E55" s="215"/>
      <c r="F55" s="188" t="s">
        <v>78</v>
      </c>
      <c r="G55" s="447"/>
      <c r="H55" s="432"/>
      <c r="I55" s="159"/>
    </row>
    <row r="56" spans="1:9" ht="15.75" customHeight="1" x14ac:dyDescent="0.3">
      <c r="A56" s="420"/>
      <c r="B56" s="385" t="s">
        <v>261</v>
      </c>
      <c r="C56" s="385"/>
      <c r="D56" s="385"/>
      <c r="E56" s="215"/>
      <c r="F56" s="281" t="s">
        <v>70</v>
      </c>
      <c r="G56" s="371"/>
      <c r="H56" s="439"/>
      <c r="I56" s="159"/>
    </row>
    <row r="57" spans="1:9" ht="15.6" x14ac:dyDescent="0.3">
      <c r="A57" s="185"/>
      <c r="B57" s="394" t="s">
        <v>262</v>
      </c>
      <c r="C57" s="395"/>
      <c r="D57" s="395"/>
      <c r="E57" s="395"/>
      <c r="F57" s="395"/>
      <c r="G57" s="396"/>
      <c r="H57" s="186">
        <f>SUM(H51:H56,H48,H42,H34)</f>
        <v>0</v>
      </c>
      <c r="I57" s="187"/>
    </row>
    <row r="58" spans="1:9" ht="15.75" customHeight="1" x14ac:dyDescent="0.3">
      <c r="A58" s="210" t="s">
        <v>263</v>
      </c>
      <c r="B58" s="409" t="s">
        <v>264</v>
      </c>
      <c r="C58" s="382"/>
      <c r="D58" s="383"/>
      <c r="E58" s="176"/>
      <c r="F58" s="175"/>
      <c r="G58" s="175"/>
      <c r="H58" s="177"/>
      <c r="I58" s="175"/>
    </row>
    <row r="59" spans="1:9" ht="33.9" customHeight="1" x14ac:dyDescent="0.3">
      <c r="A59" s="427" t="s">
        <v>72</v>
      </c>
      <c r="B59" s="433" t="s">
        <v>265</v>
      </c>
      <c r="C59" s="434"/>
      <c r="D59" s="435"/>
      <c r="E59" s="215"/>
      <c r="F59" s="188" t="s">
        <v>266</v>
      </c>
      <c r="G59" s="370" t="s">
        <v>130</v>
      </c>
      <c r="H59" s="440">
        <f>IF(AND(E59="Cost",E60&gt;=60),2,0) + IF(AND(E59="Area",E60&gt;=80),2,0)</f>
        <v>0</v>
      </c>
      <c r="I59" s="159"/>
    </row>
    <row r="60" spans="1:9" ht="30.9" customHeight="1" x14ac:dyDescent="0.3">
      <c r="A60" s="427"/>
      <c r="B60" s="436"/>
      <c r="C60" s="437"/>
      <c r="D60" s="438"/>
      <c r="E60" s="215"/>
      <c r="F60" s="188" t="s">
        <v>78</v>
      </c>
      <c r="G60" s="371"/>
      <c r="H60" s="441"/>
      <c r="I60" s="159"/>
    </row>
    <row r="61" spans="1:9" ht="48" customHeight="1" x14ac:dyDescent="0.3">
      <c r="A61" s="280" t="s">
        <v>75</v>
      </c>
      <c r="B61" s="384" t="s">
        <v>267</v>
      </c>
      <c r="C61" s="385"/>
      <c r="D61" s="385"/>
      <c r="E61" s="215"/>
      <c r="F61" s="188" t="s">
        <v>78</v>
      </c>
      <c r="G61" s="276" t="s">
        <v>268</v>
      </c>
      <c r="H61" s="211">
        <f>IF(E61&gt;=60,3,0)</f>
        <v>0</v>
      </c>
      <c r="I61" s="159"/>
    </row>
    <row r="62" spans="1:9" ht="15.75" customHeight="1" x14ac:dyDescent="0.3">
      <c r="A62" s="212"/>
      <c r="B62" s="394" t="s">
        <v>269</v>
      </c>
      <c r="C62" s="395"/>
      <c r="D62" s="395"/>
      <c r="E62" s="395"/>
      <c r="F62" s="395"/>
      <c r="G62" s="396"/>
      <c r="H62" s="186">
        <f>SUM(H59:H61)</f>
        <v>0</v>
      </c>
      <c r="I62" s="187"/>
    </row>
    <row r="63" spans="1:9" ht="15.6" x14ac:dyDescent="0.3">
      <c r="A63" s="175" t="s">
        <v>270</v>
      </c>
      <c r="B63" s="382" t="s">
        <v>271</v>
      </c>
      <c r="C63" s="382"/>
      <c r="D63" s="383"/>
      <c r="E63" s="176"/>
      <c r="F63" s="175"/>
      <c r="G63" s="175"/>
      <c r="H63" s="177"/>
      <c r="I63" s="175"/>
    </row>
    <row r="64" spans="1:9" ht="63.75" customHeight="1" x14ac:dyDescent="0.3">
      <c r="A64" s="280"/>
      <c r="B64" s="384" t="s">
        <v>272</v>
      </c>
      <c r="C64" s="385"/>
      <c r="D64" s="385"/>
      <c r="E64" s="284"/>
      <c r="F64" s="188"/>
      <c r="G64" s="276"/>
      <c r="H64" s="277"/>
      <c r="I64" s="159"/>
    </row>
    <row r="65" spans="1:9" ht="15.6" x14ac:dyDescent="0.3">
      <c r="A65" s="280" t="s">
        <v>72</v>
      </c>
      <c r="B65" s="384" t="s">
        <v>273</v>
      </c>
      <c r="C65" s="385"/>
      <c r="D65" s="385"/>
      <c r="E65" s="215"/>
      <c r="F65" s="281" t="s">
        <v>70</v>
      </c>
      <c r="G65" s="270" t="s">
        <v>113</v>
      </c>
      <c r="H65" s="211">
        <f>IF(E65="Y",1,0)</f>
        <v>0</v>
      </c>
      <c r="I65" s="159"/>
    </row>
    <row r="66" spans="1:9" ht="47.25" customHeight="1" x14ac:dyDescent="0.3">
      <c r="A66" s="280" t="s">
        <v>225</v>
      </c>
      <c r="B66" s="384" t="s">
        <v>274</v>
      </c>
      <c r="C66" s="385"/>
      <c r="D66" s="385"/>
      <c r="E66" s="215"/>
      <c r="F66" s="281" t="s">
        <v>70</v>
      </c>
      <c r="G66" s="270" t="s">
        <v>113</v>
      </c>
      <c r="H66" s="211">
        <f>IF(E66="Y",1,0)</f>
        <v>0</v>
      </c>
      <c r="I66" s="159"/>
    </row>
    <row r="67" spans="1:9" ht="51.6" customHeight="1" x14ac:dyDescent="0.3">
      <c r="A67" s="280" t="s">
        <v>275</v>
      </c>
      <c r="B67" s="384" t="s">
        <v>276</v>
      </c>
      <c r="C67" s="385"/>
      <c r="D67" s="385"/>
      <c r="E67" s="215"/>
      <c r="F67" s="281" t="s">
        <v>70</v>
      </c>
      <c r="G67" s="270" t="s">
        <v>113</v>
      </c>
      <c r="H67" s="211">
        <f>IF(E67="Y",1,0)</f>
        <v>0</v>
      </c>
      <c r="I67" s="159"/>
    </row>
    <row r="68" spans="1:9" ht="15.6" x14ac:dyDescent="0.3">
      <c r="A68" s="212"/>
      <c r="B68" s="394" t="s">
        <v>277</v>
      </c>
      <c r="C68" s="395"/>
      <c r="D68" s="395"/>
      <c r="E68" s="395"/>
      <c r="F68" s="395"/>
      <c r="G68" s="396"/>
      <c r="H68" s="186">
        <f>SUM(H65:H67)</f>
        <v>0</v>
      </c>
      <c r="I68" s="187"/>
    </row>
    <row r="69" spans="1:9" ht="15.6" customHeight="1" x14ac:dyDescent="0.3">
      <c r="A69" s="172" t="s">
        <v>278</v>
      </c>
      <c r="B69" s="391" t="s">
        <v>279</v>
      </c>
      <c r="C69" s="392"/>
      <c r="D69" s="392"/>
      <c r="E69" s="392"/>
      <c r="F69" s="392"/>
      <c r="G69" s="213">
        <v>5</v>
      </c>
      <c r="H69" s="197">
        <f>MIN(SUM(H72,H76,H79),5)</f>
        <v>0</v>
      </c>
      <c r="I69" s="174"/>
    </row>
    <row r="70" spans="1:9" ht="18.899999999999999" customHeight="1" x14ac:dyDescent="0.3">
      <c r="A70" s="175" t="s">
        <v>280</v>
      </c>
      <c r="B70" s="382" t="s">
        <v>281</v>
      </c>
      <c r="C70" s="382"/>
      <c r="D70" s="383"/>
      <c r="E70" s="176"/>
      <c r="F70" s="175"/>
      <c r="G70" s="175"/>
      <c r="H70" s="175"/>
      <c r="I70" s="175"/>
    </row>
    <row r="71" spans="1:9" ht="98.4" customHeight="1" x14ac:dyDescent="0.3">
      <c r="A71" s="214"/>
      <c r="B71" s="384" t="s">
        <v>282</v>
      </c>
      <c r="C71" s="385"/>
      <c r="D71" s="385"/>
      <c r="E71" s="184" t="s">
        <v>141</v>
      </c>
      <c r="F71" s="131" t="s">
        <v>141</v>
      </c>
      <c r="G71" s="270" t="s">
        <v>141</v>
      </c>
      <c r="H71" s="131" t="s">
        <v>141</v>
      </c>
      <c r="I71" s="159"/>
    </row>
    <row r="72" spans="1:9" ht="15.6" x14ac:dyDescent="0.3">
      <c r="A72" s="185"/>
      <c r="B72" s="394" t="s">
        <v>283</v>
      </c>
      <c r="C72" s="395"/>
      <c r="D72" s="395"/>
      <c r="E72" s="395"/>
      <c r="F72" s="395"/>
      <c r="G72" s="396"/>
      <c r="H72" s="186">
        <f>SUM(H71)</f>
        <v>0</v>
      </c>
      <c r="I72" s="187"/>
    </row>
    <row r="73" spans="1:9" ht="16.5" customHeight="1" x14ac:dyDescent="0.3">
      <c r="A73" s="175" t="s">
        <v>284</v>
      </c>
      <c r="B73" s="382" t="s">
        <v>285</v>
      </c>
      <c r="C73" s="382"/>
      <c r="D73" s="383"/>
      <c r="E73" s="176"/>
      <c r="F73" s="175"/>
      <c r="G73" s="175"/>
      <c r="H73" s="175"/>
      <c r="I73" s="175"/>
    </row>
    <row r="74" spans="1:9" ht="48.75" customHeight="1" x14ac:dyDescent="0.3">
      <c r="A74" s="280" t="s">
        <v>72</v>
      </c>
      <c r="B74" s="446" t="s">
        <v>511</v>
      </c>
      <c r="C74" s="387"/>
      <c r="D74" s="387"/>
      <c r="E74" s="215"/>
      <c r="F74" s="188" t="s">
        <v>78</v>
      </c>
      <c r="G74" s="276" t="s">
        <v>130</v>
      </c>
      <c r="H74" s="73">
        <f>IF(E74&gt;=80,2,0)</f>
        <v>0</v>
      </c>
      <c r="I74" s="168"/>
    </row>
    <row r="75" spans="1:9" ht="50.4" customHeight="1" x14ac:dyDescent="0.3">
      <c r="A75" s="280" t="s">
        <v>225</v>
      </c>
      <c r="B75" s="384" t="s">
        <v>286</v>
      </c>
      <c r="C75" s="385"/>
      <c r="D75" s="385"/>
      <c r="E75" s="184" t="s">
        <v>141</v>
      </c>
      <c r="F75" s="131" t="s">
        <v>141</v>
      </c>
      <c r="G75" s="270" t="s">
        <v>141</v>
      </c>
      <c r="H75" s="131" t="s">
        <v>141</v>
      </c>
      <c r="I75" s="168"/>
    </row>
    <row r="76" spans="1:9" ht="15.6" x14ac:dyDescent="0.3">
      <c r="A76" s="185"/>
      <c r="B76" s="394" t="s">
        <v>287</v>
      </c>
      <c r="C76" s="395"/>
      <c r="D76" s="395"/>
      <c r="E76" s="395"/>
      <c r="F76" s="395"/>
      <c r="G76" s="396"/>
      <c r="H76" s="186">
        <f>SUM(H74:H75)</f>
        <v>0</v>
      </c>
      <c r="I76" s="187"/>
    </row>
    <row r="77" spans="1:9" ht="15.6" x14ac:dyDescent="0.3">
      <c r="A77" s="175" t="s">
        <v>288</v>
      </c>
      <c r="B77" s="382" t="s">
        <v>289</v>
      </c>
      <c r="C77" s="382"/>
      <c r="D77" s="383"/>
      <c r="E77" s="176"/>
      <c r="F77" s="175"/>
      <c r="G77" s="175"/>
      <c r="H77" s="175"/>
      <c r="I77" s="175"/>
    </row>
    <row r="78" spans="1:9" ht="99.9" customHeight="1" x14ac:dyDescent="0.3">
      <c r="A78" s="280"/>
      <c r="B78" s="401" t="s">
        <v>290</v>
      </c>
      <c r="C78" s="401"/>
      <c r="D78" s="401"/>
      <c r="E78" s="215"/>
      <c r="F78" s="188" t="s">
        <v>78</v>
      </c>
      <c r="G78" s="276" t="s">
        <v>291</v>
      </c>
      <c r="H78" s="73">
        <f>IF(E78&gt;=90,3,IF(E78&gt;=60,2,IF(E78&gt;=30,1,0)))</f>
        <v>0</v>
      </c>
      <c r="I78" s="23"/>
    </row>
    <row r="79" spans="1:9" ht="15.6" x14ac:dyDescent="0.3">
      <c r="A79" s="185"/>
      <c r="B79" s="394" t="s">
        <v>292</v>
      </c>
      <c r="C79" s="395"/>
      <c r="D79" s="395"/>
      <c r="E79" s="395"/>
      <c r="F79" s="395"/>
      <c r="G79" s="396"/>
      <c r="H79" s="186">
        <f>H78</f>
        <v>0</v>
      </c>
      <c r="I79" s="187"/>
    </row>
    <row r="80" spans="1:9" s="294" customFormat="1" ht="18.600000000000001" customHeight="1" x14ac:dyDescent="0.3">
      <c r="A80" s="172"/>
      <c r="B80" s="391" t="s">
        <v>293</v>
      </c>
      <c r="C80" s="392"/>
      <c r="D80" s="392"/>
      <c r="E80" s="392"/>
      <c r="F80" s="392"/>
      <c r="G80" s="213">
        <v>2</v>
      </c>
      <c r="H80" s="197">
        <f>SUM(H82:H83)</f>
        <v>0</v>
      </c>
      <c r="I80" s="174"/>
    </row>
    <row r="81" spans="1:9" ht="65.099999999999994" customHeight="1" x14ac:dyDescent="0.3">
      <c r="A81" s="175"/>
      <c r="B81" s="397" t="s">
        <v>294</v>
      </c>
      <c r="C81" s="397"/>
      <c r="D81" s="397"/>
      <c r="E81" s="176"/>
      <c r="F81" s="175"/>
      <c r="G81" s="176" t="s">
        <v>198</v>
      </c>
      <c r="H81" s="175"/>
      <c r="I81" s="278" t="s">
        <v>199</v>
      </c>
    </row>
    <row r="82" spans="1:9" ht="183" customHeight="1" x14ac:dyDescent="0.3">
      <c r="A82" s="280"/>
      <c r="B82" s="393" t="s">
        <v>510</v>
      </c>
      <c r="C82" s="393"/>
      <c r="D82" s="393"/>
      <c r="E82" s="215"/>
      <c r="F82" s="86" t="s">
        <v>74</v>
      </c>
      <c r="G82" s="376" t="s">
        <v>201</v>
      </c>
      <c r="H82" s="73">
        <f>E82</f>
        <v>0</v>
      </c>
      <c r="I82" s="168" t="s">
        <v>202</v>
      </c>
    </row>
    <row r="83" spans="1:9" ht="183" customHeight="1" x14ac:dyDescent="0.3">
      <c r="A83" s="42"/>
      <c r="B83" s="393"/>
      <c r="C83" s="393"/>
      <c r="D83" s="393"/>
      <c r="E83" s="215"/>
      <c r="F83" s="86" t="s">
        <v>74</v>
      </c>
      <c r="G83" s="376"/>
      <c r="H83" s="73">
        <f>E83</f>
        <v>0</v>
      </c>
      <c r="I83" s="168" t="s">
        <v>203</v>
      </c>
    </row>
  </sheetData>
  <sheetProtection algorithmName="SHA-512" hashValue="jvuKVB15aFKuXM5I0/fHPrJwR9Z8p/fhSxadfaJh8mJfOQvwDuJ7XmwHm7IkDEfCBqq8ZYAZCMim0m3tae6hBQ==" saltValue="v3CPQl++QFfhdJpQ7ORlwg==" spinCount="100000" sheet="1" formatCells="0" selectLockedCells="1"/>
  <mergeCells count="105">
    <mergeCell ref="I7:I14"/>
    <mergeCell ref="E20:E24"/>
    <mergeCell ref="F20:F24"/>
    <mergeCell ref="G20:G24"/>
    <mergeCell ref="I42:I46"/>
    <mergeCell ref="H38:H41"/>
    <mergeCell ref="I38:I41"/>
    <mergeCell ref="I34:I37"/>
    <mergeCell ref="H20:H24"/>
    <mergeCell ref="I20:I24"/>
    <mergeCell ref="H7:H14"/>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A59:A60"/>
    <mergeCell ref="E34:E37"/>
    <mergeCell ref="F34:F37"/>
    <mergeCell ref="G34:G37"/>
    <mergeCell ref="H34:H37"/>
    <mergeCell ref="G59:G60"/>
    <mergeCell ref="B59:D60"/>
    <mergeCell ref="B48:D48"/>
    <mergeCell ref="B33:D33"/>
    <mergeCell ref="H42:H46"/>
    <mergeCell ref="H59:H60"/>
    <mergeCell ref="H51:H52"/>
    <mergeCell ref="H53:H56"/>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B28:D28"/>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s>
  <dataValidations count="9">
    <dataValidation type="decimal" allowBlank="1" showErrorMessage="1" error="Please enter 0.5 or 1 or 1.5 or 2." prompt="Please Enter 0 or 1 or 1.5 or 2." sqref="H82 H74"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65:E67 E27" xr:uid="{00000000-0002-0000-0400-000003000000}">
      <formula1>"Y,N"</formula1>
    </dataValidation>
    <dataValidation type="decimal" allowBlank="1" showInputMessage="1" showErrorMessage="1" sqref="E53 E34:E37 E42:E46 E60:E61 E51 E78 E55 E74" xr:uid="{00000000-0002-0000-0400-000004000000}">
      <formula1>0</formula1>
      <formula2>100</formula2>
    </dataValidation>
    <dataValidation type="whole" allowBlank="1" showInputMessage="1" showErrorMessage="1" sqref="E48" xr:uid="{00000000-0002-0000-0400-000005000000}">
      <formula1>0</formula1>
      <formula2>100</formula2>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D2C9-8300-4B58-ADBC-CC39817C5CDC}">
  <dimension ref="A1:I90"/>
  <sheetViews>
    <sheetView workbookViewId="0">
      <selection activeCell="E6" sqref="E6"/>
    </sheetView>
  </sheetViews>
  <sheetFormatPr defaultColWidth="8.6640625" defaultRowHeight="14.4" x14ac:dyDescent="0.3"/>
  <cols>
    <col min="1" max="1" width="8.33203125" style="267" customWidth="1"/>
    <col min="2" max="2" width="22.33203125" style="267" customWidth="1"/>
    <col min="3" max="3" width="46.44140625" style="267" customWidth="1"/>
    <col min="4" max="4" width="10.5546875" style="267" customWidth="1"/>
    <col min="5" max="5" width="10.6640625" style="288" customWidth="1"/>
    <col min="6" max="6" width="16.109375" style="287" customWidth="1"/>
    <col min="7" max="7" width="18.109375" style="267" customWidth="1"/>
    <col min="8" max="8" width="10.6640625" style="296" customWidth="1"/>
    <col min="9" max="9" width="30.6640625" style="267" customWidth="1"/>
    <col min="10" max="11" width="50.6640625" style="267" customWidth="1"/>
    <col min="12" max="12" width="15.5546875" style="267" customWidth="1"/>
    <col min="13" max="13" width="17.33203125" style="267" customWidth="1"/>
    <col min="14" max="16384" width="8.6640625" style="267"/>
  </cols>
  <sheetData>
    <row r="1" spans="1:9" ht="46.8" x14ac:dyDescent="0.3">
      <c r="A1" s="2"/>
      <c r="B1" s="388" t="s">
        <v>295</v>
      </c>
      <c r="C1" s="389"/>
      <c r="D1" s="390"/>
      <c r="E1" s="45" t="s">
        <v>66</v>
      </c>
      <c r="F1" s="45" t="s">
        <v>67</v>
      </c>
      <c r="G1" s="52" t="s">
        <v>102</v>
      </c>
      <c r="H1" s="45" t="s">
        <v>103</v>
      </c>
      <c r="I1" s="3" t="s">
        <v>104</v>
      </c>
    </row>
    <row r="2" spans="1:9" ht="21" x14ac:dyDescent="0.3">
      <c r="A2" s="488" t="s">
        <v>296</v>
      </c>
      <c r="B2" s="489"/>
      <c r="C2" s="489"/>
      <c r="D2" s="489"/>
      <c r="E2" s="489"/>
      <c r="F2" s="490"/>
      <c r="G2" s="218">
        <v>15</v>
      </c>
      <c r="H2" s="219">
        <f>MIN(SUM(H3,H39,H64,H87),15)</f>
        <v>0</v>
      </c>
      <c r="I2" s="220" t="s">
        <v>105</v>
      </c>
    </row>
    <row r="3" spans="1:9" ht="15.6" x14ac:dyDescent="0.3">
      <c r="A3" s="221" t="s">
        <v>297</v>
      </c>
      <c r="B3" s="491" t="s">
        <v>298</v>
      </c>
      <c r="C3" s="492"/>
      <c r="D3" s="492"/>
      <c r="E3" s="492"/>
      <c r="F3" s="492"/>
      <c r="G3" s="222">
        <v>5</v>
      </c>
      <c r="H3" s="223">
        <f>MIN(SUM(H8,H12,H21,H29,H34,H38), 5)</f>
        <v>0</v>
      </c>
      <c r="I3" s="224"/>
    </row>
    <row r="4" spans="1:9" ht="15.6" x14ac:dyDescent="0.3">
      <c r="A4" s="225" t="s">
        <v>299</v>
      </c>
      <c r="B4" s="493" t="s">
        <v>300</v>
      </c>
      <c r="C4" s="493"/>
      <c r="D4" s="494"/>
      <c r="E4" s="226"/>
      <c r="F4" s="225"/>
      <c r="G4" s="225"/>
      <c r="H4" s="227"/>
      <c r="I4" s="225"/>
    </row>
    <row r="5" spans="1:9" ht="15.6" x14ac:dyDescent="0.3">
      <c r="A5" s="228" t="s">
        <v>301</v>
      </c>
      <c r="B5" s="495" t="s">
        <v>302</v>
      </c>
      <c r="C5" s="495"/>
      <c r="D5" s="495"/>
      <c r="E5" s="229"/>
      <c r="F5" s="228"/>
      <c r="G5" s="230"/>
      <c r="H5" s="231"/>
      <c r="I5" s="230"/>
    </row>
    <row r="6" spans="1:9" ht="15.6" x14ac:dyDescent="0.3">
      <c r="A6" s="6" t="s">
        <v>223</v>
      </c>
      <c r="B6" s="401" t="s">
        <v>502</v>
      </c>
      <c r="C6" s="401"/>
      <c r="D6" s="401"/>
      <c r="E6" s="215"/>
      <c r="F6" s="281" t="s">
        <v>70</v>
      </c>
      <c r="G6" s="6" t="s">
        <v>113</v>
      </c>
      <c r="H6" s="277">
        <f>IF(E6="Y",1,0)</f>
        <v>0</v>
      </c>
      <c r="I6" s="243"/>
    </row>
    <row r="7" spans="1:9" ht="15.6" x14ac:dyDescent="0.3">
      <c r="A7" s="6" t="s">
        <v>225</v>
      </c>
      <c r="B7" s="401" t="s">
        <v>503</v>
      </c>
      <c r="C7" s="401"/>
      <c r="D7" s="401"/>
      <c r="E7" s="215"/>
      <c r="F7" s="281" t="s">
        <v>70</v>
      </c>
      <c r="G7" s="6" t="s">
        <v>113</v>
      </c>
      <c r="H7" s="277">
        <f>IF(E7="Y",1,0)</f>
        <v>0</v>
      </c>
      <c r="I7" s="243"/>
    </row>
    <row r="8" spans="1:9" ht="15.6" x14ac:dyDescent="0.3">
      <c r="A8" s="458" t="s">
        <v>303</v>
      </c>
      <c r="B8" s="458"/>
      <c r="C8" s="458"/>
      <c r="D8" s="458"/>
      <c r="E8" s="458"/>
      <c r="F8" s="458"/>
      <c r="G8" s="458"/>
      <c r="H8" s="232">
        <f>SUM(H6:H7)</f>
        <v>0</v>
      </c>
      <c r="I8" s="233"/>
    </row>
    <row r="9" spans="1:9" ht="15.6" x14ac:dyDescent="0.3">
      <c r="A9" s="228" t="s">
        <v>304</v>
      </c>
      <c r="B9" s="469" t="s">
        <v>305</v>
      </c>
      <c r="C9" s="469"/>
      <c r="D9" s="469"/>
      <c r="E9" s="229"/>
      <c r="F9" s="228"/>
      <c r="G9" s="230"/>
      <c r="H9" s="231"/>
      <c r="I9" s="230"/>
    </row>
    <row r="10" spans="1:9" ht="31.2" x14ac:dyDescent="0.3">
      <c r="A10" s="6" t="s">
        <v>72</v>
      </c>
      <c r="B10" s="384" t="s">
        <v>306</v>
      </c>
      <c r="C10" s="385"/>
      <c r="D10" s="481"/>
      <c r="E10" s="215"/>
      <c r="F10" s="281" t="s">
        <v>307</v>
      </c>
      <c r="G10" s="276" t="s">
        <v>308</v>
      </c>
      <c r="H10" s="277">
        <f>IF(E10="A",0.5,IF(E10="B",1,0))</f>
        <v>0</v>
      </c>
      <c r="I10" s="243"/>
    </row>
    <row r="11" spans="1:9" ht="15.6" x14ac:dyDescent="0.3">
      <c r="A11" s="6" t="s">
        <v>75</v>
      </c>
      <c r="B11" s="385" t="s">
        <v>309</v>
      </c>
      <c r="C11" s="385"/>
      <c r="D11" s="385"/>
      <c r="E11" s="284" t="s">
        <v>141</v>
      </c>
      <c r="F11" s="281" t="s">
        <v>141</v>
      </c>
      <c r="G11" s="276" t="s">
        <v>141</v>
      </c>
      <c r="H11" s="277" t="s">
        <v>141</v>
      </c>
      <c r="I11" s="243"/>
    </row>
    <row r="12" spans="1:9" ht="15.6" x14ac:dyDescent="0.3">
      <c r="A12" s="458" t="s">
        <v>310</v>
      </c>
      <c r="B12" s="458"/>
      <c r="C12" s="458"/>
      <c r="D12" s="458"/>
      <c r="E12" s="458"/>
      <c r="F12" s="458"/>
      <c r="G12" s="458"/>
      <c r="H12" s="232">
        <f>SUM(H10:H11)</f>
        <v>0</v>
      </c>
      <c r="I12" s="233"/>
    </row>
    <row r="13" spans="1:9" ht="15.6" x14ac:dyDescent="0.3">
      <c r="A13" s="225" t="s">
        <v>311</v>
      </c>
      <c r="B13" s="468" t="s">
        <v>312</v>
      </c>
      <c r="C13" s="468"/>
      <c r="D13" s="478"/>
      <c r="E13" s="226"/>
      <c r="F13" s="225"/>
      <c r="G13" s="225"/>
      <c r="H13" s="227"/>
      <c r="I13" s="225"/>
    </row>
    <row r="14" spans="1:9" ht="16.2" thickBot="1" x14ac:dyDescent="0.35">
      <c r="A14" s="479"/>
      <c r="B14" s="433" t="s">
        <v>313</v>
      </c>
      <c r="C14" s="434"/>
      <c r="D14" s="481"/>
      <c r="E14" s="284"/>
      <c r="F14" s="279"/>
      <c r="G14" s="8"/>
      <c r="H14" s="277"/>
      <c r="I14" s="295"/>
    </row>
    <row r="15" spans="1:9" ht="15.6" x14ac:dyDescent="0.3">
      <c r="A15" s="480"/>
      <c r="B15" s="482" t="s">
        <v>314</v>
      </c>
      <c r="C15" s="483"/>
      <c r="D15" s="484"/>
      <c r="E15" s="477"/>
      <c r="F15" s="430"/>
      <c r="G15" s="427"/>
      <c r="H15" s="430"/>
      <c r="I15" s="470"/>
    </row>
    <row r="16" spans="1:9" x14ac:dyDescent="0.3">
      <c r="A16" s="480"/>
      <c r="B16" s="473" t="s">
        <v>315</v>
      </c>
      <c r="C16" s="474"/>
      <c r="D16" s="413"/>
      <c r="E16" s="477"/>
      <c r="F16" s="430"/>
      <c r="G16" s="427"/>
      <c r="H16" s="430"/>
      <c r="I16" s="471"/>
    </row>
    <row r="17" spans="1:9" ht="57.6" x14ac:dyDescent="0.3">
      <c r="A17" s="480"/>
      <c r="B17" s="234" t="s">
        <v>316</v>
      </c>
      <c r="C17" s="320" t="s">
        <v>317</v>
      </c>
      <c r="D17" s="413"/>
      <c r="E17" s="477"/>
      <c r="F17" s="430"/>
      <c r="G17" s="427"/>
      <c r="H17" s="430"/>
      <c r="I17" s="471"/>
    </row>
    <row r="18" spans="1:9" ht="57.6" x14ac:dyDescent="0.3">
      <c r="A18" s="480"/>
      <c r="B18" s="235" t="s">
        <v>318</v>
      </c>
      <c r="C18" s="320" t="s">
        <v>319</v>
      </c>
      <c r="D18" s="413"/>
      <c r="E18" s="477"/>
      <c r="F18" s="430"/>
      <c r="G18" s="427"/>
      <c r="H18" s="430"/>
      <c r="I18" s="471"/>
    </row>
    <row r="19" spans="1:9" ht="15" thickBot="1" x14ac:dyDescent="0.35">
      <c r="A19" s="480"/>
      <c r="B19" s="475" t="s">
        <v>320</v>
      </c>
      <c r="C19" s="476"/>
      <c r="D19" s="414"/>
      <c r="E19" s="477"/>
      <c r="F19" s="430"/>
      <c r="G19" s="427"/>
      <c r="H19" s="430"/>
      <c r="I19" s="472"/>
    </row>
    <row r="20" spans="1:9" ht="15.6" x14ac:dyDescent="0.3">
      <c r="A20" s="480"/>
      <c r="B20" s="485" t="s">
        <v>321</v>
      </c>
      <c r="C20" s="486"/>
      <c r="D20" s="487"/>
      <c r="E20" s="215"/>
      <c r="F20" s="281" t="s">
        <v>78</v>
      </c>
      <c r="G20" s="276" t="s">
        <v>113</v>
      </c>
      <c r="H20" s="282">
        <f>IF(E20&gt;=80,1,0)</f>
        <v>0</v>
      </c>
      <c r="I20" s="244"/>
    </row>
    <row r="21" spans="1:9" ht="15.6" x14ac:dyDescent="0.3">
      <c r="A21" s="458" t="s">
        <v>322</v>
      </c>
      <c r="B21" s="458"/>
      <c r="C21" s="458"/>
      <c r="D21" s="458"/>
      <c r="E21" s="458"/>
      <c r="F21" s="458"/>
      <c r="G21" s="458"/>
      <c r="H21" s="232">
        <f>SUM(H14:H20)</f>
        <v>0</v>
      </c>
      <c r="I21" s="233"/>
    </row>
    <row r="22" spans="1:9" ht="15.6" x14ac:dyDescent="0.3">
      <c r="A22" s="225" t="s">
        <v>323</v>
      </c>
      <c r="B22" s="468" t="s">
        <v>324</v>
      </c>
      <c r="C22" s="468"/>
      <c r="D22" s="468"/>
      <c r="E22" s="226"/>
      <c r="F22" s="236"/>
      <c r="G22" s="225"/>
      <c r="H22" s="227"/>
      <c r="I22" s="225"/>
    </row>
    <row r="23" spans="1:9" ht="15.6" x14ac:dyDescent="0.3">
      <c r="A23" s="228" t="s">
        <v>325</v>
      </c>
      <c r="B23" s="469" t="s">
        <v>326</v>
      </c>
      <c r="C23" s="469"/>
      <c r="D23" s="469"/>
      <c r="E23" s="229"/>
      <c r="F23" s="237"/>
      <c r="G23" s="230"/>
      <c r="H23" s="231"/>
      <c r="I23" s="230"/>
    </row>
    <row r="24" spans="1:9" ht="15.6" x14ac:dyDescent="0.3">
      <c r="A24" s="417" t="s">
        <v>223</v>
      </c>
      <c r="B24" s="400" t="s">
        <v>327</v>
      </c>
      <c r="C24" s="400"/>
      <c r="D24" s="400"/>
      <c r="E24" s="284" t="s">
        <v>141</v>
      </c>
      <c r="F24" s="238"/>
      <c r="G24" s="6"/>
      <c r="H24" s="277"/>
      <c r="I24" s="216"/>
    </row>
    <row r="25" spans="1:9" ht="15.6" customHeight="1" x14ac:dyDescent="0.3">
      <c r="A25" s="419"/>
      <c r="B25" s="466" t="s">
        <v>504</v>
      </c>
      <c r="C25" s="400"/>
      <c r="D25" s="467"/>
      <c r="E25" s="284" t="s">
        <v>141</v>
      </c>
      <c r="F25" s="281" t="s">
        <v>141</v>
      </c>
      <c r="G25" s="370" t="s">
        <v>141</v>
      </c>
      <c r="H25" s="431" t="s">
        <v>141</v>
      </c>
      <c r="I25" s="216"/>
    </row>
    <row r="26" spans="1:9" ht="15.6" x14ac:dyDescent="0.3">
      <c r="A26" s="419"/>
      <c r="B26" s="466" t="s">
        <v>505</v>
      </c>
      <c r="C26" s="400"/>
      <c r="D26" s="467"/>
      <c r="E26" s="284" t="s">
        <v>141</v>
      </c>
      <c r="F26" s="281" t="s">
        <v>141</v>
      </c>
      <c r="G26" s="419"/>
      <c r="H26" s="432"/>
      <c r="I26" s="216"/>
    </row>
    <row r="27" spans="1:9" ht="15.6" x14ac:dyDescent="0.3">
      <c r="A27" s="420"/>
      <c r="B27" s="466" t="s">
        <v>328</v>
      </c>
      <c r="C27" s="400"/>
      <c r="D27" s="467"/>
      <c r="E27" s="284" t="s">
        <v>141</v>
      </c>
      <c r="F27" s="281" t="s">
        <v>141</v>
      </c>
      <c r="G27" s="420"/>
      <c r="H27" s="439"/>
      <c r="I27" s="216"/>
    </row>
    <row r="28" spans="1:9" ht="15.6" x14ac:dyDescent="0.3">
      <c r="A28" s="6" t="s">
        <v>225</v>
      </c>
      <c r="B28" s="342" t="s">
        <v>329</v>
      </c>
      <c r="C28" s="342"/>
      <c r="D28" s="342"/>
      <c r="E28" s="284" t="s">
        <v>141</v>
      </c>
      <c r="F28" s="281" t="s">
        <v>141</v>
      </c>
      <c r="G28" s="276" t="s">
        <v>141</v>
      </c>
      <c r="H28" s="277" t="s">
        <v>141</v>
      </c>
      <c r="I28" s="216"/>
    </row>
    <row r="29" spans="1:9" ht="15.6" x14ac:dyDescent="0.3">
      <c r="A29" s="458" t="s">
        <v>330</v>
      </c>
      <c r="B29" s="458"/>
      <c r="C29" s="458"/>
      <c r="D29" s="458"/>
      <c r="E29" s="458"/>
      <c r="F29" s="458"/>
      <c r="G29" s="458"/>
      <c r="H29" s="232">
        <f>SUM(H24:H28)</f>
        <v>0</v>
      </c>
      <c r="I29" s="233"/>
    </row>
    <row r="30" spans="1:9" ht="15.6" x14ac:dyDescent="0.3">
      <c r="A30" s="228" t="s">
        <v>331</v>
      </c>
      <c r="B30" s="461" t="s">
        <v>332</v>
      </c>
      <c r="C30" s="461"/>
      <c r="D30" s="461"/>
      <c r="E30" s="229"/>
      <c r="F30" s="228"/>
      <c r="G30" s="230"/>
      <c r="H30" s="231"/>
      <c r="I30" s="230"/>
    </row>
    <row r="31" spans="1:9" ht="15.6" x14ac:dyDescent="0.3">
      <c r="A31" s="270" t="s">
        <v>72</v>
      </c>
      <c r="B31" s="401" t="s">
        <v>333</v>
      </c>
      <c r="C31" s="401"/>
      <c r="D31" s="401"/>
      <c r="E31" s="284" t="s">
        <v>141</v>
      </c>
      <c r="F31" s="281" t="s">
        <v>141</v>
      </c>
      <c r="G31" s="276" t="s">
        <v>141</v>
      </c>
      <c r="H31" s="277" t="s">
        <v>141</v>
      </c>
      <c r="I31" s="216"/>
    </row>
    <row r="32" spans="1:9" ht="15.6" x14ac:dyDescent="0.3">
      <c r="A32" s="270" t="s">
        <v>75</v>
      </c>
      <c r="B32" s="401" t="s">
        <v>334</v>
      </c>
      <c r="C32" s="401"/>
      <c r="D32" s="401"/>
      <c r="E32" s="284" t="s">
        <v>141</v>
      </c>
      <c r="F32" s="281" t="s">
        <v>141</v>
      </c>
      <c r="G32" s="276" t="s">
        <v>141</v>
      </c>
      <c r="H32" s="277" t="s">
        <v>141</v>
      </c>
      <c r="I32" s="216"/>
    </row>
    <row r="33" spans="1:9" ht="15.6" x14ac:dyDescent="0.3">
      <c r="A33" s="270" t="s">
        <v>79</v>
      </c>
      <c r="B33" s="401" t="s">
        <v>335</v>
      </c>
      <c r="C33" s="401"/>
      <c r="D33" s="401"/>
      <c r="E33" s="284" t="s">
        <v>141</v>
      </c>
      <c r="F33" s="281" t="s">
        <v>141</v>
      </c>
      <c r="G33" s="276" t="s">
        <v>141</v>
      </c>
      <c r="H33" s="277" t="s">
        <v>141</v>
      </c>
      <c r="I33" s="216"/>
    </row>
    <row r="34" spans="1:9" ht="15.6" x14ac:dyDescent="0.3">
      <c r="A34" s="458" t="s">
        <v>336</v>
      </c>
      <c r="B34" s="458"/>
      <c r="C34" s="458"/>
      <c r="D34" s="458"/>
      <c r="E34" s="458"/>
      <c r="F34" s="458"/>
      <c r="G34" s="458"/>
      <c r="H34" s="232">
        <f>SUM(H31:H33)</f>
        <v>0</v>
      </c>
      <c r="I34" s="233"/>
    </row>
    <row r="35" spans="1:9" ht="15.6" x14ac:dyDescent="0.3">
      <c r="A35" s="228" t="s">
        <v>337</v>
      </c>
      <c r="B35" s="461" t="s">
        <v>338</v>
      </c>
      <c r="C35" s="461"/>
      <c r="D35" s="461"/>
      <c r="E35" s="229"/>
      <c r="F35" s="228"/>
      <c r="G35" s="230"/>
      <c r="H35" s="231"/>
      <c r="I35" s="230"/>
    </row>
    <row r="36" spans="1:9" ht="15.6" x14ac:dyDescent="0.3">
      <c r="A36" s="270" t="s">
        <v>72</v>
      </c>
      <c r="B36" s="465" t="s">
        <v>339</v>
      </c>
      <c r="C36" s="465"/>
      <c r="D36" s="465"/>
      <c r="E36" s="284" t="s">
        <v>141</v>
      </c>
      <c r="F36" s="281" t="s">
        <v>141</v>
      </c>
      <c r="G36" s="276" t="s">
        <v>141</v>
      </c>
      <c r="H36" s="277" t="s">
        <v>141</v>
      </c>
      <c r="I36" s="216"/>
    </row>
    <row r="37" spans="1:9" ht="15.6" x14ac:dyDescent="0.3">
      <c r="A37" s="270" t="s">
        <v>75</v>
      </c>
      <c r="B37" s="401" t="s">
        <v>340</v>
      </c>
      <c r="C37" s="401"/>
      <c r="D37" s="401"/>
      <c r="E37" s="284" t="s">
        <v>141</v>
      </c>
      <c r="F37" s="281" t="s">
        <v>141</v>
      </c>
      <c r="G37" s="276" t="s">
        <v>141</v>
      </c>
      <c r="H37" s="277" t="s">
        <v>141</v>
      </c>
      <c r="I37" s="216"/>
    </row>
    <row r="38" spans="1:9" ht="15.6" x14ac:dyDescent="0.3">
      <c r="A38" s="458" t="s">
        <v>341</v>
      </c>
      <c r="B38" s="458"/>
      <c r="C38" s="458"/>
      <c r="D38" s="458"/>
      <c r="E38" s="458"/>
      <c r="F38" s="458"/>
      <c r="G38" s="458"/>
      <c r="H38" s="232">
        <f>SUM(H36:H37)</f>
        <v>0</v>
      </c>
      <c r="I38" s="233"/>
    </row>
    <row r="39" spans="1:9" ht="15.6" x14ac:dyDescent="0.3">
      <c r="A39" s="221" t="s">
        <v>342</v>
      </c>
      <c r="B39" s="459" t="s">
        <v>343</v>
      </c>
      <c r="C39" s="459"/>
      <c r="D39" s="459"/>
      <c r="E39" s="459"/>
      <c r="F39" s="459"/>
      <c r="G39" s="221">
        <v>5</v>
      </c>
      <c r="H39" s="239">
        <f>MIN(SUM(H46,H52,H56,H63),5)</f>
        <v>0</v>
      </c>
      <c r="I39" s="240"/>
    </row>
    <row r="40" spans="1:9" ht="15.6" x14ac:dyDescent="0.3">
      <c r="A40" s="225" t="s">
        <v>344</v>
      </c>
      <c r="B40" s="462" t="s">
        <v>345</v>
      </c>
      <c r="C40" s="463"/>
      <c r="D40" s="463"/>
      <c r="E40" s="226"/>
      <c r="F40" s="225"/>
      <c r="G40" s="225">
        <v>5</v>
      </c>
      <c r="H40" s="227"/>
      <c r="I40" s="225"/>
    </row>
    <row r="41" spans="1:9" ht="15.6" x14ac:dyDescent="0.3">
      <c r="A41" s="241"/>
      <c r="B41" s="393" t="s">
        <v>346</v>
      </c>
      <c r="C41" s="393"/>
      <c r="D41" s="393"/>
      <c r="E41" s="284"/>
      <c r="F41" s="188"/>
      <c r="G41" s="276"/>
      <c r="H41" s="277"/>
      <c r="I41" s="216"/>
    </row>
    <row r="42" spans="1:9" ht="15.6" x14ac:dyDescent="0.3">
      <c r="A42" s="270" t="s">
        <v>72</v>
      </c>
      <c r="B42" s="401" t="s">
        <v>347</v>
      </c>
      <c r="C42" s="401"/>
      <c r="D42" s="401"/>
      <c r="E42" s="215"/>
      <c r="F42" s="188" t="s">
        <v>70</v>
      </c>
      <c r="G42" s="276" t="s">
        <v>113</v>
      </c>
      <c r="H42" s="277">
        <f>IF(E42="Y",1,0)</f>
        <v>0</v>
      </c>
      <c r="I42" s="216"/>
    </row>
    <row r="43" spans="1:9" ht="15.6" x14ac:dyDescent="0.3">
      <c r="A43" s="270" t="s">
        <v>75</v>
      </c>
      <c r="B43" s="401" t="s">
        <v>348</v>
      </c>
      <c r="C43" s="401"/>
      <c r="D43" s="401"/>
      <c r="E43" s="215"/>
      <c r="F43" s="188" t="s">
        <v>70</v>
      </c>
      <c r="G43" s="276" t="s">
        <v>113</v>
      </c>
      <c r="H43" s="277">
        <f>IF(E43="Y",1,0)</f>
        <v>0</v>
      </c>
      <c r="I43" s="216"/>
    </row>
    <row r="44" spans="1:9" ht="15.6" x14ac:dyDescent="0.3">
      <c r="A44" s="270" t="s">
        <v>79</v>
      </c>
      <c r="B44" s="401" t="s">
        <v>349</v>
      </c>
      <c r="C44" s="401"/>
      <c r="D44" s="401"/>
      <c r="E44" s="215"/>
      <c r="F44" s="188" t="s">
        <v>70</v>
      </c>
      <c r="G44" s="276" t="s">
        <v>257</v>
      </c>
      <c r="H44" s="277">
        <f>IF(E44="Y",0.5,0)</f>
        <v>0</v>
      </c>
      <c r="I44" s="216"/>
    </row>
    <row r="45" spans="1:9" ht="15.6" x14ac:dyDescent="0.3">
      <c r="A45" s="270" t="s">
        <v>82</v>
      </c>
      <c r="B45" s="401" t="s">
        <v>350</v>
      </c>
      <c r="C45" s="401"/>
      <c r="D45" s="401"/>
      <c r="E45" s="215"/>
      <c r="F45" s="188" t="s">
        <v>70</v>
      </c>
      <c r="G45" s="276" t="s">
        <v>257</v>
      </c>
      <c r="H45" s="277">
        <f>IF(E45="Y",0.5,0)</f>
        <v>0</v>
      </c>
      <c r="I45" s="216"/>
    </row>
    <row r="46" spans="1:9" ht="15.6" x14ac:dyDescent="0.3">
      <c r="A46" s="458" t="s">
        <v>351</v>
      </c>
      <c r="B46" s="458"/>
      <c r="C46" s="458"/>
      <c r="D46" s="458"/>
      <c r="E46" s="458"/>
      <c r="F46" s="458"/>
      <c r="G46" s="458"/>
      <c r="H46" s="232">
        <f>SUM(H42:H45)</f>
        <v>0</v>
      </c>
      <c r="I46" s="233"/>
    </row>
    <row r="47" spans="1:9" ht="15.6" x14ac:dyDescent="0.3">
      <c r="A47" s="225" t="s">
        <v>352</v>
      </c>
      <c r="B47" s="462" t="s">
        <v>353</v>
      </c>
      <c r="C47" s="463"/>
      <c r="D47" s="463"/>
      <c r="E47" s="226"/>
      <c r="F47" s="225"/>
      <c r="G47" s="225"/>
      <c r="H47" s="227"/>
      <c r="I47" s="225"/>
    </row>
    <row r="48" spans="1:9" ht="15.6" x14ac:dyDescent="0.3">
      <c r="A48" s="270"/>
      <c r="B48" s="401" t="s">
        <v>354</v>
      </c>
      <c r="C48" s="401"/>
      <c r="D48" s="401"/>
      <c r="E48" s="284"/>
      <c r="F48" s="281"/>
      <c r="G48" s="6"/>
      <c r="H48" s="277"/>
      <c r="I48" s="159"/>
    </row>
    <row r="49" spans="1:9" ht="15.6" x14ac:dyDescent="0.3">
      <c r="A49" s="270" t="s">
        <v>72</v>
      </c>
      <c r="B49" s="401" t="s">
        <v>355</v>
      </c>
      <c r="C49" s="401"/>
      <c r="D49" s="401"/>
      <c r="E49" s="284" t="s">
        <v>141</v>
      </c>
      <c r="F49" s="281" t="s">
        <v>141</v>
      </c>
      <c r="G49" s="276" t="s">
        <v>141</v>
      </c>
      <c r="H49" s="277" t="s">
        <v>141</v>
      </c>
      <c r="I49" s="159"/>
    </row>
    <row r="50" spans="1:9" ht="15.6" x14ac:dyDescent="0.3">
      <c r="A50" s="270" t="s">
        <v>75</v>
      </c>
      <c r="B50" s="401" t="s">
        <v>356</v>
      </c>
      <c r="C50" s="401"/>
      <c r="D50" s="401"/>
      <c r="E50" s="284" t="s">
        <v>141</v>
      </c>
      <c r="F50" s="281" t="s">
        <v>141</v>
      </c>
      <c r="G50" s="276" t="s">
        <v>141</v>
      </c>
      <c r="H50" s="277" t="s">
        <v>141</v>
      </c>
      <c r="I50" s="159"/>
    </row>
    <row r="51" spans="1:9" ht="15.6" x14ac:dyDescent="0.3">
      <c r="A51" s="270" t="s">
        <v>79</v>
      </c>
      <c r="B51" s="401" t="s">
        <v>506</v>
      </c>
      <c r="C51" s="401"/>
      <c r="D51" s="401"/>
      <c r="E51" s="215"/>
      <c r="F51" s="188" t="s">
        <v>70</v>
      </c>
      <c r="G51" s="276" t="s">
        <v>130</v>
      </c>
      <c r="H51" s="277">
        <f>IF(E51="Y",2,0)</f>
        <v>0</v>
      </c>
      <c r="I51" s="159"/>
    </row>
    <row r="52" spans="1:9" ht="15.6" x14ac:dyDescent="0.3">
      <c r="A52" s="458" t="s">
        <v>357</v>
      </c>
      <c r="B52" s="458"/>
      <c r="C52" s="458"/>
      <c r="D52" s="458"/>
      <c r="E52" s="458"/>
      <c r="F52" s="458"/>
      <c r="G52" s="458"/>
      <c r="H52" s="232">
        <f>SUM(H49:H51)</f>
        <v>0</v>
      </c>
      <c r="I52" s="233"/>
    </row>
    <row r="53" spans="1:9" ht="15.6" x14ac:dyDescent="0.3">
      <c r="A53" s="225" t="s">
        <v>358</v>
      </c>
      <c r="B53" s="462" t="s">
        <v>359</v>
      </c>
      <c r="C53" s="463"/>
      <c r="D53" s="463"/>
      <c r="E53" s="226"/>
      <c r="F53" s="225"/>
      <c r="G53" s="225"/>
      <c r="H53" s="227"/>
      <c r="I53" s="225"/>
    </row>
    <row r="54" spans="1:9" ht="15.6" x14ac:dyDescent="0.3">
      <c r="A54" s="228" t="s">
        <v>360</v>
      </c>
      <c r="B54" s="461" t="s">
        <v>361</v>
      </c>
      <c r="C54" s="461"/>
      <c r="D54" s="461"/>
      <c r="E54" s="229"/>
      <c r="F54" s="228"/>
      <c r="G54" s="230"/>
      <c r="H54" s="231"/>
      <c r="I54" s="230"/>
    </row>
    <row r="55" spans="1:9" ht="15.6" x14ac:dyDescent="0.3">
      <c r="A55" s="270"/>
      <c r="B55" s="401" t="s">
        <v>362</v>
      </c>
      <c r="C55" s="401"/>
      <c r="D55" s="401"/>
      <c r="E55" s="215"/>
      <c r="F55" s="281" t="s">
        <v>70</v>
      </c>
      <c r="G55" s="276" t="s">
        <v>257</v>
      </c>
      <c r="H55" s="277">
        <f>IF(E55="Y",0.5,0)</f>
        <v>0</v>
      </c>
      <c r="I55" s="159"/>
    </row>
    <row r="56" spans="1:9" ht="15.6" x14ac:dyDescent="0.3">
      <c r="A56" s="458" t="s">
        <v>363</v>
      </c>
      <c r="B56" s="458"/>
      <c r="C56" s="458"/>
      <c r="D56" s="458"/>
      <c r="E56" s="458"/>
      <c r="F56" s="458"/>
      <c r="G56" s="458"/>
      <c r="H56" s="232">
        <f>H55</f>
        <v>0</v>
      </c>
      <c r="I56" s="233"/>
    </row>
    <row r="57" spans="1:9" ht="15.6" x14ac:dyDescent="0.3">
      <c r="A57" s="228" t="s">
        <v>364</v>
      </c>
      <c r="B57" s="461" t="s">
        <v>365</v>
      </c>
      <c r="C57" s="461"/>
      <c r="D57" s="461"/>
      <c r="E57" s="229"/>
      <c r="F57" s="228" t="s">
        <v>78</v>
      </c>
      <c r="G57" s="230"/>
      <c r="H57" s="231"/>
      <c r="I57" s="230"/>
    </row>
    <row r="58" spans="1:9" ht="15.6" x14ac:dyDescent="0.3">
      <c r="A58" s="270"/>
      <c r="B58" s="401" t="s">
        <v>366</v>
      </c>
      <c r="C58" s="464"/>
      <c r="D58" s="464"/>
      <c r="E58" s="284"/>
      <c r="F58" s="281"/>
      <c r="G58" s="276"/>
      <c r="H58" s="277"/>
      <c r="I58" s="159"/>
    </row>
    <row r="59" spans="1:9" ht="15.6" x14ac:dyDescent="0.3">
      <c r="A59" s="270" t="s">
        <v>72</v>
      </c>
      <c r="B59" s="401" t="s">
        <v>367</v>
      </c>
      <c r="C59" s="464"/>
      <c r="D59" s="464"/>
      <c r="E59" s="284" t="s">
        <v>141</v>
      </c>
      <c r="F59" s="281" t="s">
        <v>141</v>
      </c>
      <c r="G59" s="276" t="s">
        <v>141</v>
      </c>
      <c r="H59" s="277" t="s">
        <v>141</v>
      </c>
      <c r="I59" s="159"/>
    </row>
    <row r="60" spans="1:9" ht="15.6" x14ac:dyDescent="0.3">
      <c r="A60" s="270" t="s">
        <v>75</v>
      </c>
      <c r="B60" s="401" t="s">
        <v>507</v>
      </c>
      <c r="C60" s="464"/>
      <c r="D60" s="464"/>
      <c r="E60" s="284" t="s">
        <v>141</v>
      </c>
      <c r="F60" s="281" t="s">
        <v>141</v>
      </c>
      <c r="G60" s="276" t="s">
        <v>141</v>
      </c>
      <c r="H60" s="277" t="s">
        <v>141</v>
      </c>
      <c r="I60" s="159"/>
    </row>
    <row r="61" spans="1:9" ht="15.6" x14ac:dyDescent="0.3">
      <c r="A61" s="270" t="s">
        <v>79</v>
      </c>
      <c r="B61" s="401" t="s">
        <v>368</v>
      </c>
      <c r="C61" s="464"/>
      <c r="D61" s="464"/>
      <c r="E61" s="284" t="s">
        <v>141</v>
      </c>
      <c r="F61" s="281" t="s">
        <v>141</v>
      </c>
      <c r="G61" s="276" t="s">
        <v>141</v>
      </c>
      <c r="H61" s="277" t="s">
        <v>141</v>
      </c>
      <c r="I61" s="159"/>
    </row>
    <row r="62" spans="1:9" ht="15.6" x14ac:dyDescent="0.3">
      <c r="A62" s="270" t="s">
        <v>82</v>
      </c>
      <c r="B62" s="401" t="s">
        <v>369</v>
      </c>
      <c r="C62" s="464"/>
      <c r="D62" s="464"/>
      <c r="E62" s="284" t="s">
        <v>141</v>
      </c>
      <c r="F62" s="281" t="s">
        <v>141</v>
      </c>
      <c r="G62" s="276" t="s">
        <v>141</v>
      </c>
      <c r="H62" s="277" t="s">
        <v>141</v>
      </c>
      <c r="I62" s="159"/>
    </row>
    <row r="63" spans="1:9" ht="15.6" x14ac:dyDescent="0.3">
      <c r="A63" s="458" t="s">
        <v>370</v>
      </c>
      <c r="B63" s="458"/>
      <c r="C63" s="458"/>
      <c r="D63" s="458"/>
      <c r="E63" s="458"/>
      <c r="F63" s="458"/>
      <c r="G63" s="458"/>
      <c r="H63" s="232">
        <f>SUM(H60:H62)</f>
        <v>0</v>
      </c>
      <c r="I63" s="233"/>
    </row>
    <row r="64" spans="1:9" ht="15.6" x14ac:dyDescent="0.3">
      <c r="A64" s="221" t="s">
        <v>371</v>
      </c>
      <c r="B64" s="459" t="s">
        <v>372</v>
      </c>
      <c r="C64" s="459"/>
      <c r="D64" s="459"/>
      <c r="E64" s="459"/>
      <c r="F64" s="459"/>
      <c r="G64" s="221">
        <v>5</v>
      </c>
      <c r="H64" s="239">
        <f>MIN(SUM(H67,H73,H76,H80,H86),5)</f>
        <v>0</v>
      </c>
      <c r="I64" s="240"/>
    </row>
    <row r="65" spans="1:9" ht="15.6" x14ac:dyDescent="0.3">
      <c r="A65" s="225" t="s">
        <v>373</v>
      </c>
      <c r="B65" s="462" t="s">
        <v>374</v>
      </c>
      <c r="C65" s="463"/>
      <c r="D65" s="463"/>
      <c r="E65" s="226"/>
      <c r="F65" s="225" t="s">
        <v>74</v>
      </c>
      <c r="G65" s="225" t="s">
        <v>141</v>
      </c>
      <c r="H65" s="227"/>
      <c r="I65" s="225"/>
    </row>
    <row r="66" spans="1:9" ht="15.6" x14ac:dyDescent="0.3">
      <c r="A66" s="270"/>
      <c r="B66" s="464" t="s">
        <v>375</v>
      </c>
      <c r="C66" s="464"/>
      <c r="D66" s="464"/>
      <c r="E66" s="284" t="s">
        <v>141</v>
      </c>
      <c r="F66" s="281" t="s">
        <v>141</v>
      </c>
      <c r="G66" s="276" t="s">
        <v>141</v>
      </c>
      <c r="H66" s="277" t="s">
        <v>141</v>
      </c>
      <c r="I66" s="159"/>
    </row>
    <row r="67" spans="1:9" ht="15.6" x14ac:dyDescent="0.3">
      <c r="A67" s="458" t="s">
        <v>376</v>
      </c>
      <c r="B67" s="458"/>
      <c r="C67" s="458"/>
      <c r="D67" s="458"/>
      <c r="E67" s="458"/>
      <c r="F67" s="458"/>
      <c r="G67" s="458"/>
      <c r="H67" s="232">
        <f>SUM(H66)</f>
        <v>0</v>
      </c>
      <c r="I67" s="233"/>
    </row>
    <row r="68" spans="1:9" ht="15.6" x14ac:dyDescent="0.3">
      <c r="A68" s="225" t="s">
        <v>377</v>
      </c>
      <c r="B68" s="462" t="s">
        <v>378</v>
      </c>
      <c r="C68" s="463"/>
      <c r="D68" s="463"/>
      <c r="E68" s="226"/>
      <c r="F68" s="225"/>
      <c r="G68" s="225"/>
      <c r="H68" s="227"/>
      <c r="I68" s="225"/>
    </row>
    <row r="69" spans="1:9" ht="15.6" x14ac:dyDescent="0.3">
      <c r="A69" s="228" t="s">
        <v>379</v>
      </c>
      <c r="B69" s="461" t="s">
        <v>508</v>
      </c>
      <c r="C69" s="461"/>
      <c r="D69" s="461"/>
      <c r="E69" s="229"/>
      <c r="F69" s="228"/>
      <c r="G69" s="230"/>
      <c r="H69" s="231"/>
      <c r="I69" s="230"/>
    </row>
    <row r="70" spans="1:9" ht="15.6" x14ac:dyDescent="0.3">
      <c r="A70" s="270"/>
      <c r="B70" s="401" t="s">
        <v>380</v>
      </c>
      <c r="C70" s="401"/>
      <c r="D70" s="401"/>
      <c r="E70" s="284"/>
      <c r="F70" s="281"/>
      <c r="G70" s="208"/>
      <c r="H70" s="211"/>
      <c r="I70" s="245"/>
    </row>
    <row r="71" spans="1:9" ht="15.6" x14ac:dyDescent="0.3">
      <c r="A71" s="270" t="s">
        <v>72</v>
      </c>
      <c r="B71" s="401" t="s">
        <v>381</v>
      </c>
      <c r="C71" s="401"/>
      <c r="D71" s="401"/>
      <c r="E71" s="284" t="s">
        <v>141</v>
      </c>
      <c r="F71" s="281" t="s">
        <v>141</v>
      </c>
      <c r="G71" s="276" t="s">
        <v>141</v>
      </c>
      <c r="H71" s="277" t="s">
        <v>141</v>
      </c>
      <c r="I71" s="245"/>
    </row>
    <row r="72" spans="1:9" ht="15.6" x14ac:dyDescent="0.3">
      <c r="A72" s="270" t="s">
        <v>75</v>
      </c>
      <c r="B72" s="401" t="s">
        <v>382</v>
      </c>
      <c r="C72" s="401"/>
      <c r="D72" s="401"/>
      <c r="E72" s="215"/>
      <c r="F72" s="188" t="s">
        <v>70</v>
      </c>
      <c r="G72" s="276" t="s">
        <v>113</v>
      </c>
      <c r="H72" s="277">
        <f>IF(E72="Y",1,0)</f>
        <v>0</v>
      </c>
      <c r="I72" s="245"/>
    </row>
    <row r="73" spans="1:9" ht="15.6" x14ac:dyDescent="0.3">
      <c r="A73" s="458" t="s">
        <v>383</v>
      </c>
      <c r="B73" s="458"/>
      <c r="C73" s="458"/>
      <c r="D73" s="458"/>
      <c r="E73" s="458"/>
      <c r="F73" s="458"/>
      <c r="G73" s="458"/>
      <c r="H73" s="232">
        <f>SUM(H71:H72)</f>
        <v>0</v>
      </c>
      <c r="I73" s="233"/>
    </row>
    <row r="74" spans="1:9" ht="15.6" x14ac:dyDescent="0.3">
      <c r="A74" s="228" t="s">
        <v>384</v>
      </c>
      <c r="B74" s="461" t="s">
        <v>385</v>
      </c>
      <c r="C74" s="461"/>
      <c r="D74" s="461"/>
      <c r="E74" s="229"/>
      <c r="F74" s="228"/>
      <c r="G74" s="230"/>
      <c r="H74" s="231"/>
      <c r="I74" s="230"/>
    </row>
    <row r="75" spans="1:9" ht="15.6" x14ac:dyDescent="0.3">
      <c r="A75" s="270"/>
      <c r="B75" s="401" t="s">
        <v>509</v>
      </c>
      <c r="C75" s="401"/>
      <c r="D75" s="401"/>
      <c r="E75" s="215"/>
      <c r="F75" s="281" t="s">
        <v>70</v>
      </c>
      <c r="G75" s="276" t="s">
        <v>113</v>
      </c>
      <c r="H75" s="277">
        <f>IF(E75="Y",1,0)</f>
        <v>0</v>
      </c>
      <c r="I75" s="245"/>
    </row>
    <row r="76" spans="1:9" ht="15.6" x14ac:dyDescent="0.3">
      <c r="A76" s="458" t="s">
        <v>386</v>
      </c>
      <c r="B76" s="458"/>
      <c r="C76" s="458"/>
      <c r="D76" s="458"/>
      <c r="E76" s="458"/>
      <c r="F76" s="458"/>
      <c r="G76" s="458"/>
      <c r="H76" s="232">
        <f>SUM(H74:H75)</f>
        <v>0</v>
      </c>
      <c r="I76" s="233"/>
    </row>
    <row r="77" spans="1:9" ht="15.6" x14ac:dyDescent="0.3">
      <c r="A77" s="225" t="s">
        <v>387</v>
      </c>
      <c r="B77" s="462" t="s">
        <v>388</v>
      </c>
      <c r="C77" s="463"/>
      <c r="D77" s="463"/>
      <c r="E77" s="226"/>
      <c r="F77" s="225"/>
      <c r="G77" s="225"/>
      <c r="H77" s="227"/>
      <c r="I77" s="225"/>
    </row>
    <row r="78" spans="1:9" ht="15.6" x14ac:dyDescent="0.3">
      <c r="A78" s="228" t="s">
        <v>389</v>
      </c>
      <c r="B78" s="461" t="s">
        <v>390</v>
      </c>
      <c r="C78" s="461"/>
      <c r="D78" s="461"/>
      <c r="E78" s="229"/>
      <c r="F78" s="228"/>
      <c r="G78" s="230"/>
      <c r="H78" s="231"/>
      <c r="I78" s="230"/>
    </row>
    <row r="79" spans="1:9" ht="15.6" x14ac:dyDescent="0.3">
      <c r="A79" s="280" t="s">
        <v>72</v>
      </c>
      <c r="B79" s="401" t="s">
        <v>391</v>
      </c>
      <c r="C79" s="401"/>
      <c r="D79" s="401"/>
      <c r="E79" s="284" t="s">
        <v>141</v>
      </c>
      <c r="F79" s="281" t="s">
        <v>141</v>
      </c>
      <c r="G79" s="276" t="s">
        <v>141</v>
      </c>
      <c r="H79" s="277" t="s">
        <v>141</v>
      </c>
      <c r="I79" s="159"/>
    </row>
    <row r="80" spans="1:9" ht="15.6" x14ac:dyDescent="0.3">
      <c r="A80" s="458" t="s">
        <v>392</v>
      </c>
      <c r="B80" s="458"/>
      <c r="C80" s="458"/>
      <c r="D80" s="458"/>
      <c r="E80" s="458"/>
      <c r="F80" s="458"/>
      <c r="G80" s="458"/>
      <c r="H80" s="232">
        <f>SUM(H79)</f>
        <v>0</v>
      </c>
      <c r="I80" s="233"/>
    </row>
    <row r="81" spans="1:9" ht="15.6" x14ac:dyDescent="0.3">
      <c r="A81" s="228" t="s">
        <v>393</v>
      </c>
      <c r="B81" s="461" t="s">
        <v>394</v>
      </c>
      <c r="C81" s="461"/>
      <c r="D81" s="461"/>
      <c r="E81" s="229"/>
      <c r="F81" s="228"/>
      <c r="G81" s="230"/>
      <c r="H81" s="231"/>
      <c r="I81" s="230"/>
    </row>
    <row r="82" spans="1:9" ht="15.6" x14ac:dyDescent="0.3">
      <c r="A82" s="280"/>
      <c r="B82" s="401" t="s">
        <v>395</v>
      </c>
      <c r="C82" s="401"/>
      <c r="D82" s="401"/>
      <c r="E82" s="284"/>
      <c r="F82" s="188"/>
      <c r="G82" s="276"/>
      <c r="H82" s="73"/>
      <c r="I82" s="159"/>
    </row>
    <row r="83" spans="1:9" ht="15.6" x14ac:dyDescent="0.3">
      <c r="A83" s="6" t="s">
        <v>72</v>
      </c>
      <c r="B83" s="401" t="s">
        <v>396</v>
      </c>
      <c r="C83" s="401"/>
      <c r="D83" s="401"/>
      <c r="E83" s="215"/>
      <c r="F83" s="281" t="s">
        <v>70</v>
      </c>
      <c r="G83" s="276" t="s">
        <v>257</v>
      </c>
      <c r="H83" s="277">
        <f>IF(E83="Y",0.5,0)</f>
        <v>0</v>
      </c>
      <c r="I83" s="159"/>
    </row>
    <row r="84" spans="1:9" ht="15.6" x14ac:dyDescent="0.3">
      <c r="A84" s="280" t="s">
        <v>75</v>
      </c>
      <c r="B84" s="401" t="s">
        <v>397</v>
      </c>
      <c r="C84" s="401"/>
      <c r="D84" s="401"/>
      <c r="E84" s="321" t="s">
        <v>141</v>
      </c>
      <c r="F84" s="281" t="s">
        <v>141</v>
      </c>
      <c r="G84" s="276" t="s">
        <v>141</v>
      </c>
      <c r="H84" s="277" t="s">
        <v>141</v>
      </c>
      <c r="I84" s="159"/>
    </row>
    <row r="85" spans="1:9" ht="15.6" x14ac:dyDescent="0.3">
      <c r="A85" s="280" t="s">
        <v>79</v>
      </c>
      <c r="B85" s="401" t="s">
        <v>398</v>
      </c>
      <c r="C85" s="401"/>
      <c r="D85" s="401"/>
      <c r="E85" s="321" t="s">
        <v>141</v>
      </c>
      <c r="F85" s="281" t="s">
        <v>141</v>
      </c>
      <c r="G85" s="276" t="s">
        <v>141</v>
      </c>
      <c r="H85" s="277" t="s">
        <v>141</v>
      </c>
      <c r="I85" s="159"/>
    </row>
    <row r="86" spans="1:9" ht="15.6" x14ac:dyDescent="0.3">
      <c r="A86" s="458" t="s">
        <v>399</v>
      </c>
      <c r="B86" s="458"/>
      <c r="C86" s="458"/>
      <c r="D86" s="458"/>
      <c r="E86" s="458"/>
      <c r="F86" s="458"/>
      <c r="G86" s="458"/>
      <c r="H86" s="232">
        <f>SUM(H83:H85)</f>
        <v>0</v>
      </c>
      <c r="I86" s="233"/>
    </row>
    <row r="87" spans="1:9" ht="15.6" x14ac:dyDescent="0.3">
      <c r="A87" s="221"/>
      <c r="B87" s="459" t="s">
        <v>293</v>
      </c>
      <c r="C87" s="459"/>
      <c r="D87" s="459"/>
      <c r="E87" s="459"/>
      <c r="F87" s="459"/>
      <c r="G87" s="221">
        <v>2</v>
      </c>
      <c r="H87" s="239">
        <f>MIN(SUM(H89:H90),2)</f>
        <v>0</v>
      </c>
      <c r="I87" s="240"/>
    </row>
    <row r="88" spans="1:9" ht="62.4" x14ac:dyDescent="0.3">
      <c r="A88" s="228"/>
      <c r="B88" s="460" t="s">
        <v>400</v>
      </c>
      <c r="C88" s="460"/>
      <c r="D88" s="460"/>
      <c r="E88" s="242"/>
      <c r="F88" s="228"/>
      <c r="G88" s="242" t="s">
        <v>198</v>
      </c>
      <c r="H88" s="242"/>
      <c r="I88" s="283" t="s">
        <v>199</v>
      </c>
    </row>
    <row r="89" spans="1:9" ht="31.2" x14ac:dyDescent="0.3">
      <c r="A89" s="280"/>
      <c r="B89" s="401" t="s">
        <v>401</v>
      </c>
      <c r="C89" s="401"/>
      <c r="D89" s="401"/>
      <c r="E89" s="215"/>
      <c r="F89" s="86" t="s">
        <v>74</v>
      </c>
      <c r="G89" s="376" t="s">
        <v>402</v>
      </c>
      <c r="H89" s="73">
        <f>E89</f>
        <v>0</v>
      </c>
      <c r="I89" s="168" t="s">
        <v>202</v>
      </c>
    </row>
    <row r="90" spans="1:9" ht="31.2" x14ac:dyDescent="0.3">
      <c r="A90" s="42"/>
      <c r="B90" s="401"/>
      <c r="C90" s="401"/>
      <c r="D90" s="401"/>
      <c r="E90" s="215"/>
      <c r="F90" s="86" t="s">
        <v>74</v>
      </c>
      <c r="G90" s="376"/>
      <c r="H90" s="73">
        <f>E90</f>
        <v>0</v>
      </c>
      <c r="I90" s="168" t="s">
        <v>203</v>
      </c>
    </row>
  </sheetData>
  <sheetProtection algorithmName="SHA-512" hashValue="dxNtQJc5yw+TLpvJxv0W3TptX1SJv/h1JGTKL2AK7bpFkVpO2IyXn3Js0ZmK2F9OSFi3w5Ac0zMDrVcKCRSU7Q==" saltValue="pGxh+7YLwK2fGpvlI2wdyg==" spinCount="100000" sheet="1" formatCells="0" selectLockedCells="1"/>
  <mergeCells count="98">
    <mergeCell ref="A12:G12"/>
    <mergeCell ref="B1:D1"/>
    <mergeCell ref="A2:F2"/>
    <mergeCell ref="B3:F3"/>
    <mergeCell ref="B4:D4"/>
    <mergeCell ref="B5:D5"/>
    <mergeCell ref="B6:D6"/>
    <mergeCell ref="B7:D7"/>
    <mergeCell ref="A8:G8"/>
    <mergeCell ref="B9:D9"/>
    <mergeCell ref="B10:D10"/>
    <mergeCell ref="B11:D11"/>
    <mergeCell ref="B13:D13"/>
    <mergeCell ref="A14:A20"/>
    <mergeCell ref="B14:D14"/>
    <mergeCell ref="B15:C15"/>
    <mergeCell ref="D15:D19"/>
    <mergeCell ref="B20:D20"/>
    <mergeCell ref="F15:F19"/>
    <mergeCell ref="G15:G19"/>
    <mergeCell ref="H15:H19"/>
    <mergeCell ref="I15:I19"/>
    <mergeCell ref="B16:C16"/>
    <mergeCell ref="B19:C19"/>
    <mergeCell ref="E15:E19"/>
    <mergeCell ref="A21:G21"/>
    <mergeCell ref="B22:D22"/>
    <mergeCell ref="B23:D23"/>
    <mergeCell ref="A24:A27"/>
    <mergeCell ref="B24:D24"/>
    <mergeCell ref="B25:D25"/>
    <mergeCell ref="G25:G27"/>
    <mergeCell ref="B36:D36"/>
    <mergeCell ref="H25:H27"/>
    <mergeCell ref="B26:D26"/>
    <mergeCell ref="B27:D27"/>
    <mergeCell ref="B28:D28"/>
    <mergeCell ref="A29:G29"/>
    <mergeCell ref="B30:D30"/>
    <mergeCell ref="B31:D31"/>
    <mergeCell ref="B32:D32"/>
    <mergeCell ref="B33:D33"/>
    <mergeCell ref="A34:G34"/>
    <mergeCell ref="B35:D35"/>
    <mergeCell ref="B48:D48"/>
    <mergeCell ref="B37:D37"/>
    <mergeCell ref="A38:G38"/>
    <mergeCell ref="B39:F39"/>
    <mergeCell ref="B40:D40"/>
    <mergeCell ref="B41:D41"/>
    <mergeCell ref="B42:D42"/>
    <mergeCell ref="B43:D43"/>
    <mergeCell ref="B44:D44"/>
    <mergeCell ref="B45:D45"/>
    <mergeCell ref="A46:G46"/>
    <mergeCell ref="B47:D47"/>
    <mergeCell ref="B60:D60"/>
    <mergeCell ref="B49:D49"/>
    <mergeCell ref="B50:D50"/>
    <mergeCell ref="B51:D51"/>
    <mergeCell ref="A52:G52"/>
    <mergeCell ref="B53:D53"/>
    <mergeCell ref="B54:D54"/>
    <mergeCell ref="B55:D55"/>
    <mergeCell ref="A56:G56"/>
    <mergeCell ref="B57:D57"/>
    <mergeCell ref="B58:D58"/>
    <mergeCell ref="B59:D59"/>
    <mergeCell ref="B72:D72"/>
    <mergeCell ref="B61:D61"/>
    <mergeCell ref="B62:D62"/>
    <mergeCell ref="A63:G63"/>
    <mergeCell ref="B64:F64"/>
    <mergeCell ref="B65:D65"/>
    <mergeCell ref="B66:D66"/>
    <mergeCell ref="A67:G67"/>
    <mergeCell ref="B68:D68"/>
    <mergeCell ref="B69:D69"/>
    <mergeCell ref="B70:D70"/>
    <mergeCell ref="B71:D71"/>
    <mergeCell ref="B84:D84"/>
    <mergeCell ref="A73:G73"/>
    <mergeCell ref="B74:D74"/>
    <mergeCell ref="B75:D75"/>
    <mergeCell ref="A76:G76"/>
    <mergeCell ref="B77:D77"/>
    <mergeCell ref="B78:D78"/>
    <mergeCell ref="B79:D79"/>
    <mergeCell ref="A80:G80"/>
    <mergeCell ref="B81:D81"/>
    <mergeCell ref="B82:D82"/>
    <mergeCell ref="B83:D83"/>
    <mergeCell ref="B85:D85"/>
    <mergeCell ref="A86:G86"/>
    <mergeCell ref="B87:F87"/>
    <mergeCell ref="B88:D88"/>
    <mergeCell ref="B89:D90"/>
    <mergeCell ref="G89:G90"/>
  </mergeCells>
  <dataValidations count="7">
    <dataValidation allowBlank="1" showErrorMessage="1" sqref="H90" xr:uid="{49C56AC6-C0F9-4001-9813-1A60405333C8}"/>
    <dataValidation allowBlank="1" showInputMessage="1" showErrorMessage="1" prompt="Please list down short description of your innovation." sqref="I89:I90" xr:uid="{3957C790-2D88-430F-8D47-27FFC1B0E40D}"/>
    <dataValidation type="decimal" allowBlank="1" showErrorMessage="1" error="Please enter 0.5 or 1 or 1.5 or 2." prompt="Please Enter 0 or 1 or 1.5 or 2." sqref="H89" xr:uid="{21A625F1-E156-460D-BE5C-079D524FEB2B}">
      <formula1>0</formula1>
      <formula2>2</formula2>
    </dataValidation>
    <dataValidation type="list" allowBlank="1" showInputMessage="1" showErrorMessage="1" sqref="E6:E7 E83 E72 E42:E45 E55 E75 E51" xr:uid="{36D21C74-2FCC-4627-B424-003CDF79C79F}">
      <formula1>"Y,N"</formula1>
    </dataValidation>
    <dataValidation type="decimal" allowBlank="1" showInputMessage="1" showErrorMessage="1" sqref="E20" xr:uid="{F44AAC21-E174-457A-96C2-A63E4383241B}">
      <formula1>0</formula1>
      <formula2>100</formula2>
    </dataValidation>
    <dataValidation type="list" allowBlank="1" showInputMessage="1" showErrorMessage="1" sqref="E10" xr:uid="{76CD5390-E07C-4A3F-A4FE-060996147B72}">
      <formula1>"A,B"</formula1>
    </dataValidation>
    <dataValidation type="list" showErrorMessage="1" error="Please enter 0.5 or 1 or 1.5 or 2." prompt="Please Enter 0.5 or 1 or 1.5 or 2." sqref="E89:E90" xr:uid="{7C0BD8D6-6731-48BE-BC4C-B9BAC214273C}">
      <formula1>"0, 0.5, 1.0, 1.5, 2.0"</formula1>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6A98-2EE8-4110-AB39-0F9042AFCD7D}">
  <dimension ref="A1:G63"/>
  <sheetViews>
    <sheetView zoomScaleNormal="100" workbookViewId="0">
      <selection activeCell="C5" sqref="C5"/>
    </sheetView>
  </sheetViews>
  <sheetFormatPr defaultColWidth="8.6640625" defaultRowHeight="15.6" x14ac:dyDescent="0.3"/>
  <cols>
    <col min="1" max="1" width="8.33203125" style="289" customWidth="1"/>
    <col min="2" max="2" width="73.88671875" style="267" customWidth="1"/>
    <col min="3" max="4" width="10.6640625" style="267" customWidth="1"/>
    <col min="5" max="5" width="19" style="267" customWidth="1"/>
    <col min="6" max="6" width="10.6640625" style="267" customWidth="1"/>
    <col min="7" max="7" width="30.6640625" style="267" customWidth="1"/>
    <col min="8" max="9" width="50.6640625" style="267" customWidth="1"/>
    <col min="10" max="10" width="15.5546875" style="267" customWidth="1"/>
    <col min="11" max="11" width="17.33203125" style="267" customWidth="1"/>
    <col min="12" max="16384" width="8.6640625" style="267"/>
  </cols>
  <sheetData>
    <row r="1" spans="1:7" ht="46.8" x14ac:dyDescent="0.3">
      <c r="A1" s="2"/>
      <c r="B1" s="3" t="s">
        <v>403</v>
      </c>
      <c r="C1" s="45" t="s">
        <v>66</v>
      </c>
      <c r="D1" s="45" t="s">
        <v>67</v>
      </c>
      <c r="E1" s="52" t="s">
        <v>102</v>
      </c>
      <c r="F1" s="45" t="s">
        <v>103</v>
      </c>
      <c r="G1" s="3" t="s">
        <v>104</v>
      </c>
    </row>
    <row r="2" spans="1:7" ht="21" x14ac:dyDescent="0.3">
      <c r="A2" s="497" t="s">
        <v>33</v>
      </c>
      <c r="B2" s="497"/>
      <c r="C2" s="497"/>
      <c r="D2" s="497"/>
      <c r="E2" s="246">
        <v>15</v>
      </c>
      <c r="F2" s="247">
        <f>MIN(SUM(F3,F20,F34,F60),15)</f>
        <v>0</v>
      </c>
      <c r="G2" s="248" t="s">
        <v>105</v>
      </c>
    </row>
    <row r="3" spans="1:7" x14ac:dyDescent="0.3">
      <c r="A3" s="249" t="s">
        <v>404</v>
      </c>
      <c r="B3" s="498" t="s">
        <v>56</v>
      </c>
      <c r="C3" s="498"/>
      <c r="D3" s="498"/>
      <c r="E3" s="250">
        <v>5</v>
      </c>
      <c r="F3" s="251">
        <f>MIN(SUM(F19,F10), 5)</f>
        <v>0</v>
      </c>
      <c r="G3" s="249"/>
    </row>
    <row r="4" spans="1:7" x14ac:dyDescent="0.3">
      <c r="A4" s="252" t="s">
        <v>405</v>
      </c>
      <c r="B4" s="253" t="s">
        <v>406</v>
      </c>
      <c r="C4" s="253"/>
      <c r="D4" s="254"/>
      <c r="E4" s="255"/>
      <c r="F4" s="256"/>
      <c r="G4" s="255"/>
    </row>
    <row r="5" spans="1:7" ht="31.2" x14ac:dyDescent="0.3">
      <c r="A5" s="6" t="s">
        <v>72</v>
      </c>
      <c r="B5" s="7" t="s">
        <v>407</v>
      </c>
      <c r="C5" s="10"/>
      <c r="D5" s="47" t="s">
        <v>70</v>
      </c>
      <c r="E5" s="276" t="s">
        <v>130</v>
      </c>
      <c r="F5" s="73">
        <f>IF(C5="Y",2,0)</f>
        <v>0</v>
      </c>
      <c r="G5" s="266"/>
    </row>
    <row r="6" spans="1:7" ht="31.2" x14ac:dyDescent="0.3">
      <c r="A6" s="415" t="s">
        <v>75</v>
      </c>
      <c r="B6" s="7" t="s">
        <v>408</v>
      </c>
      <c r="C6" s="257"/>
      <c r="D6" s="47"/>
      <c r="E6" s="276"/>
      <c r="F6" s="73"/>
      <c r="G6" s="159"/>
    </row>
    <row r="7" spans="1:7" x14ac:dyDescent="0.3">
      <c r="A7" s="415"/>
      <c r="B7" s="7" t="s">
        <v>409</v>
      </c>
      <c r="C7" s="258" t="s">
        <v>141</v>
      </c>
      <c r="D7" s="47" t="s">
        <v>141</v>
      </c>
      <c r="E7" s="259" t="s">
        <v>141</v>
      </c>
      <c r="F7" s="47" t="s">
        <v>141</v>
      </c>
      <c r="G7" s="159"/>
    </row>
    <row r="8" spans="1:7" ht="31.2" x14ac:dyDescent="0.3">
      <c r="A8" s="415"/>
      <c r="B8" s="7" t="s">
        <v>410</v>
      </c>
      <c r="C8" s="258" t="s">
        <v>141</v>
      </c>
      <c r="D8" s="47" t="s">
        <v>141</v>
      </c>
      <c r="E8" s="259" t="s">
        <v>141</v>
      </c>
      <c r="F8" s="47" t="s">
        <v>141</v>
      </c>
      <c r="G8" s="159"/>
    </row>
    <row r="9" spans="1:7" ht="46.8" x14ac:dyDescent="0.3">
      <c r="A9" s="6" t="s">
        <v>79</v>
      </c>
      <c r="B9" s="7" t="s">
        <v>411</v>
      </c>
      <c r="C9" s="10"/>
      <c r="D9" s="47" t="s">
        <v>70</v>
      </c>
      <c r="E9" s="276" t="s">
        <v>113</v>
      </c>
      <c r="F9" s="73">
        <f>IF(C9="Y",1,0)</f>
        <v>0</v>
      </c>
      <c r="G9" s="159"/>
    </row>
    <row r="10" spans="1:7" x14ac:dyDescent="0.3">
      <c r="A10" s="260"/>
      <c r="B10" s="499" t="s">
        <v>412</v>
      </c>
      <c r="C10" s="499"/>
      <c r="D10" s="499"/>
      <c r="E10" s="499"/>
      <c r="F10" s="261">
        <f>SUM(F5:F9)</f>
        <v>0</v>
      </c>
      <c r="G10" s="262"/>
    </row>
    <row r="11" spans="1:7" x14ac:dyDescent="0.3">
      <c r="A11" s="252" t="s">
        <v>413</v>
      </c>
      <c r="B11" s="253" t="s">
        <v>414</v>
      </c>
      <c r="C11" s="253"/>
      <c r="D11" s="254"/>
      <c r="E11" s="255"/>
      <c r="F11" s="256"/>
      <c r="G11" s="255"/>
    </row>
    <row r="12" spans="1:7" ht="31.2" x14ac:dyDescent="0.3">
      <c r="A12" s="361" t="s">
        <v>72</v>
      </c>
      <c r="B12" s="7" t="s">
        <v>415</v>
      </c>
      <c r="C12" s="257"/>
      <c r="D12" s="47"/>
      <c r="E12" s="276"/>
      <c r="F12" s="73"/>
      <c r="G12" s="159"/>
    </row>
    <row r="13" spans="1:7" ht="31.2" x14ac:dyDescent="0.3">
      <c r="A13" s="362"/>
      <c r="B13" s="9" t="s">
        <v>416</v>
      </c>
      <c r="C13" s="10"/>
      <c r="D13" s="47" t="s">
        <v>70</v>
      </c>
      <c r="E13" s="263" t="s">
        <v>113</v>
      </c>
      <c r="F13" s="73">
        <f>IF(C13="Y",1,0)</f>
        <v>0</v>
      </c>
      <c r="G13" s="159"/>
    </row>
    <row r="14" spans="1:7" ht="31.2" x14ac:dyDescent="0.3">
      <c r="A14" s="496"/>
      <c r="B14" s="7" t="s">
        <v>417</v>
      </c>
      <c r="C14" s="10"/>
      <c r="D14" s="47" t="s">
        <v>70</v>
      </c>
      <c r="E14" s="263" t="s">
        <v>113</v>
      </c>
      <c r="F14" s="73">
        <f>IF(C14="Y",1,0)</f>
        <v>0</v>
      </c>
      <c r="G14" s="159"/>
    </row>
    <row r="15" spans="1:7" x14ac:dyDescent="0.3">
      <c r="A15" s="361" t="s">
        <v>75</v>
      </c>
      <c r="B15" s="83" t="s">
        <v>418</v>
      </c>
      <c r="C15" s="257"/>
      <c r="D15" s="47"/>
      <c r="E15" s="276"/>
      <c r="F15" s="73"/>
      <c r="G15" s="159"/>
    </row>
    <row r="16" spans="1:7" ht="46.8" x14ac:dyDescent="0.3">
      <c r="A16" s="362"/>
      <c r="B16" s="7" t="s">
        <v>419</v>
      </c>
      <c r="C16" s="10"/>
      <c r="D16" s="47" t="s">
        <v>70</v>
      </c>
      <c r="E16" s="276" t="s">
        <v>113</v>
      </c>
      <c r="F16" s="73">
        <f>IF(C16="Y",1,0)</f>
        <v>0</v>
      </c>
      <c r="G16" s="159"/>
    </row>
    <row r="17" spans="1:7" x14ac:dyDescent="0.3">
      <c r="A17" s="496"/>
      <c r="B17" s="7" t="s">
        <v>523</v>
      </c>
      <c r="C17" s="10"/>
      <c r="D17" s="47" t="s">
        <v>70</v>
      </c>
      <c r="E17" s="276" t="s">
        <v>113</v>
      </c>
      <c r="F17" s="73">
        <f>IF(C17="Y",1,0)</f>
        <v>0</v>
      </c>
      <c r="G17" s="159"/>
    </row>
    <row r="18" spans="1:7" ht="60.9" customHeight="1" x14ac:dyDescent="0.3">
      <c r="A18" s="272" t="s">
        <v>79</v>
      </c>
      <c r="B18" s="7" t="s">
        <v>420</v>
      </c>
      <c r="C18" s="10"/>
      <c r="D18" s="47" t="s">
        <v>70</v>
      </c>
      <c r="E18" s="276" t="s">
        <v>113</v>
      </c>
      <c r="F18" s="73">
        <f>IF(C18="Y",1,0)</f>
        <v>0</v>
      </c>
      <c r="G18" s="159"/>
    </row>
    <row r="19" spans="1:7" x14ac:dyDescent="0.3">
      <c r="A19" s="260"/>
      <c r="B19" s="499" t="s">
        <v>421</v>
      </c>
      <c r="C19" s="499"/>
      <c r="D19" s="499"/>
      <c r="E19" s="499"/>
      <c r="F19" s="261">
        <f>SUM(F13:F18)</f>
        <v>0</v>
      </c>
      <c r="G19" s="262"/>
    </row>
    <row r="20" spans="1:7" x14ac:dyDescent="0.3">
      <c r="A20" s="249" t="s">
        <v>422</v>
      </c>
      <c r="B20" s="498" t="s">
        <v>58</v>
      </c>
      <c r="C20" s="498"/>
      <c r="D20" s="498"/>
      <c r="E20" s="250">
        <v>5</v>
      </c>
      <c r="F20" s="251">
        <f>MIN(SUM(F25,F30, F33),5)</f>
        <v>0</v>
      </c>
      <c r="G20" s="249"/>
    </row>
    <row r="21" spans="1:7" x14ac:dyDescent="0.3">
      <c r="A21" s="252" t="s">
        <v>423</v>
      </c>
      <c r="B21" s="253" t="s">
        <v>424</v>
      </c>
      <c r="C21" s="253"/>
      <c r="D21" s="254"/>
      <c r="E21" s="255"/>
      <c r="F21" s="256"/>
      <c r="G21" s="255"/>
    </row>
    <row r="22" spans="1:7" ht="46.8" x14ac:dyDescent="0.3">
      <c r="A22" s="272" t="s">
        <v>72</v>
      </c>
      <c r="B22" s="7" t="s">
        <v>425</v>
      </c>
      <c r="C22" s="10"/>
      <c r="D22" s="47" t="s">
        <v>70</v>
      </c>
      <c r="E22" s="276" t="s">
        <v>113</v>
      </c>
      <c r="F22" s="73">
        <f>IF(C22="Y",1,0)</f>
        <v>0</v>
      </c>
      <c r="G22" s="159"/>
    </row>
    <row r="23" spans="1:7" ht="62.4" x14ac:dyDescent="0.3">
      <c r="A23" s="272" t="s">
        <v>75</v>
      </c>
      <c r="B23" s="7" t="s">
        <v>426</v>
      </c>
      <c r="C23" s="10"/>
      <c r="D23" s="47" t="s">
        <v>70</v>
      </c>
      <c r="E23" s="276" t="s">
        <v>130</v>
      </c>
      <c r="F23" s="73">
        <f>IF(C23="Y",2,0)</f>
        <v>0</v>
      </c>
      <c r="G23" s="159"/>
    </row>
    <row r="24" spans="1:7" ht="31.2" x14ac:dyDescent="0.3">
      <c r="A24" s="272" t="s">
        <v>79</v>
      </c>
      <c r="B24" s="7" t="s">
        <v>427</v>
      </c>
      <c r="C24" s="10"/>
      <c r="D24" s="47" t="s">
        <v>70</v>
      </c>
      <c r="E24" s="276" t="s">
        <v>113</v>
      </c>
      <c r="F24" s="73">
        <f>IF(C24="Y",1,0)</f>
        <v>0</v>
      </c>
      <c r="G24" s="159"/>
    </row>
    <row r="25" spans="1:7" x14ac:dyDescent="0.3">
      <c r="A25" s="260"/>
      <c r="B25" s="499" t="s">
        <v>428</v>
      </c>
      <c r="C25" s="499"/>
      <c r="D25" s="499"/>
      <c r="E25" s="499"/>
      <c r="F25" s="261">
        <f>SUM(F22:F24)</f>
        <v>0</v>
      </c>
      <c r="G25" s="262"/>
    </row>
    <row r="26" spans="1:7" x14ac:dyDescent="0.3">
      <c r="A26" s="252" t="s">
        <v>429</v>
      </c>
      <c r="B26" s="253" t="s">
        <v>430</v>
      </c>
      <c r="C26" s="253"/>
      <c r="D26" s="254"/>
      <c r="E26" s="255"/>
      <c r="F26" s="256"/>
      <c r="G26" s="255"/>
    </row>
    <row r="27" spans="1:7" ht="62.4" x14ac:dyDescent="0.3">
      <c r="A27" s="272" t="s">
        <v>72</v>
      </c>
      <c r="B27" s="316" t="s">
        <v>431</v>
      </c>
      <c r="C27" s="258" t="s">
        <v>141</v>
      </c>
      <c r="D27" s="47" t="s">
        <v>141</v>
      </c>
      <c r="E27" s="259" t="s">
        <v>141</v>
      </c>
      <c r="F27" s="47" t="s">
        <v>141</v>
      </c>
      <c r="G27" s="159"/>
    </row>
    <row r="28" spans="1:7" ht="31.2" x14ac:dyDescent="0.3">
      <c r="A28" s="272" t="s">
        <v>75</v>
      </c>
      <c r="B28" s="316" t="s">
        <v>432</v>
      </c>
      <c r="C28" s="258" t="s">
        <v>141</v>
      </c>
      <c r="D28" s="47" t="s">
        <v>141</v>
      </c>
      <c r="E28" s="259" t="s">
        <v>141</v>
      </c>
      <c r="F28" s="47" t="s">
        <v>141</v>
      </c>
      <c r="G28" s="162"/>
    </row>
    <row r="29" spans="1:7" ht="31.2" x14ac:dyDescent="0.3">
      <c r="A29" s="272" t="s">
        <v>79</v>
      </c>
      <c r="B29" s="316" t="s">
        <v>433</v>
      </c>
      <c r="C29" s="258" t="s">
        <v>141</v>
      </c>
      <c r="D29" s="47" t="s">
        <v>141</v>
      </c>
      <c r="E29" s="259" t="s">
        <v>141</v>
      </c>
      <c r="F29" s="47" t="s">
        <v>141</v>
      </c>
      <c r="G29" s="162"/>
    </row>
    <row r="30" spans="1:7" x14ac:dyDescent="0.3">
      <c r="A30" s="260"/>
      <c r="B30" s="499" t="s">
        <v>434</v>
      </c>
      <c r="C30" s="499"/>
      <c r="D30" s="499"/>
      <c r="E30" s="499"/>
      <c r="F30" s="261">
        <f>SUM(F27:F29)</f>
        <v>0</v>
      </c>
      <c r="G30" s="262"/>
    </row>
    <row r="31" spans="1:7" x14ac:dyDescent="0.3">
      <c r="A31" s="252" t="s">
        <v>435</v>
      </c>
      <c r="B31" s="253" t="s">
        <v>436</v>
      </c>
      <c r="C31" s="253"/>
      <c r="D31" s="254"/>
      <c r="E31" s="255"/>
      <c r="F31" s="256"/>
      <c r="G31" s="255"/>
    </row>
    <row r="32" spans="1:7" ht="109.2" x14ac:dyDescent="0.3">
      <c r="A32" s="272" t="s">
        <v>72</v>
      </c>
      <c r="B32" s="316" t="s">
        <v>437</v>
      </c>
      <c r="C32" s="10"/>
      <c r="D32" s="47" t="s">
        <v>70</v>
      </c>
      <c r="E32" s="264" t="s">
        <v>130</v>
      </c>
      <c r="F32" s="73">
        <f>IF(C32="Y",2,0)</f>
        <v>0</v>
      </c>
      <c r="G32" s="159"/>
    </row>
    <row r="33" spans="1:7" x14ac:dyDescent="0.3">
      <c r="A33" s="260"/>
      <c r="B33" s="499" t="s">
        <v>438</v>
      </c>
      <c r="C33" s="499"/>
      <c r="D33" s="499"/>
      <c r="E33" s="499"/>
      <c r="F33" s="261">
        <f>SUM(F32:F32)</f>
        <v>0</v>
      </c>
      <c r="G33" s="262"/>
    </row>
    <row r="34" spans="1:7" x14ac:dyDescent="0.3">
      <c r="A34" s="249" t="s">
        <v>439</v>
      </c>
      <c r="B34" s="498" t="s">
        <v>60</v>
      </c>
      <c r="C34" s="498"/>
      <c r="D34" s="498"/>
      <c r="E34" s="250">
        <v>5</v>
      </c>
      <c r="F34" s="251">
        <f>MIN(SUM(F40,F45,F48, F51, F59),5)</f>
        <v>0</v>
      </c>
      <c r="G34" s="249"/>
    </row>
    <row r="35" spans="1:7" x14ac:dyDescent="0.3">
      <c r="A35" s="252" t="s">
        <v>440</v>
      </c>
      <c r="B35" s="253" t="s">
        <v>441</v>
      </c>
      <c r="C35" s="253"/>
      <c r="D35" s="254"/>
      <c r="E35" s="255"/>
      <c r="F35" s="256"/>
      <c r="G35" s="255"/>
    </row>
    <row r="36" spans="1:7" ht="46.8" x14ac:dyDescent="0.3">
      <c r="A36" s="272" t="s">
        <v>72</v>
      </c>
      <c r="B36" s="7" t="s">
        <v>442</v>
      </c>
      <c r="C36" s="258" t="s">
        <v>141</v>
      </c>
      <c r="D36" s="47" t="s">
        <v>141</v>
      </c>
      <c r="E36" s="259" t="s">
        <v>141</v>
      </c>
      <c r="F36" s="47" t="s">
        <v>141</v>
      </c>
      <c r="G36" s="159"/>
    </row>
    <row r="37" spans="1:7" ht="46.8" x14ac:dyDescent="0.3">
      <c r="A37" s="272" t="s">
        <v>75</v>
      </c>
      <c r="B37" s="285" t="s">
        <v>443</v>
      </c>
      <c r="C37" s="258" t="s">
        <v>141</v>
      </c>
      <c r="D37" s="47" t="s">
        <v>141</v>
      </c>
      <c r="E37" s="259" t="s">
        <v>141</v>
      </c>
      <c r="F37" s="47" t="s">
        <v>141</v>
      </c>
      <c r="G37" s="159"/>
    </row>
    <row r="38" spans="1:7" ht="62.4" x14ac:dyDescent="0.3">
      <c r="A38" s="272" t="s">
        <v>79</v>
      </c>
      <c r="B38" s="285" t="s">
        <v>444</v>
      </c>
      <c r="C38" s="258" t="s">
        <v>141</v>
      </c>
      <c r="D38" s="47" t="s">
        <v>141</v>
      </c>
      <c r="E38" s="259" t="s">
        <v>141</v>
      </c>
      <c r="F38" s="47" t="s">
        <v>141</v>
      </c>
      <c r="G38" s="159"/>
    </row>
    <row r="39" spans="1:7" ht="46.8" x14ac:dyDescent="0.3">
      <c r="A39" s="272" t="s">
        <v>82</v>
      </c>
      <c r="B39" s="285" t="s">
        <v>445</v>
      </c>
      <c r="C39" s="258" t="s">
        <v>141</v>
      </c>
      <c r="D39" s="47" t="s">
        <v>141</v>
      </c>
      <c r="E39" s="259" t="s">
        <v>141</v>
      </c>
      <c r="F39" s="47" t="s">
        <v>141</v>
      </c>
      <c r="G39" s="159"/>
    </row>
    <row r="40" spans="1:7" x14ac:dyDescent="0.3">
      <c r="A40" s="260"/>
      <c r="B40" s="499" t="s">
        <v>446</v>
      </c>
      <c r="C40" s="499"/>
      <c r="D40" s="499"/>
      <c r="E40" s="499"/>
      <c r="F40" s="261">
        <f>SUM(F36:F39)</f>
        <v>0</v>
      </c>
      <c r="G40" s="262"/>
    </row>
    <row r="41" spans="1:7" x14ac:dyDescent="0.3">
      <c r="A41" s="252" t="s">
        <v>447</v>
      </c>
      <c r="B41" s="253" t="s">
        <v>448</v>
      </c>
      <c r="C41" s="253"/>
      <c r="D41" s="254"/>
      <c r="E41" s="255"/>
      <c r="F41" s="256"/>
      <c r="G41" s="255"/>
    </row>
    <row r="42" spans="1:7" x14ac:dyDescent="0.3">
      <c r="A42" s="8"/>
      <c r="B42" s="9" t="s">
        <v>449</v>
      </c>
      <c r="C42" s="257"/>
      <c r="D42" s="47"/>
      <c r="E42" s="276"/>
      <c r="F42" s="73"/>
      <c r="G42" s="159"/>
    </row>
    <row r="43" spans="1:7" ht="31.2" x14ac:dyDescent="0.3">
      <c r="A43" s="272" t="s">
        <v>72</v>
      </c>
      <c r="B43" s="99" t="s">
        <v>450</v>
      </c>
      <c r="C43" s="258" t="s">
        <v>141</v>
      </c>
      <c r="D43" s="47" t="s">
        <v>141</v>
      </c>
      <c r="E43" s="259" t="s">
        <v>141</v>
      </c>
      <c r="F43" s="47" t="s">
        <v>141</v>
      </c>
      <c r="G43" s="159"/>
    </row>
    <row r="44" spans="1:7" x14ac:dyDescent="0.3">
      <c r="A44" s="272" t="s">
        <v>75</v>
      </c>
      <c r="B44" s="99" t="s">
        <v>451</v>
      </c>
      <c r="C44" s="258" t="s">
        <v>141</v>
      </c>
      <c r="D44" s="47" t="s">
        <v>141</v>
      </c>
      <c r="E44" s="259" t="s">
        <v>141</v>
      </c>
      <c r="F44" s="47" t="s">
        <v>141</v>
      </c>
      <c r="G44" s="159"/>
    </row>
    <row r="45" spans="1:7" ht="15.6" customHeight="1" x14ac:dyDescent="0.3">
      <c r="A45" s="260"/>
      <c r="B45" s="499" t="s">
        <v>452</v>
      </c>
      <c r="C45" s="499"/>
      <c r="D45" s="499"/>
      <c r="E45" s="499"/>
      <c r="F45" s="261">
        <f>SUM(F43:F44)</f>
        <v>0</v>
      </c>
      <c r="G45" s="262"/>
    </row>
    <row r="46" spans="1:7" ht="31.2" x14ac:dyDescent="0.3">
      <c r="A46" s="252" t="s">
        <v>453</v>
      </c>
      <c r="B46" s="253" t="s">
        <v>454</v>
      </c>
      <c r="C46" s="253"/>
      <c r="D46" s="254"/>
      <c r="E46" s="255"/>
      <c r="F46" s="256"/>
      <c r="G46" s="255"/>
    </row>
    <row r="47" spans="1:7" ht="31.2" x14ac:dyDescent="0.3">
      <c r="A47" s="317"/>
      <c r="B47" s="99" t="s">
        <v>455</v>
      </c>
      <c r="C47" s="258" t="s">
        <v>141</v>
      </c>
      <c r="D47" s="47" t="s">
        <v>141</v>
      </c>
      <c r="E47" s="259" t="s">
        <v>141</v>
      </c>
      <c r="F47" s="47" t="s">
        <v>141</v>
      </c>
      <c r="G47" s="159"/>
    </row>
    <row r="48" spans="1:7" ht="15.6" customHeight="1" x14ac:dyDescent="0.3">
      <c r="A48" s="260"/>
      <c r="B48" s="499" t="s">
        <v>456</v>
      </c>
      <c r="C48" s="499"/>
      <c r="D48" s="499"/>
      <c r="E48" s="499"/>
      <c r="F48" s="261">
        <f>SUM(F47:F47)</f>
        <v>0</v>
      </c>
      <c r="G48" s="262"/>
    </row>
    <row r="49" spans="1:7" x14ac:dyDescent="0.3">
      <c r="A49" s="252" t="s">
        <v>457</v>
      </c>
      <c r="B49" s="253" t="s">
        <v>458</v>
      </c>
      <c r="C49" s="253"/>
      <c r="D49" s="254"/>
      <c r="E49" s="255"/>
      <c r="F49" s="256"/>
      <c r="G49" s="255"/>
    </row>
    <row r="50" spans="1:7" ht="46.8" x14ac:dyDescent="0.3">
      <c r="A50" s="317"/>
      <c r="B50" s="99" t="s">
        <v>459</v>
      </c>
      <c r="C50" s="258" t="s">
        <v>141</v>
      </c>
      <c r="D50" s="47" t="s">
        <v>141</v>
      </c>
      <c r="E50" s="259" t="s">
        <v>141</v>
      </c>
      <c r="F50" s="47" t="s">
        <v>141</v>
      </c>
      <c r="G50" s="159"/>
    </row>
    <row r="51" spans="1:7" ht="15.6" customHeight="1" x14ac:dyDescent="0.3">
      <c r="A51" s="260"/>
      <c r="B51" s="499" t="s">
        <v>460</v>
      </c>
      <c r="C51" s="499"/>
      <c r="D51" s="499"/>
      <c r="E51" s="499"/>
      <c r="F51" s="261">
        <f>SUM(F50:F50)</f>
        <v>0</v>
      </c>
      <c r="G51" s="262"/>
    </row>
    <row r="52" spans="1:7" x14ac:dyDescent="0.3">
      <c r="A52" s="252" t="s">
        <v>461</v>
      </c>
      <c r="B52" s="253" t="s">
        <v>462</v>
      </c>
      <c r="C52" s="253"/>
      <c r="D52" s="254"/>
      <c r="E52" s="255"/>
      <c r="F52" s="256"/>
      <c r="G52" s="255"/>
    </row>
    <row r="53" spans="1:7" ht="93.6" x14ac:dyDescent="0.3">
      <c r="A53" s="272" t="s">
        <v>72</v>
      </c>
      <c r="B53" s="99" t="s">
        <v>463</v>
      </c>
      <c r="C53" s="10"/>
      <c r="D53" s="47" t="s">
        <v>70</v>
      </c>
      <c r="E53" s="276" t="s">
        <v>169</v>
      </c>
      <c r="F53" s="73">
        <f>IF(C53="Y",0.5,0)</f>
        <v>0</v>
      </c>
      <c r="G53" s="159"/>
    </row>
    <row r="54" spans="1:7" ht="46.8" x14ac:dyDescent="0.3">
      <c r="A54" s="272" t="s">
        <v>75</v>
      </c>
      <c r="B54" s="99" t="s">
        <v>464</v>
      </c>
      <c r="C54" s="10"/>
      <c r="D54" s="47" t="s">
        <v>70</v>
      </c>
      <c r="E54" s="276" t="s">
        <v>169</v>
      </c>
      <c r="F54" s="73">
        <f t="shared" ref="F54" si="0">IF(C54="Y",0.5,0)</f>
        <v>0</v>
      </c>
      <c r="G54" s="159"/>
    </row>
    <row r="55" spans="1:7" ht="46.8" x14ac:dyDescent="0.3">
      <c r="A55" s="361" t="s">
        <v>79</v>
      </c>
      <c r="B55" s="99" t="s">
        <v>465</v>
      </c>
      <c r="C55" s="10"/>
      <c r="D55" s="47" t="s">
        <v>70</v>
      </c>
      <c r="E55" s="276" t="s">
        <v>169</v>
      </c>
      <c r="F55" s="73">
        <f t="shared" ref="F55:F58" si="1">IF(C55="Y",0.5,0)</f>
        <v>0</v>
      </c>
      <c r="G55" s="159"/>
    </row>
    <row r="56" spans="1:7" x14ac:dyDescent="0.3">
      <c r="A56" s="496"/>
      <c r="B56" s="99" t="s">
        <v>466</v>
      </c>
      <c r="C56" s="10"/>
      <c r="D56" s="47" t="s">
        <v>70</v>
      </c>
      <c r="E56" s="276" t="s">
        <v>169</v>
      </c>
      <c r="F56" s="73">
        <f t="shared" si="1"/>
        <v>0</v>
      </c>
      <c r="G56" s="159"/>
    </row>
    <row r="57" spans="1:7" ht="46.8" x14ac:dyDescent="0.3">
      <c r="A57" s="361" t="s">
        <v>82</v>
      </c>
      <c r="B57" s="99" t="s">
        <v>467</v>
      </c>
      <c r="C57" s="10"/>
      <c r="D57" s="47" t="s">
        <v>70</v>
      </c>
      <c r="E57" s="276" t="s">
        <v>169</v>
      </c>
      <c r="F57" s="73">
        <f t="shared" si="1"/>
        <v>0</v>
      </c>
      <c r="G57" s="159"/>
    </row>
    <row r="58" spans="1:7" x14ac:dyDescent="0.3">
      <c r="A58" s="496"/>
      <c r="B58" s="99" t="s">
        <v>468</v>
      </c>
      <c r="C58" s="10"/>
      <c r="D58" s="47" t="s">
        <v>70</v>
      </c>
      <c r="E58" s="276" t="s">
        <v>169</v>
      </c>
      <c r="F58" s="73">
        <f t="shared" si="1"/>
        <v>0</v>
      </c>
      <c r="G58" s="159"/>
    </row>
    <row r="59" spans="1:7" ht="15.6" customHeight="1" x14ac:dyDescent="0.3">
      <c r="A59" s="260"/>
      <c r="B59" s="499" t="s">
        <v>469</v>
      </c>
      <c r="C59" s="499"/>
      <c r="D59" s="499"/>
      <c r="E59" s="499"/>
      <c r="F59" s="261">
        <f>SUM(F53:F58)</f>
        <v>0</v>
      </c>
      <c r="G59" s="262"/>
    </row>
    <row r="60" spans="1:7" x14ac:dyDescent="0.3">
      <c r="A60" s="249"/>
      <c r="B60" s="498" t="s">
        <v>470</v>
      </c>
      <c r="C60" s="498"/>
      <c r="D60" s="498"/>
      <c r="E60" s="250">
        <v>2</v>
      </c>
      <c r="F60" s="251">
        <f>MIN(SUM(F62:F63),2)</f>
        <v>0</v>
      </c>
      <c r="G60" s="249"/>
    </row>
    <row r="61" spans="1:7" ht="62.4" x14ac:dyDescent="0.3">
      <c r="A61" s="252"/>
      <c r="B61" s="253" t="s">
        <v>471</v>
      </c>
      <c r="C61" s="253"/>
      <c r="D61" s="500" t="s">
        <v>198</v>
      </c>
      <c r="E61" s="501"/>
      <c r="F61" s="502"/>
      <c r="G61" s="265" t="s">
        <v>199</v>
      </c>
    </row>
    <row r="62" spans="1:7" ht="151.5" customHeight="1" x14ac:dyDescent="0.3">
      <c r="A62" s="415"/>
      <c r="B62" s="503" t="s">
        <v>524</v>
      </c>
      <c r="C62" s="10"/>
      <c r="D62" s="47" t="s">
        <v>74</v>
      </c>
      <c r="E62" s="370" t="s">
        <v>472</v>
      </c>
      <c r="F62" s="318">
        <f>C62</f>
        <v>0</v>
      </c>
      <c r="G62" s="243" t="s">
        <v>202</v>
      </c>
    </row>
    <row r="63" spans="1:7" ht="160.5" customHeight="1" x14ac:dyDescent="0.3">
      <c r="A63" s="415"/>
      <c r="B63" s="504"/>
      <c r="C63" s="10"/>
      <c r="D63" s="47" t="s">
        <v>74</v>
      </c>
      <c r="E63" s="371"/>
      <c r="F63" s="318">
        <f>C63</f>
        <v>0</v>
      </c>
      <c r="G63" s="319" t="s">
        <v>473</v>
      </c>
    </row>
  </sheetData>
  <sheetProtection algorithmName="SHA-512" hashValue="U68p3oDtQ6At/pb/wGwMVzDVT/8p+yLSjrXEI5gGlxeW7x/O+sms0voFCRPqbETsVq3o6OFv4XE0ERpb5WZMJw==" saltValue="9qr8ktota/lL3kbwtgYjsA==" spinCount="100000" sheet="1" formatCells="0" selectLockedCells="1"/>
  <mergeCells count="24">
    <mergeCell ref="B59:E59"/>
    <mergeCell ref="B60:D60"/>
    <mergeCell ref="D61:F61"/>
    <mergeCell ref="A62:A63"/>
    <mergeCell ref="B62:B63"/>
    <mergeCell ref="E62:E63"/>
    <mergeCell ref="A57:A58"/>
    <mergeCell ref="B19:E19"/>
    <mergeCell ref="B20:D20"/>
    <mergeCell ref="B25:E25"/>
    <mergeCell ref="B30:E30"/>
    <mergeCell ref="B33:E33"/>
    <mergeCell ref="B34:D34"/>
    <mergeCell ref="B40:E40"/>
    <mergeCell ref="B45:E45"/>
    <mergeCell ref="B48:E48"/>
    <mergeCell ref="B51:E51"/>
    <mergeCell ref="A55:A56"/>
    <mergeCell ref="A15:A17"/>
    <mergeCell ref="A2:D2"/>
    <mergeCell ref="B3:D3"/>
    <mergeCell ref="A6:A8"/>
    <mergeCell ref="B10:E10"/>
    <mergeCell ref="A12:A14"/>
  </mergeCells>
  <dataValidations count="3">
    <dataValidation allowBlank="1" showInputMessage="1" showErrorMessage="1" prompt="Please list down short description of your innovation." sqref="G62:G63" xr:uid="{3F8D1B1D-405C-4A14-BA63-3EC550B7FD40}"/>
    <dataValidation type="decimal" allowBlank="1" showErrorMessage="1" error="Please enter 0.5 or 1 or 1.5 or 2." prompt="Please Enter 0 or 1 or 1.5 or 2." sqref="F62:F63" xr:uid="{B55010AD-27FF-4F80-A3D9-C16B1C4A86AB}">
      <formula1>0</formula1>
      <formula2>2</formula2>
    </dataValidation>
    <dataValidation type="list" allowBlank="1" showInputMessage="1" showErrorMessage="1" sqref="C32 C22:C24 C16:C18 C5 C9 C13:C14 C53:C58" xr:uid="{221F8843-A1C4-4254-83FD-5D25815D5869}">
      <formula1>"Y,N"</formula1>
    </dataValidation>
  </dataValidations>
  <pageMargins left="0.7" right="0.7" top="0.75" bottom="0.75" header="0.3" footer="0.3"/>
  <pageSetup paperSize="9" orientation="portrait" r:id="rId1"/>
  <ignoredErrors>
    <ignoredError sqref="F23"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Normal="100" zoomScaleSheetLayoutView="70" workbookViewId="0">
      <selection activeCell="H15" sqref="H15"/>
    </sheetView>
  </sheetViews>
  <sheetFormatPr defaultRowHeight="15.6" x14ac:dyDescent="0.3"/>
  <cols>
    <col min="1" max="1" width="8.33203125" style="1" customWidth="1"/>
    <col min="2" max="2" width="65.6640625" customWidth="1"/>
    <col min="3" max="4" width="10.44140625" customWidth="1"/>
    <col min="5" max="6" width="10.44140625" style="19" customWidth="1"/>
    <col min="7" max="7" width="18.33203125" customWidth="1"/>
    <col min="8" max="8" width="45.109375" style="11" customWidth="1"/>
    <col min="9" max="9" width="50.6640625" style="11" customWidth="1"/>
    <col min="10" max="10" width="17.33203125" hidden="1" customWidth="1"/>
    <col min="11" max="14" width="9.109375" hidden="1" customWidth="1"/>
  </cols>
  <sheetData>
    <row r="1" spans="1:14" ht="16.2" thickBot="1" x14ac:dyDescent="0.35"/>
    <row r="2" spans="1:14" ht="21" x14ac:dyDescent="0.3">
      <c r="A2" s="534" t="s">
        <v>474</v>
      </c>
      <c r="B2" s="535"/>
      <c r="C2" s="535"/>
      <c r="D2" s="535"/>
      <c r="E2" s="535"/>
      <c r="F2" s="535"/>
      <c r="G2" s="536"/>
      <c r="H2" s="298"/>
      <c r="I2" s="298"/>
    </row>
    <row r="3" spans="1:14" ht="85.5" customHeight="1" x14ac:dyDescent="0.3">
      <c r="A3" s="526"/>
      <c r="B3" s="527"/>
      <c r="C3" s="527"/>
      <c r="D3" s="527"/>
      <c r="E3" s="527"/>
      <c r="F3" s="527"/>
      <c r="G3" s="528"/>
      <c r="H3" s="298"/>
      <c r="I3" s="298"/>
    </row>
    <row r="4" spans="1:14" ht="197.1" customHeight="1" thickBot="1" x14ac:dyDescent="0.35">
      <c r="A4" s="529" t="s">
        <v>475</v>
      </c>
      <c r="B4" s="530"/>
      <c r="C4" s="530"/>
      <c r="D4" s="530"/>
      <c r="E4" s="530"/>
      <c r="F4" s="530"/>
      <c r="G4" s="531"/>
      <c r="H4" s="298"/>
      <c r="I4" s="298"/>
    </row>
    <row r="5" spans="1:14" x14ac:dyDescent="0.3">
      <c r="H5" s="298"/>
      <c r="I5" s="298"/>
    </row>
    <row r="6" spans="1:14" ht="30.9" customHeight="1" x14ac:dyDescent="0.3">
      <c r="A6" s="2"/>
      <c r="B6" s="3" t="s">
        <v>476</v>
      </c>
      <c r="C6" s="514" t="s">
        <v>477</v>
      </c>
      <c r="D6" s="514"/>
      <c r="E6" s="514" t="s">
        <v>478</v>
      </c>
      <c r="F6" s="514"/>
      <c r="G6" s="45" t="s">
        <v>479</v>
      </c>
      <c r="H6" s="298"/>
      <c r="I6" s="298"/>
      <c r="K6" s="514" t="s">
        <v>478</v>
      </c>
      <c r="L6" s="514"/>
      <c r="M6" s="514" t="s">
        <v>478</v>
      </c>
      <c r="N6" s="514"/>
    </row>
    <row r="7" spans="1:14" ht="18" x14ac:dyDescent="0.3">
      <c r="A7" s="522" t="s">
        <v>34</v>
      </c>
      <c r="B7" s="523"/>
      <c r="C7" s="532">
        <f>'[3]Maintainability Score Summary'!$K$23</f>
        <v>71</v>
      </c>
      <c r="D7" s="336"/>
      <c r="E7" s="336"/>
      <c r="F7" s="336"/>
      <c r="G7" s="308"/>
      <c r="H7" s="298"/>
      <c r="I7" s="298"/>
      <c r="K7" s="336"/>
      <c r="L7" s="336"/>
      <c r="M7" s="336"/>
      <c r="N7" s="336"/>
    </row>
    <row r="8" spans="1:14" x14ac:dyDescent="0.3">
      <c r="A8" s="524" t="s">
        <v>480</v>
      </c>
      <c r="B8" s="524"/>
      <c r="C8" s="511">
        <f>'[3]Maintainability Score Summary'!$E$6</f>
        <v>3</v>
      </c>
      <c r="D8" s="512"/>
      <c r="E8" s="511">
        <f>MAX(K8:N8)</f>
        <v>0</v>
      </c>
      <c r="F8" s="512"/>
      <c r="G8" s="297" t="str">
        <f>IF(G9="","",G9)</f>
        <v/>
      </c>
      <c r="H8" s="298"/>
      <c r="I8" s="298"/>
      <c r="K8" s="511">
        <f>'[3]Maintainability Score Summary'!$F$6</f>
        <v>0</v>
      </c>
      <c r="L8" s="512"/>
      <c r="M8" s="511">
        <f>IF(K8=0,'[4]Maintainability Score Summary'!$F$6,0)</f>
        <v>0</v>
      </c>
      <c r="N8" s="512"/>
    </row>
    <row r="9" spans="1:14" x14ac:dyDescent="0.3">
      <c r="A9" s="259">
        <v>0.1</v>
      </c>
      <c r="B9" s="20" t="str">
        <f>'[3]Maintainability Score Summary'!$B$7</f>
        <v>General Project Requirement</v>
      </c>
      <c r="C9" s="533">
        <f>'[3]Maintainability Score Summary'!$E$7</f>
        <v>3</v>
      </c>
      <c r="D9" s="533"/>
      <c r="E9" s="533">
        <f t="shared" ref="E9:E13" si="0">MAX(K9:N9)</f>
        <v>0</v>
      </c>
      <c r="F9" s="533"/>
      <c r="G9" s="306"/>
      <c r="H9" s="298"/>
      <c r="I9" s="298"/>
      <c r="K9" s="505">
        <f>'[3]Maintainability Score Summary'!$F$7</f>
        <v>0</v>
      </c>
      <c r="L9" s="376"/>
      <c r="M9" s="505">
        <f>IF(K9=0,'[4]Maintainability Score Summary'!$F$7,0)</f>
        <v>0</v>
      </c>
      <c r="N9" s="376"/>
    </row>
    <row r="10" spans="1:14" x14ac:dyDescent="0.3">
      <c r="A10" s="524" t="s">
        <v>481</v>
      </c>
      <c r="B10" s="524"/>
      <c r="C10" s="512">
        <f>'[3]Maintainability Score Summary'!$E$8</f>
        <v>11.5</v>
      </c>
      <c r="D10" s="512"/>
      <c r="E10" s="512">
        <f t="shared" si="0"/>
        <v>0</v>
      </c>
      <c r="F10" s="512"/>
      <c r="G10" s="297" t="str">
        <f>IF(OR(G11="",G13="",G17=""),"",SUM(G17,G13,G11))</f>
        <v/>
      </c>
      <c r="H10" s="298"/>
      <c r="I10" s="298"/>
      <c r="K10" s="511">
        <f>'[3]Maintainability Score Summary'!$F$8</f>
        <v>0</v>
      </c>
      <c r="L10" s="512"/>
      <c r="M10" s="511">
        <f>IF(K10=0,'[4]Maintainability Score Summary'!$F$8,0)</f>
        <v>0</v>
      </c>
      <c r="N10" s="512"/>
    </row>
    <row r="11" spans="1:14" x14ac:dyDescent="0.3">
      <c r="A11" s="537" t="str">
        <f>'[3]Maintainability Score Summary'!$A$9</f>
        <v>Part A - General Façade</v>
      </c>
      <c r="B11" s="538"/>
      <c r="C11" s="516">
        <f>'[3]Maintainability Score Summary'!$E$9</f>
        <v>0.5</v>
      </c>
      <c r="D11" s="516"/>
      <c r="E11" s="516">
        <f t="shared" si="0"/>
        <v>0</v>
      </c>
      <c r="F11" s="516"/>
      <c r="G11" s="307" t="str">
        <f>IF(G12="","",G12)</f>
        <v/>
      </c>
      <c r="H11" s="298"/>
      <c r="I11" s="298"/>
      <c r="K11" s="515">
        <f>'[3]Maintainability Score Summary'!$F$9</f>
        <v>0</v>
      </c>
      <c r="L11" s="516"/>
      <c r="M11" s="515">
        <f>IF(K11=0,'[4]Maintainability Score Summary'!$F$9,0)</f>
        <v>0</v>
      </c>
      <c r="N11" s="516"/>
    </row>
    <row r="12" spans="1:14" x14ac:dyDescent="0.3">
      <c r="A12" s="6">
        <v>1.1000000000000001</v>
      </c>
      <c r="B12" s="7" t="str">
        <f>'[3]Maintainability Score Summary'!$B$10</f>
        <v>General Façade</v>
      </c>
      <c r="C12" s="376">
        <f>'[3]Maintainability Score Summary'!$E$10</f>
        <v>0.5</v>
      </c>
      <c r="D12" s="376"/>
      <c r="E12" s="376">
        <f t="shared" si="0"/>
        <v>0</v>
      </c>
      <c r="F12" s="376"/>
      <c r="G12" s="306"/>
      <c r="H12" s="298"/>
      <c r="I12" s="298"/>
      <c r="K12" s="505">
        <f>'[3]Maintainability Score Summary'!$F$10</f>
        <v>0</v>
      </c>
      <c r="L12" s="376"/>
      <c r="M12" s="505">
        <f>IF(K12=0,'[4]Maintainability Score Summary'!$F$10,0)</f>
        <v>0</v>
      </c>
      <c r="N12" s="376"/>
    </row>
    <row r="13" spans="1:14" x14ac:dyDescent="0.3">
      <c r="A13" s="537" t="str">
        <f>'[3]Maintainability Score Summary'!$A$11</f>
        <v>Part B - Façade System</v>
      </c>
      <c r="B13" s="538"/>
      <c r="C13" s="516">
        <f>'[3]Maintainability Score Summary'!$E$11</f>
        <v>4</v>
      </c>
      <c r="D13" s="516"/>
      <c r="E13" s="516">
        <f t="shared" si="0"/>
        <v>0</v>
      </c>
      <c r="F13" s="516"/>
      <c r="G13" s="307" t="str">
        <f>IF(G14="","",G14)</f>
        <v/>
      </c>
      <c r="H13" s="298"/>
      <c r="I13" s="298"/>
      <c r="K13" s="515">
        <f>'[3]Maintainability Score Summary'!$F$11</f>
        <v>0</v>
      </c>
      <c r="L13" s="516"/>
      <c r="M13" s="515">
        <f>IF(K13=0,'[4]Maintainability Score Summary'!$F$11,0)</f>
        <v>0</v>
      </c>
      <c r="N13" s="516"/>
    </row>
    <row r="14" spans="1:14" x14ac:dyDescent="0.3">
      <c r="A14" s="6">
        <v>1.2</v>
      </c>
      <c r="B14" s="7" t="str">
        <f>'[3]Maintainability Score Summary'!$B$12</f>
        <v>Cladding system: Tile/ Stone/ Metal/ Others</v>
      </c>
      <c r="C14" s="376">
        <f>'[3]Maintainability Score Summary'!$E$12</f>
        <v>4</v>
      </c>
      <c r="D14" s="376"/>
      <c r="E14" s="376">
        <f>MAX(K14:N16)</f>
        <v>0</v>
      </c>
      <c r="F14" s="376"/>
      <c r="G14" s="540"/>
      <c r="H14" s="298"/>
      <c r="I14" s="298"/>
      <c r="K14" s="517">
        <f>'[3]Maintainability Score Summary'!$F$12</f>
        <v>0</v>
      </c>
      <c r="L14" s="517"/>
      <c r="M14" s="517">
        <f>IF(K14=0,'[4]Maintainability Score Summary'!$F$12,0)</f>
        <v>0</v>
      </c>
      <c r="N14" s="517"/>
    </row>
    <row r="15" spans="1:14" x14ac:dyDescent="0.3">
      <c r="A15" s="6">
        <v>1.3</v>
      </c>
      <c r="B15" s="7" t="str">
        <f>'[3]Maintainability Score Summary'!$B$13</f>
        <v>Curtain Wall: Glazing/ Others</v>
      </c>
      <c r="C15" s="376"/>
      <c r="D15" s="376"/>
      <c r="E15" s="376"/>
      <c r="F15" s="376"/>
      <c r="G15" s="540"/>
      <c r="H15" s="298"/>
      <c r="I15" s="298"/>
      <c r="K15" s="517"/>
      <c r="L15" s="517"/>
      <c r="M15" s="517"/>
      <c r="N15" s="517"/>
    </row>
    <row r="16" spans="1:14" x14ac:dyDescent="0.3">
      <c r="A16" s="6">
        <v>1.4</v>
      </c>
      <c r="B16" s="7" t="str">
        <f>'[3]Maintainability Score Summary'!$B$14</f>
        <v>Masonry and Lightweight Concrete Panels</v>
      </c>
      <c r="C16" s="376"/>
      <c r="D16" s="376"/>
      <c r="E16" s="376"/>
      <c r="F16" s="376"/>
      <c r="G16" s="540"/>
      <c r="H16" s="298"/>
      <c r="I16" s="298"/>
      <c r="K16" s="517"/>
      <c r="L16" s="517"/>
      <c r="M16" s="517"/>
      <c r="N16" s="517"/>
    </row>
    <row r="17" spans="1:14" x14ac:dyDescent="0.3">
      <c r="A17" s="537" t="str">
        <f>'[3]Maintainability Score Summary'!$A$15</f>
        <v>Part C - Others</v>
      </c>
      <c r="B17" s="538"/>
      <c r="C17" s="516">
        <f>'[3]Maintainability Score Summary'!$E$15</f>
        <v>7</v>
      </c>
      <c r="D17" s="516"/>
      <c r="E17" s="516">
        <f t="shared" ref="E17" si="1">MAX(K17:N17)</f>
        <v>0</v>
      </c>
      <c r="F17" s="516"/>
      <c r="G17" s="307" t="str">
        <f>IF(OR(G18="",G19="",G20=""),"",SUM(G18:G20))</f>
        <v/>
      </c>
      <c r="H17" s="298"/>
      <c r="I17" s="298"/>
      <c r="K17" s="515">
        <f>'[3]Maintainability Score Summary'!$F$15</f>
        <v>0</v>
      </c>
      <c r="L17" s="516"/>
      <c r="M17" s="515">
        <f>IF(K17=0,'[4]Maintainability Score Summary'!$F$15,0)</f>
        <v>0</v>
      </c>
      <c r="N17" s="516"/>
    </row>
    <row r="18" spans="1:14" x14ac:dyDescent="0.3">
      <c r="A18" s="6" t="s">
        <v>482</v>
      </c>
      <c r="B18" s="7" t="str">
        <f>'[3]Maintainability Score Summary'!$B$16</f>
        <v>Façade Features/ considerations</v>
      </c>
      <c r="C18" s="376">
        <f>'[3]Maintainability Score Summary'!$E$16</f>
        <v>3</v>
      </c>
      <c r="D18" s="376"/>
      <c r="E18" s="376">
        <f t="shared" ref="E18:E56" si="2">MAX(K18:N18)</f>
        <v>0</v>
      </c>
      <c r="F18" s="376"/>
      <c r="G18" s="306"/>
      <c r="H18" s="298"/>
      <c r="I18" s="298"/>
      <c r="K18" s="505">
        <f>'[3]Maintainability Score Summary'!$F$16</f>
        <v>0</v>
      </c>
      <c r="L18" s="376"/>
      <c r="M18" s="505">
        <f>IF(K18=0,'[4]Maintainability Score Summary'!$F$16,0)</f>
        <v>0</v>
      </c>
      <c r="N18" s="376"/>
    </row>
    <row r="19" spans="1:14" x14ac:dyDescent="0.3">
      <c r="A19" s="6" t="s">
        <v>483</v>
      </c>
      <c r="B19" s="7" t="str">
        <f>'[3]Maintainability Score Summary'!$B$17</f>
        <v>Entrance lobby/ Integrated drop-off points at blocks</v>
      </c>
      <c r="C19" s="376">
        <f>'[3]Maintainability Score Summary'!$E$17</f>
        <v>2</v>
      </c>
      <c r="D19" s="376"/>
      <c r="E19" s="376">
        <f t="shared" si="2"/>
        <v>0</v>
      </c>
      <c r="F19" s="376"/>
      <c r="G19" s="306"/>
      <c r="H19" s="298"/>
      <c r="I19" s="298"/>
      <c r="K19" s="505">
        <f>'[3]Maintainability Score Summary'!$F$17</f>
        <v>0</v>
      </c>
      <c r="L19" s="376"/>
      <c r="M19" s="505">
        <f>IF(K19=0,'[4]Maintainability Score Summary'!$F$17,0)</f>
        <v>0</v>
      </c>
      <c r="N19" s="376"/>
    </row>
    <row r="20" spans="1:14" x14ac:dyDescent="0.3">
      <c r="A20" s="6">
        <v>1.7</v>
      </c>
      <c r="B20" s="7" t="str">
        <f>'[3]Maintainability Score Summary'!$B$18</f>
        <v>Exposed corridors and link bridges</v>
      </c>
      <c r="C20" s="376">
        <f>'[3]Maintainability Score Summary'!$E$18</f>
        <v>2</v>
      </c>
      <c r="D20" s="376"/>
      <c r="E20" s="376">
        <f t="shared" si="2"/>
        <v>0</v>
      </c>
      <c r="F20" s="376"/>
      <c r="G20" s="306"/>
      <c r="H20" s="298"/>
      <c r="I20" s="298"/>
      <c r="K20" s="505">
        <f>'[3]Maintainability Score Summary'!$F$18</f>
        <v>0</v>
      </c>
      <c r="L20" s="376"/>
      <c r="M20" s="505">
        <f>IF(K20=0,'[4]Maintainability Score Summary'!$F$18,0)</f>
        <v>0</v>
      </c>
      <c r="N20" s="376"/>
    </row>
    <row r="21" spans="1:14" x14ac:dyDescent="0.3">
      <c r="A21" s="6">
        <v>1.8</v>
      </c>
      <c r="B21" s="7" t="str">
        <f>'[3]Maintainability Score Summary'!$B$19</f>
        <v>Roof</v>
      </c>
      <c r="C21" s="376" t="str">
        <f>'[3]Maintainability Score Summary'!$E$19</f>
        <v>Pre-req</v>
      </c>
      <c r="D21" s="376"/>
      <c r="E21" s="376">
        <f t="shared" si="2"/>
        <v>0</v>
      </c>
      <c r="F21" s="376"/>
      <c r="G21" s="49"/>
      <c r="H21" s="298"/>
      <c r="I21" s="298"/>
      <c r="K21" s="376"/>
      <c r="L21" s="376"/>
      <c r="M21" s="376"/>
      <c r="N21" s="376"/>
    </row>
    <row r="22" spans="1:14" x14ac:dyDescent="0.3">
      <c r="A22" s="524" t="s">
        <v>484</v>
      </c>
      <c r="B22" s="524" t="s">
        <v>58</v>
      </c>
      <c r="C22" s="512">
        <f>'[3]Maintainability Score Summary'!$E$20</f>
        <v>18.5</v>
      </c>
      <c r="D22" s="512"/>
      <c r="E22" s="512">
        <f t="shared" si="2"/>
        <v>0</v>
      </c>
      <c r="F22" s="512"/>
      <c r="G22" s="297" t="str">
        <f>IF(OR(G23="",G24="",G25="",G26="",G27=""),"",SUM(G23:G27))</f>
        <v/>
      </c>
      <c r="H22" s="298"/>
      <c r="I22" s="298"/>
      <c r="K22" s="511">
        <f>'[3]Maintainability Score Summary'!$F$20</f>
        <v>0</v>
      </c>
      <c r="L22" s="512"/>
      <c r="M22" s="511">
        <f>IF(K22=0,'[4]Maintainability Score Summary'!$F$20,0)</f>
        <v>0</v>
      </c>
      <c r="N22" s="512"/>
    </row>
    <row r="23" spans="1:14" x14ac:dyDescent="0.3">
      <c r="A23" s="6">
        <v>2.1</v>
      </c>
      <c r="B23" s="9" t="str">
        <f>'[3]Maintainability Score Summary'!$B$21</f>
        <v>Floors</v>
      </c>
      <c r="C23" s="376">
        <f>'[3]Maintainability Score Summary'!$E$21</f>
        <v>2.5</v>
      </c>
      <c r="D23" s="376"/>
      <c r="E23" s="376">
        <f t="shared" si="2"/>
        <v>0</v>
      </c>
      <c r="F23" s="376"/>
      <c r="G23" s="306"/>
      <c r="H23" s="298"/>
      <c r="I23" s="298"/>
      <c r="K23" s="505">
        <f>'[3]Maintainability Score Summary'!$F$21</f>
        <v>0</v>
      </c>
      <c r="L23" s="376"/>
      <c r="M23" s="505">
        <f>IF(K23=0,'[4]Maintainability Score Summary'!$F$21,0)</f>
        <v>0</v>
      </c>
      <c r="N23" s="376"/>
    </row>
    <row r="24" spans="1:14" x14ac:dyDescent="0.3">
      <c r="A24" s="6">
        <v>2.2000000000000002</v>
      </c>
      <c r="B24" s="9" t="str">
        <f>'[3]Maintainability Score Summary'!$B$22</f>
        <v>Walls and Partitions</v>
      </c>
      <c r="C24" s="376">
        <f>'[3]Maintainability Score Summary'!$E$22</f>
        <v>1</v>
      </c>
      <c r="D24" s="376"/>
      <c r="E24" s="376">
        <f t="shared" si="2"/>
        <v>0</v>
      </c>
      <c r="F24" s="376"/>
      <c r="G24" s="306"/>
      <c r="H24" s="298"/>
      <c r="I24" s="298"/>
      <c r="K24" s="505">
        <f>'[3]Maintainability Score Summary'!$F$22</f>
        <v>0</v>
      </c>
      <c r="L24" s="376"/>
      <c r="M24" s="505">
        <f>IF(K24=0,'[4]Maintainability Score Summary'!$F$22,0)</f>
        <v>0</v>
      </c>
      <c r="N24" s="376"/>
    </row>
    <row r="25" spans="1:14" x14ac:dyDescent="0.3">
      <c r="A25" s="6">
        <v>2.2999999999999998</v>
      </c>
      <c r="B25" s="9" t="str">
        <f>'[3]Maintainability Score Summary'!$B$23</f>
        <v>Ceiling</v>
      </c>
      <c r="C25" s="376">
        <f>'[3]Maintainability Score Summary'!$E$23</f>
        <v>4</v>
      </c>
      <c r="D25" s="376"/>
      <c r="E25" s="376">
        <f t="shared" si="2"/>
        <v>0</v>
      </c>
      <c r="F25" s="376"/>
      <c r="G25" s="306"/>
      <c r="H25" s="298"/>
      <c r="I25" s="298"/>
      <c r="K25" s="505">
        <f>'[3]Maintainability Score Summary'!$F$23</f>
        <v>0</v>
      </c>
      <c r="L25" s="376"/>
      <c r="M25" s="505">
        <f>IF(K25=0,'[4]Maintainability Score Summary'!$F$23,0)</f>
        <v>0</v>
      </c>
      <c r="N25" s="376"/>
    </row>
    <row r="26" spans="1:14" x14ac:dyDescent="0.3">
      <c r="A26" s="6">
        <v>2.4</v>
      </c>
      <c r="B26" s="9" t="str">
        <f>'[3]Maintainability Score Summary'!$B$24</f>
        <v xml:space="preserve">Common toilets </v>
      </c>
      <c r="C26" s="376">
        <f>'[3]Maintainability Score Summary'!$E$24</f>
        <v>7</v>
      </c>
      <c r="D26" s="376"/>
      <c r="E26" s="376">
        <f t="shared" si="2"/>
        <v>0</v>
      </c>
      <c r="F26" s="376"/>
      <c r="G26" s="306"/>
      <c r="H26" s="298"/>
      <c r="I26" s="298"/>
      <c r="K26" s="505">
        <f>'[3]Maintainability Score Summary'!$F$24</f>
        <v>0</v>
      </c>
      <c r="L26" s="376"/>
      <c r="M26" s="505">
        <f>IF(K26=0,'[4]Maintainability Score Summary'!$F$24,0)</f>
        <v>0</v>
      </c>
      <c r="N26" s="376"/>
    </row>
    <row r="27" spans="1:14" x14ac:dyDescent="0.3">
      <c r="A27" s="6">
        <v>2.5</v>
      </c>
      <c r="B27" s="9" t="str">
        <f>'[3]Maintainability Score Summary'!$B$25</f>
        <v>Basements</v>
      </c>
      <c r="C27" s="376">
        <f>'[3]Maintainability Score Summary'!$E$25</f>
        <v>4</v>
      </c>
      <c r="D27" s="376"/>
      <c r="E27" s="376">
        <f t="shared" si="2"/>
        <v>0</v>
      </c>
      <c r="F27" s="376"/>
      <c r="G27" s="306"/>
      <c r="H27" s="298"/>
      <c r="I27" s="298"/>
      <c r="K27" s="505">
        <f>'[3]Maintainability Score Summary'!$F$25</f>
        <v>0</v>
      </c>
      <c r="L27" s="376"/>
      <c r="M27" s="505">
        <f>IF(K27=0,'[4]Maintainability Score Summary'!$F$25,0)</f>
        <v>0</v>
      </c>
      <c r="N27" s="376"/>
    </row>
    <row r="28" spans="1:14" x14ac:dyDescent="0.3">
      <c r="A28" s="524" t="s">
        <v>485</v>
      </c>
      <c r="B28" s="524"/>
      <c r="C28" s="512">
        <f>'[3]Maintainability Score Summary'!$E$26</f>
        <v>10</v>
      </c>
      <c r="D28" s="512"/>
      <c r="E28" s="512">
        <f t="shared" si="2"/>
        <v>0</v>
      </c>
      <c r="F28" s="512"/>
      <c r="G28" s="297" t="str">
        <f>IF(OR(G29="",G31="",G33="",G34="",G35=""),"",SUM(G29,G31,G33:G35))</f>
        <v/>
      </c>
      <c r="H28" s="298"/>
      <c r="I28" s="298"/>
      <c r="K28" s="511">
        <f>'[3]Maintainability Score Summary'!$F$26</f>
        <v>0</v>
      </c>
      <c r="L28" s="512"/>
      <c r="M28" s="511">
        <f>IF(K28=0,'[4]Maintainability Score Summary'!$F$26,0)</f>
        <v>0</v>
      </c>
      <c r="N28" s="512"/>
    </row>
    <row r="29" spans="1:14" ht="31.2" x14ac:dyDescent="0.3">
      <c r="A29" s="6">
        <v>3.1</v>
      </c>
      <c r="B29" s="9" t="str">
        <f>'[3]Maintainability Score Summary'!$B$27</f>
        <v xml:space="preserve">Air Conditioning System-Direct Expansion System 
(DX Units) </v>
      </c>
      <c r="C29" s="376">
        <f>'[3]Maintainability Score Summary'!$E$27</f>
        <v>2</v>
      </c>
      <c r="D29" s="376"/>
      <c r="E29" s="376">
        <f t="shared" si="2"/>
        <v>0</v>
      </c>
      <c r="F29" s="376"/>
      <c r="G29" s="306"/>
      <c r="H29" s="298"/>
      <c r="I29" s="298"/>
      <c r="K29" s="505">
        <f>'[3]Maintainability Score Summary'!$F$27</f>
        <v>0</v>
      </c>
      <c r="L29" s="376"/>
      <c r="M29" s="505">
        <f>IF(K29=0,'[4]Maintainability Score Summary'!$F$27,0)</f>
        <v>0</v>
      </c>
      <c r="N29" s="376"/>
    </row>
    <row r="30" spans="1:14" x14ac:dyDescent="0.3">
      <c r="A30" s="6">
        <v>3.2</v>
      </c>
      <c r="B30" s="9" t="str">
        <f>'[3]Maintainability Score Summary'!$B$28</f>
        <v>Air Conditioning System - Variable Refrigerant Flow (VRF) System</v>
      </c>
      <c r="C30" s="376" t="str">
        <f>'[3]Maintainability Score Summary'!$E$28</f>
        <v>Pre-req</v>
      </c>
      <c r="D30" s="376"/>
      <c r="E30" s="376">
        <f t="shared" si="2"/>
        <v>0</v>
      </c>
      <c r="F30" s="376"/>
      <c r="G30" s="49"/>
      <c r="H30" s="298"/>
      <c r="I30" s="298"/>
      <c r="K30" s="376"/>
      <c r="L30" s="376"/>
      <c r="M30" s="376"/>
      <c r="N30" s="376"/>
    </row>
    <row r="31" spans="1:14" x14ac:dyDescent="0.3">
      <c r="A31" s="6">
        <v>3.3</v>
      </c>
      <c r="B31" s="9" t="str">
        <f>'[3]Maintainability Score Summary'!$B$29</f>
        <v>Air Distribution System</v>
      </c>
      <c r="C31" s="376">
        <f>'[3]Maintainability Score Summary'!$E$29</f>
        <v>1</v>
      </c>
      <c r="D31" s="376"/>
      <c r="E31" s="376">
        <f t="shared" si="2"/>
        <v>0</v>
      </c>
      <c r="F31" s="376"/>
      <c r="G31" s="306"/>
      <c r="H31" s="298"/>
      <c r="I31" s="298"/>
      <c r="K31" s="505">
        <f>'[3]Maintainability Score Summary'!$F$29</f>
        <v>0</v>
      </c>
      <c r="L31" s="376"/>
      <c r="M31" s="505">
        <f>IF(K31=0,'[4]Maintainability Score Summary'!$F$29,0)</f>
        <v>0</v>
      </c>
      <c r="N31" s="376"/>
    </row>
    <row r="32" spans="1:14" x14ac:dyDescent="0.3">
      <c r="A32" s="6">
        <v>3.4</v>
      </c>
      <c r="B32" s="9" t="str">
        <f>'[3]Maintainability Score Summary'!$B$30</f>
        <v>Domestic Water Supply</v>
      </c>
      <c r="C32" s="376" t="str">
        <f>'[3]Maintainability Score Summary'!$E$30</f>
        <v>Pre-req</v>
      </c>
      <c r="D32" s="376"/>
      <c r="E32" s="376">
        <f t="shared" si="2"/>
        <v>0</v>
      </c>
      <c r="F32" s="376"/>
      <c r="G32" s="49"/>
      <c r="H32" s="298"/>
      <c r="I32" s="298"/>
      <c r="K32" s="376"/>
      <c r="L32" s="376"/>
      <c r="M32" s="376"/>
      <c r="N32" s="376"/>
    </row>
    <row r="33" spans="1:14" x14ac:dyDescent="0.3">
      <c r="A33" s="6">
        <v>3.5</v>
      </c>
      <c r="B33" s="9" t="str">
        <f>'[3]Maintainability Score Summary'!$B$31</f>
        <v>Sanitary System</v>
      </c>
      <c r="C33" s="376">
        <f>'[3]Maintainability Score Summary'!$E$31</f>
        <v>2</v>
      </c>
      <c r="D33" s="376"/>
      <c r="E33" s="376">
        <f t="shared" si="2"/>
        <v>0</v>
      </c>
      <c r="F33" s="376"/>
      <c r="G33" s="306"/>
      <c r="H33" s="298"/>
      <c r="I33" s="298"/>
      <c r="K33" s="505">
        <f>'[3]Maintainability Score Summary'!$F$31</f>
        <v>0</v>
      </c>
      <c r="L33" s="376"/>
      <c r="M33" s="505">
        <f>IF(K33=0,'[4]Maintainability Score Summary'!$F$31,0)</f>
        <v>0</v>
      </c>
      <c r="N33" s="376"/>
    </row>
    <row r="34" spans="1:14" x14ac:dyDescent="0.3">
      <c r="A34" s="6">
        <v>3.6</v>
      </c>
      <c r="B34" s="9" t="str">
        <f>'[3]Maintainability Score Summary'!$B$32</f>
        <v xml:space="preserve">Fire Protection System </v>
      </c>
      <c r="C34" s="376">
        <f>'[3]Maintainability Score Summary'!$E$32</f>
        <v>2</v>
      </c>
      <c r="D34" s="376"/>
      <c r="E34" s="376">
        <f t="shared" si="2"/>
        <v>0</v>
      </c>
      <c r="F34" s="376"/>
      <c r="G34" s="306"/>
      <c r="H34" s="298"/>
      <c r="I34" s="298"/>
      <c r="K34" s="505">
        <f>'[3]Maintainability Score Summary'!$F$32</f>
        <v>0</v>
      </c>
      <c r="L34" s="376"/>
      <c r="M34" s="505">
        <f>IF(K34=0,'[4]Maintainability Score Summary'!$F$32,0)</f>
        <v>0</v>
      </c>
      <c r="N34" s="376"/>
    </row>
    <row r="35" spans="1:14" x14ac:dyDescent="0.3">
      <c r="A35" s="6">
        <v>3.7</v>
      </c>
      <c r="B35" s="9" t="str">
        <f>'[3]Maintainability Score Summary'!$B$33</f>
        <v>Swimming Pool System</v>
      </c>
      <c r="C35" s="376">
        <f>'[3]Maintainability Score Summary'!$E$33</f>
        <v>3</v>
      </c>
      <c r="D35" s="376"/>
      <c r="E35" s="376">
        <f t="shared" si="2"/>
        <v>0</v>
      </c>
      <c r="F35" s="376"/>
      <c r="G35" s="306"/>
      <c r="H35" s="298"/>
      <c r="I35" s="298"/>
      <c r="K35" s="505">
        <f>'[3]Maintainability Score Summary'!$F$33</f>
        <v>0</v>
      </c>
      <c r="L35" s="376"/>
      <c r="M35" s="505">
        <f>IF(K35=0,'[4]Maintainability Score Summary'!$F$33,0)</f>
        <v>0</v>
      </c>
      <c r="N35" s="376"/>
    </row>
    <row r="36" spans="1:14" x14ac:dyDescent="0.3">
      <c r="A36" s="524" t="s">
        <v>486</v>
      </c>
      <c r="B36" s="524" t="s">
        <v>462</v>
      </c>
      <c r="C36" s="512">
        <f>'[3]Maintainability Score Summary'!$E$35</f>
        <v>10.5</v>
      </c>
      <c r="D36" s="512"/>
      <c r="E36" s="512">
        <f t="shared" si="2"/>
        <v>0</v>
      </c>
      <c r="F36" s="512"/>
      <c r="G36" s="297" t="str">
        <f>IF(OR(G37="",G38="",G39="",G40="",G41=""),"",SUM(G37:G41))</f>
        <v/>
      </c>
      <c r="H36" s="298"/>
      <c r="I36" s="298"/>
      <c r="K36" s="511">
        <f>'[3]Maintainability Score Summary'!$F$35</f>
        <v>0</v>
      </c>
      <c r="L36" s="512"/>
      <c r="M36" s="511">
        <f>IF(K36=0,'[4]Maintainability Score Summary'!$F$35,0)</f>
        <v>0</v>
      </c>
      <c r="N36" s="512"/>
    </row>
    <row r="37" spans="1:14" x14ac:dyDescent="0.3">
      <c r="A37" s="6">
        <v>4.0999999999999996</v>
      </c>
      <c r="B37" s="9" t="str">
        <f>'[3]Maintainability Score Summary'!$B$36</f>
        <v>Lighting System</v>
      </c>
      <c r="C37" s="376">
        <f>'[3]Maintainability Score Summary'!$E$36</f>
        <v>1.5</v>
      </c>
      <c r="D37" s="376"/>
      <c r="E37" s="376">
        <f t="shared" si="2"/>
        <v>0</v>
      </c>
      <c r="F37" s="376"/>
      <c r="G37" s="306"/>
      <c r="H37" s="298"/>
      <c r="I37" s="298"/>
      <c r="K37" s="505">
        <f>'[3]Maintainability Score Summary'!$F$36</f>
        <v>0</v>
      </c>
      <c r="L37" s="376"/>
      <c r="M37" s="505">
        <f>IF(K37=0,'[4]Maintainability Score Summary'!$F$36,0)</f>
        <v>0</v>
      </c>
      <c r="N37" s="376"/>
    </row>
    <row r="38" spans="1:14" x14ac:dyDescent="0.3">
      <c r="A38" s="6">
        <v>4.2</v>
      </c>
      <c r="B38" s="9" t="str">
        <f>'[3]Maintainability Score Summary'!$B$37</f>
        <v>Power Distribution System</v>
      </c>
      <c r="C38" s="376">
        <f>'[3]Maintainability Score Summary'!$E$37</f>
        <v>3</v>
      </c>
      <c r="D38" s="376"/>
      <c r="E38" s="376">
        <f t="shared" si="2"/>
        <v>0</v>
      </c>
      <c r="F38" s="376"/>
      <c r="G38" s="306"/>
      <c r="H38" s="298"/>
      <c r="I38" s="298"/>
      <c r="K38" s="505">
        <f>'[3]Maintainability Score Summary'!$F$37</f>
        <v>0</v>
      </c>
      <c r="L38" s="376"/>
      <c r="M38" s="505">
        <f>IF(K38=0,'[4]Maintainability Score Summary'!$F$37,0)</f>
        <v>0</v>
      </c>
      <c r="N38" s="376"/>
    </row>
    <row r="39" spans="1:14" x14ac:dyDescent="0.3">
      <c r="A39" s="6">
        <v>4.3</v>
      </c>
      <c r="B39" s="9" t="str">
        <f>'[3]Maintainability Score Summary'!$B$38</f>
        <v>Extra Low Voltage System</v>
      </c>
      <c r="C39" s="376">
        <f>'[3]Maintainability Score Summary'!$E$38</f>
        <v>3</v>
      </c>
      <c r="D39" s="376"/>
      <c r="E39" s="376">
        <f t="shared" si="2"/>
        <v>0</v>
      </c>
      <c r="F39" s="376"/>
      <c r="G39" s="306"/>
      <c r="H39" s="298"/>
      <c r="I39" s="298"/>
      <c r="K39" s="505">
        <f>'[3]Maintainability Score Summary'!$F$38</f>
        <v>0</v>
      </c>
      <c r="L39" s="376"/>
      <c r="M39" s="505">
        <f>IF(K39=0,'[4]Maintainability Score Summary'!$F$38,0)</f>
        <v>0</v>
      </c>
      <c r="N39" s="376"/>
    </row>
    <row r="40" spans="1:14" x14ac:dyDescent="0.3">
      <c r="A40" s="6">
        <v>4.4000000000000004</v>
      </c>
      <c r="B40" s="9" t="str">
        <f>'[3]Maintainability Score Summary'!$B$39</f>
        <v>Lightning Protection System</v>
      </c>
      <c r="C40" s="376">
        <f>'[3]Maintainability Score Summary'!$E$39</f>
        <v>1</v>
      </c>
      <c r="D40" s="376"/>
      <c r="E40" s="376">
        <f t="shared" si="2"/>
        <v>0</v>
      </c>
      <c r="F40" s="376"/>
      <c r="G40" s="306"/>
      <c r="H40" s="298"/>
      <c r="I40" s="298"/>
      <c r="K40" s="505">
        <f>'[3]Maintainability Score Summary'!$F$39</f>
        <v>0</v>
      </c>
      <c r="L40" s="376"/>
      <c r="M40" s="505">
        <f>IF(K40=0,'[4]Maintainability Score Summary'!$F$39,0)</f>
        <v>0</v>
      </c>
      <c r="N40" s="376"/>
    </row>
    <row r="41" spans="1:14" x14ac:dyDescent="0.3">
      <c r="A41" s="6">
        <v>4.5</v>
      </c>
      <c r="B41" s="9" t="str">
        <f>'[3]Maintainability Score Summary'!$B$40</f>
        <v>Vertical Transportation System</v>
      </c>
      <c r="C41" s="376">
        <f>'[3]Maintainability Score Summary'!$E$40</f>
        <v>2</v>
      </c>
      <c r="D41" s="376"/>
      <c r="E41" s="376">
        <f t="shared" si="2"/>
        <v>0</v>
      </c>
      <c r="F41" s="376"/>
      <c r="G41" s="306"/>
      <c r="H41" s="298"/>
      <c r="I41" s="298"/>
      <c r="K41" s="505">
        <f>'[3]Maintainability Score Summary'!$F$40</f>
        <v>0</v>
      </c>
      <c r="L41" s="376"/>
      <c r="M41" s="505">
        <f>IF(K41=0,'[4]Maintainability Score Summary'!$F$40,0)</f>
        <v>0</v>
      </c>
      <c r="N41" s="376"/>
    </row>
    <row r="42" spans="1:14" x14ac:dyDescent="0.3">
      <c r="A42" s="6">
        <v>4.5999999999999996</v>
      </c>
      <c r="B42" s="9" t="str">
        <f>'[3]Maintainability Score Summary'!$B$41</f>
        <v>Carpark Entry System</v>
      </c>
      <c r="C42" s="376" t="str">
        <f>'[3]Maintainability Score Summary'!$E$41</f>
        <v>Pre-req</v>
      </c>
      <c r="D42" s="376"/>
      <c r="E42" s="376">
        <f t="shared" si="2"/>
        <v>0</v>
      </c>
      <c r="F42" s="376"/>
      <c r="G42" s="49"/>
      <c r="H42" s="298"/>
      <c r="I42" s="298"/>
      <c r="K42" s="376"/>
      <c r="L42" s="376"/>
      <c r="M42" s="376"/>
      <c r="N42" s="376"/>
    </row>
    <row r="43" spans="1:14" x14ac:dyDescent="0.3">
      <c r="A43" s="524" t="s">
        <v>487</v>
      </c>
      <c r="B43" s="524"/>
      <c r="C43" s="512">
        <f>'[3]Maintainability Score Summary'!$L$6</f>
        <v>10.5</v>
      </c>
      <c r="D43" s="512"/>
      <c r="E43" s="512">
        <f t="shared" si="2"/>
        <v>0</v>
      </c>
      <c r="F43" s="512"/>
      <c r="G43" s="297" t="str">
        <f>IF(OR(G44="",G45="",G47="",G48="",G49=""),"",SUM(G44:G45,G47:G49))</f>
        <v/>
      </c>
      <c r="H43" s="298"/>
      <c r="I43" s="298"/>
      <c r="K43" s="511">
        <f>'[3]Maintainability Score Summary'!$M$6</f>
        <v>0</v>
      </c>
      <c r="L43" s="512"/>
      <c r="M43" s="511">
        <f>IF(K43=0,'[4]Maintainability Score Summary'!$M$6,0)</f>
        <v>0</v>
      </c>
      <c r="N43" s="512"/>
    </row>
    <row r="44" spans="1:14" x14ac:dyDescent="0.3">
      <c r="A44" s="6">
        <v>5.0999999999999996</v>
      </c>
      <c r="B44" s="9" t="str">
        <f>'[3]Maintainability Score Summary'!$I$7</f>
        <v>Softscape</v>
      </c>
      <c r="C44" s="376">
        <f>'[3]Maintainability Score Summary'!$L$7</f>
        <v>1</v>
      </c>
      <c r="D44" s="376"/>
      <c r="E44" s="376">
        <f t="shared" si="2"/>
        <v>0</v>
      </c>
      <c r="F44" s="376"/>
      <c r="G44" s="306"/>
      <c r="H44" s="298"/>
      <c r="I44" s="298"/>
      <c r="K44" s="505">
        <f>'[3]Maintainability Score Summary'!$M$7</f>
        <v>0</v>
      </c>
      <c r="L44" s="376"/>
      <c r="M44" s="505">
        <f>IF(K44=0,'[4]Maintainability Score Summary'!$M$7,0)</f>
        <v>0</v>
      </c>
      <c r="N44" s="376"/>
    </row>
    <row r="45" spans="1:14" x14ac:dyDescent="0.3">
      <c r="A45" s="6">
        <v>5.2</v>
      </c>
      <c r="B45" s="9" t="str">
        <f>'[3]Maintainability Score Summary'!$I$8</f>
        <v>Hardscape</v>
      </c>
      <c r="C45" s="376">
        <f>'[3]Maintainability Score Summary'!$L$8</f>
        <v>4</v>
      </c>
      <c r="D45" s="376"/>
      <c r="E45" s="376">
        <f t="shared" si="2"/>
        <v>0</v>
      </c>
      <c r="F45" s="376"/>
      <c r="G45" s="306"/>
      <c r="H45" s="298"/>
      <c r="I45" s="298"/>
      <c r="K45" s="505">
        <f>'[3]Maintainability Score Summary'!$M$8</f>
        <v>0</v>
      </c>
      <c r="L45" s="376"/>
      <c r="M45" s="505">
        <f>IF(K45=0,'[4]Maintainability Score Summary'!$M$8,0)</f>
        <v>0</v>
      </c>
      <c r="N45" s="376"/>
    </row>
    <row r="46" spans="1:14" x14ac:dyDescent="0.3">
      <c r="A46" s="6">
        <v>5.3</v>
      </c>
      <c r="B46" s="9" t="str">
        <f>'[3]Maintainability Score Summary'!$I$9</f>
        <v>Vertical Greenery</v>
      </c>
      <c r="C46" s="376" t="str">
        <f>'[3]Maintainability Score Summary'!$L$9</f>
        <v>Pre-req</v>
      </c>
      <c r="D46" s="376"/>
      <c r="E46" s="376">
        <f t="shared" si="2"/>
        <v>0</v>
      </c>
      <c r="F46" s="376"/>
      <c r="G46" s="49"/>
      <c r="H46" s="298"/>
      <c r="I46" s="298"/>
      <c r="K46" s="376"/>
      <c r="L46" s="376"/>
      <c r="M46" s="376"/>
      <c r="N46" s="376"/>
    </row>
    <row r="47" spans="1:14" x14ac:dyDescent="0.3">
      <c r="A47" s="6">
        <v>5.4</v>
      </c>
      <c r="B47" s="9" t="str">
        <f>'[3]Maintainability Score Summary'!$I$10</f>
        <v>Roof and Sky Terraces</v>
      </c>
      <c r="C47" s="376">
        <f>'[3]Maintainability Score Summary'!$L$10</f>
        <v>1</v>
      </c>
      <c r="D47" s="376"/>
      <c r="E47" s="376">
        <f t="shared" si="2"/>
        <v>0</v>
      </c>
      <c r="F47" s="376"/>
      <c r="G47" s="306"/>
      <c r="H47" s="298"/>
      <c r="I47" s="298"/>
      <c r="K47" s="505">
        <f>'[3]Maintainability Score Summary'!$M$10</f>
        <v>0</v>
      </c>
      <c r="L47" s="376"/>
      <c r="M47" s="505">
        <f>IF(K47=0,'[4]Maintainability Score Summary'!$M$10,0)</f>
        <v>0</v>
      </c>
      <c r="N47" s="376"/>
    </row>
    <row r="48" spans="1:14" x14ac:dyDescent="0.3">
      <c r="A48" s="6">
        <v>5.5</v>
      </c>
      <c r="B48" s="9" t="str">
        <f>'[3]Maintainability Score Summary'!$I$11</f>
        <v>Water Retaining Structures</v>
      </c>
      <c r="C48" s="376">
        <f>'[3]Maintainability Score Summary'!$L$11</f>
        <v>3</v>
      </c>
      <c r="D48" s="376"/>
      <c r="E48" s="376">
        <f t="shared" si="2"/>
        <v>0</v>
      </c>
      <c r="F48" s="376"/>
      <c r="G48" s="306"/>
      <c r="H48" s="298"/>
      <c r="I48" s="298"/>
      <c r="K48" s="505">
        <f>'[3]Maintainability Score Summary'!$M$11</f>
        <v>0</v>
      </c>
      <c r="L48" s="376"/>
      <c r="M48" s="505">
        <f>IF(K48=0,'[4]Maintainability Score Summary'!$M$11,0)</f>
        <v>0</v>
      </c>
      <c r="N48" s="376"/>
    </row>
    <row r="49" spans="1:14" x14ac:dyDescent="0.3">
      <c r="A49" s="6">
        <v>5.6</v>
      </c>
      <c r="B49" s="9" t="str">
        <f>'[3]Maintainability Score Summary'!$I$12</f>
        <v>Standalone Structures</v>
      </c>
      <c r="C49" s="376">
        <f>'[3]Maintainability Score Summary'!$L$12</f>
        <v>1.5</v>
      </c>
      <c r="D49" s="376"/>
      <c r="E49" s="376">
        <f t="shared" si="2"/>
        <v>0</v>
      </c>
      <c r="F49" s="376"/>
      <c r="G49" s="306"/>
      <c r="H49" s="298"/>
      <c r="I49" s="298"/>
      <c r="K49" s="505">
        <f>'[3]Maintainability Score Summary'!$M$12</f>
        <v>0</v>
      </c>
      <c r="L49" s="376"/>
      <c r="M49" s="505">
        <f>IF(K49=0,'[4]Maintainability Score Summary'!$M$12,0)</f>
        <v>0</v>
      </c>
      <c r="N49" s="376"/>
    </row>
    <row r="50" spans="1:14" x14ac:dyDescent="0.3">
      <c r="A50" s="524" t="s">
        <v>488</v>
      </c>
      <c r="B50" s="524"/>
      <c r="C50" s="512">
        <f>'[3]Maintainability Score Summary'!$L$13</f>
        <v>2</v>
      </c>
      <c r="D50" s="512"/>
      <c r="E50" s="512">
        <f t="shared" si="2"/>
        <v>0</v>
      </c>
      <c r="F50" s="512"/>
      <c r="G50" s="297" t="str">
        <f>IF(G51="","",G51)</f>
        <v/>
      </c>
      <c r="H50" s="298"/>
      <c r="I50" s="298"/>
      <c r="K50" s="511">
        <f>'[3]Maintainability Score Summary'!$M$13</f>
        <v>0</v>
      </c>
      <c r="L50" s="512"/>
      <c r="M50" s="511">
        <f>IF(K50=0,'[4]Maintainability Score Summary'!$M$13,0)</f>
        <v>0</v>
      </c>
      <c r="N50" s="512"/>
    </row>
    <row r="51" spans="1:14" x14ac:dyDescent="0.3">
      <c r="A51" s="6">
        <v>6.1</v>
      </c>
      <c r="B51" s="9" t="str">
        <f>'[3]Maintainability Score Summary'!$I$14</f>
        <v>Outdoor games court</v>
      </c>
      <c r="C51" s="376">
        <f>'[3]Maintainability Score Summary'!$L$14</f>
        <v>2</v>
      </c>
      <c r="D51" s="376"/>
      <c r="E51" s="376">
        <f t="shared" si="2"/>
        <v>0</v>
      </c>
      <c r="F51" s="376"/>
      <c r="G51" s="306"/>
      <c r="H51" s="298"/>
      <c r="I51" s="298"/>
      <c r="K51" s="505">
        <f>'[3]Maintainability Score Summary'!$M$14</f>
        <v>0</v>
      </c>
      <c r="L51" s="376"/>
      <c r="M51" s="505">
        <f>IF(K51=0,'[4]Maintainability Score Summary'!$M$14,0)</f>
        <v>0</v>
      </c>
      <c r="N51" s="376"/>
    </row>
    <row r="52" spans="1:14" x14ac:dyDescent="0.3">
      <c r="A52" s="524" t="s">
        <v>489</v>
      </c>
      <c r="B52" s="524" t="s">
        <v>490</v>
      </c>
      <c r="C52" s="512">
        <f>'[3]Maintainability Score Summary'!$L$15</f>
        <v>5</v>
      </c>
      <c r="D52" s="512"/>
      <c r="E52" s="512">
        <f t="shared" si="2"/>
        <v>0</v>
      </c>
      <c r="F52" s="512"/>
      <c r="G52" s="297" t="str">
        <f>IF(G53="","",G53)</f>
        <v/>
      </c>
      <c r="H52" s="298"/>
      <c r="I52" s="298"/>
      <c r="K52" s="511">
        <f>'[3]Maintainability Score Summary'!$M$15</f>
        <v>0</v>
      </c>
      <c r="L52" s="512"/>
      <c r="M52" s="511">
        <f>IF(K52=0,'[4]Maintainability Score Summary'!$M$15,0)</f>
        <v>0</v>
      </c>
      <c r="N52" s="512"/>
    </row>
    <row r="53" spans="1:14" x14ac:dyDescent="0.3">
      <c r="A53" s="6">
        <v>7.1</v>
      </c>
      <c r="B53" s="9" t="str">
        <f>'[3]Maintainability Score Summary'!$I$16</f>
        <v>Innovation features in labour-saving/maintenance-free</v>
      </c>
      <c r="C53" s="376">
        <f>'[3]Maintainability Score Summary'!$L$16</f>
        <v>5</v>
      </c>
      <c r="D53" s="376"/>
      <c r="E53" s="376">
        <f t="shared" si="2"/>
        <v>0</v>
      </c>
      <c r="F53" s="376"/>
      <c r="G53" s="306"/>
      <c r="H53" s="298"/>
      <c r="I53" s="298"/>
      <c r="K53" s="505">
        <f>'[3]Maintainability Score Summary'!$M$16</f>
        <v>0</v>
      </c>
      <c r="L53" s="376"/>
      <c r="M53" s="505">
        <f>IF(K53=0,'[4]Maintainability Score Summary'!$M$16,0)</f>
        <v>0</v>
      </c>
      <c r="N53" s="376"/>
    </row>
    <row r="54" spans="1:14" x14ac:dyDescent="0.3">
      <c r="A54" s="524" t="s">
        <v>491</v>
      </c>
      <c r="B54" s="524"/>
      <c r="C54" s="512">
        <v>4</v>
      </c>
      <c r="D54" s="512"/>
      <c r="E54" s="512">
        <f t="shared" si="2"/>
        <v>0</v>
      </c>
      <c r="F54" s="512"/>
      <c r="G54" s="297" t="str">
        <f>IF(OR(G55="",G56=""),"",SUM(G55:G56))</f>
        <v/>
      </c>
      <c r="H54" s="298"/>
      <c r="I54" s="298"/>
      <c r="K54" s="511">
        <f>SUM(K55:K56)</f>
        <v>0</v>
      </c>
      <c r="L54" s="511"/>
      <c r="M54" s="511">
        <f>SUM(M55:M56)</f>
        <v>0</v>
      </c>
      <c r="N54" s="511"/>
    </row>
    <row r="55" spans="1:14" x14ac:dyDescent="0.3">
      <c r="A55" s="8"/>
      <c r="B55" s="9" t="str">
        <f>'[3]Maintainability Score Summary'!$H$18</f>
        <v>Section 1 BONUS POINTS</v>
      </c>
      <c r="C55" s="376">
        <f>'[3]Maintainability Score Summary'!$L$18</f>
        <v>3</v>
      </c>
      <c r="D55" s="376"/>
      <c r="E55" s="376">
        <f t="shared" si="2"/>
        <v>0</v>
      </c>
      <c r="F55" s="376"/>
      <c r="G55" s="306"/>
      <c r="H55" s="298"/>
      <c r="I55" s="298"/>
      <c r="K55" s="505">
        <f>'[3]Maintainability Score Summary'!$M$18</f>
        <v>0</v>
      </c>
      <c r="L55" s="376"/>
      <c r="M55" s="505">
        <f>IF(K55=0,'[4]Maintainability Score Summary'!$M$18,0)</f>
        <v>0</v>
      </c>
      <c r="N55" s="376"/>
    </row>
    <row r="56" spans="1:14" x14ac:dyDescent="0.3">
      <c r="A56" s="8"/>
      <c r="B56" s="9" t="str">
        <f>'[3]Maintainability Score Summary'!$H$19</f>
        <v>Section 5 BONUS POINTS</v>
      </c>
      <c r="C56" s="376">
        <f>'[3]Maintainability Score Summary'!$L$19</f>
        <v>1</v>
      </c>
      <c r="D56" s="376"/>
      <c r="E56" s="376">
        <f t="shared" si="2"/>
        <v>0</v>
      </c>
      <c r="F56" s="376"/>
      <c r="G56" s="306"/>
      <c r="H56" s="298"/>
      <c r="I56" s="298"/>
      <c r="K56" s="505">
        <f>'[3]Maintainability Score Summary'!$M$19</f>
        <v>0</v>
      </c>
      <c r="L56" s="376"/>
      <c r="M56" s="505">
        <f>IF(K56=0,'[4]Maintainability Score Summary'!$M$19,0)</f>
        <v>0</v>
      </c>
      <c r="N56" s="376"/>
    </row>
    <row r="57" spans="1:14" s="1" customFormat="1" x14ac:dyDescent="0.3">
      <c r="A57" s="21"/>
      <c r="B57" s="22" t="s">
        <v>492</v>
      </c>
      <c r="C57" s="508" t="str">
        <f>IF(J57=0,IF(OR(G52="",G50="",G43="",G36="",G28="",G22="",G10="",G8=""),"",G52+G50+G43+G36+G28+G22+G10+G8),J57)</f>
        <v/>
      </c>
      <c r="D57" s="508"/>
      <c r="E57" s="508"/>
      <c r="F57" s="508"/>
      <c r="G57" s="508"/>
      <c r="H57" s="298"/>
      <c r="I57" s="301"/>
      <c r="J57" s="303">
        <f>MAX(K57:N57)</f>
        <v>0</v>
      </c>
      <c r="K57" s="513">
        <f>'[3]Maintainability Score Summary'!$K$22</f>
        <v>0</v>
      </c>
      <c r="L57" s="513"/>
      <c r="M57" s="513">
        <f>IF(K57=0,'[4]Maintainability Score Summary'!$K$22,0)</f>
        <v>0</v>
      </c>
      <c r="N57" s="513"/>
    </row>
    <row r="58" spans="1:14" s="1" customFormat="1" x14ac:dyDescent="0.3">
      <c r="A58" s="21"/>
      <c r="B58" s="22" t="s">
        <v>493</v>
      </c>
      <c r="C58" s="508">
        <f>MAX(K58:N58)</f>
        <v>0</v>
      </c>
      <c r="D58" s="521"/>
      <c r="E58" s="521"/>
      <c r="F58" s="521"/>
      <c r="G58" s="305"/>
      <c r="H58" s="298"/>
      <c r="I58" s="301"/>
      <c r="J58" s="300"/>
      <c r="K58" s="506">
        <f>'[3]Maintainability Score Summary'!$K$24</f>
        <v>0</v>
      </c>
      <c r="L58" s="507"/>
      <c r="M58" s="506">
        <f>IF(K58=0,'[4]Maintainability Score Summary'!$K$24,0)</f>
        <v>0</v>
      </c>
      <c r="N58" s="507"/>
    </row>
    <row r="59" spans="1:14" s="1" customFormat="1" x14ac:dyDescent="0.3">
      <c r="A59" s="21"/>
      <c r="B59" s="304" t="s">
        <v>494</v>
      </c>
      <c r="C59" s="508">
        <f>MAX(K59:N59)</f>
        <v>0</v>
      </c>
      <c r="D59" s="521"/>
      <c r="E59" s="521"/>
      <c r="F59" s="521"/>
      <c r="G59" s="302" t="str">
        <f>IF(OR(G55="",G56="",C57=""),"",IF(C57=J60,G55+G56,""))</f>
        <v/>
      </c>
      <c r="H59" s="298"/>
      <c r="I59" s="301"/>
      <c r="J59" s="300"/>
      <c r="K59" s="508">
        <f>'[3]Maintainability Score Summary'!$N$22</f>
        <v>0</v>
      </c>
      <c r="L59" s="508"/>
      <c r="M59" s="508">
        <f>IF(K59=0,'[4]Maintainability Score Summary'!$N$22,0)</f>
        <v>0</v>
      </c>
      <c r="N59" s="508"/>
    </row>
    <row r="60" spans="1:14" s="1" customFormat="1" x14ac:dyDescent="0.3">
      <c r="A60" s="21"/>
      <c r="B60" s="519" t="s">
        <v>495</v>
      </c>
      <c r="C60" s="506" t="s">
        <v>496</v>
      </c>
      <c r="D60" s="507"/>
      <c r="E60" s="509">
        <f>MAX(K60:N60)</f>
        <v>0</v>
      </c>
      <c r="F60" s="510"/>
      <c r="G60" s="302">
        <f>IF(OR(C57="",G54=""),0,IF(C57=J60,(C57/(71-G58))*71,0))</f>
        <v>0</v>
      </c>
      <c r="H60" s="298"/>
      <c r="I60" s="301"/>
      <c r="J60" s="303" t="str">
        <f>IF(OR(G52="",G50="",G43="",G36="",G28="",G22="",G10="",G8=""),"",G52+G50+G43+G36+G28+G22+G10+G8)</f>
        <v/>
      </c>
      <c r="K60" s="509">
        <f>'[3]Maintainability Score Summary'!$K$25</f>
        <v>0</v>
      </c>
      <c r="L60" s="510"/>
      <c r="M60" s="509">
        <f>IF(K60=0,'[4]Maintainability Score Summary'!$K$25,0)</f>
        <v>0</v>
      </c>
      <c r="N60" s="510"/>
    </row>
    <row r="61" spans="1:14" s="1" customFormat="1" x14ac:dyDescent="0.3">
      <c r="A61" s="21"/>
      <c r="B61" s="520"/>
      <c r="C61" s="506" t="s">
        <v>497</v>
      </c>
      <c r="D61" s="507"/>
      <c r="E61" s="509">
        <f>MAX(K61:N61)</f>
        <v>0</v>
      </c>
      <c r="F61" s="510"/>
      <c r="G61" s="302">
        <f>IF(OR(G60="",G59=""),0,G60+G59)</f>
        <v>0</v>
      </c>
      <c r="H61" s="298"/>
      <c r="I61" s="301"/>
      <c r="J61" s="300"/>
      <c r="K61" s="509">
        <f>'[3]Maintainability Score Summary'!$M$25</f>
        <v>0</v>
      </c>
      <c r="L61" s="510"/>
      <c r="M61" s="509">
        <f>IF(K61=0,'[4]Maintainability Score Summary'!$M$25,0)</f>
        <v>0</v>
      </c>
      <c r="N61" s="510"/>
    </row>
    <row r="62" spans="1:14" x14ac:dyDescent="0.3">
      <c r="A62" s="21"/>
      <c r="B62" s="22" t="s">
        <v>498</v>
      </c>
      <c r="C62" s="521">
        <f>MAX(K62:N62)</f>
        <v>0</v>
      </c>
      <c r="D62" s="521"/>
      <c r="E62" s="521"/>
      <c r="F62" s="521"/>
      <c r="G62" s="299"/>
      <c r="H62" s="298"/>
      <c r="I62" s="298"/>
      <c r="J62" s="19">
        <f>IF(AND(C62="",G62=""),"",IF(C62="",G62,C62))</f>
        <v>0</v>
      </c>
      <c r="K62" s="509" t="str">
        <f>'[3]Maintainability Score Summary'!$M$30</f>
        <v/>
      </c>
      <c r="L62" s="510"/>
      <c r="M62" s="509">
        <f>IF(K62=0,'[4]Maintainability Score Summary'!$M$30,0)</f>
        <v>0</v>
      </c>
      <c r="N62" s="510"/>
    </row>
    <row r="63" spans="1:14" x14ac:dyDescent="0.3">
      <c r="A63" s="21"/>
      <c r="B63" s="22" t="s">
        <v>499</v>
      </c>
      <c r="C63" s="506">
        <f>IF(J63=0,IF(G61=0,0,IF(G61/4&gt;15,15,G61/4)),J63)</f>
        <v>0</v>
      </c>
      <c r="D63" s="525"/>
      <c r="E63" s="525"/>
      <c r="F63" s="525"/>
      <c r="G63" s="507"/>
      <c r="H63" s="298"/>
      <c r="I63" s="298"/>
      <c r="J63" s="303">
        <f>MAX(K63:N63)</f>
        <v>0</v>
      </c>
      <c r="K63" s="539">
        <f>'[3]Maintainability Score Summary'!$M$31</f>
        <v>0</v>
      </c>
      <c r="L63" s="539"/>
      <c r="M63" s="539">
        <f>IF(K63=0,'[4]Maintainability Score Summary'!$M$31,0)</f>
        <v>0</v>
      </c>
      <c r="N63" s="539"/>
    </row>
    <row r="64" spans="1:14" x14ac:dyDescent="0.3">
      <c r="A64" s="21"/>
      <c r="B64" s="22" t="s">
        <v>500</v>
      </c>
      <c r="C64" s="518" t="str">
        <f>IF(AND(C63=0,G61=""),"",IF(AND(C63&gt;=10,J62=0),"Yes","No"))</f>
        <v>No</v>
      </c>
      <c r="D64" s="518"/>
      <c r="E64" s="518"/>
      <c r="F64" s="518"/>
      <c r="G64" s="518"/>
      <c r="H64" s="298"/>
      <c r="I64" s="298"/>
    </row>
  </sheetData>
  <sheetProtection algorithmName="SHA-512" hashValue="hfo0COS3E8bNeOgdr5IBTPnexWjP29Hko+lszkv63alANpe539T2PKUtW0rsTqRAq+nja0U0RSYS8T1wpl65bw==" saltValue="FtaaB0++QThvVMkM20ZNVg==" spinCount="100000" sheet="1" formatCells="0" selectLockedCells="1"/>
  <mergeCells count="238">
    <mergeCell ref="K63:L63"/>
    <mergeCell ref="M63:N63"/>
    <mergeCell ref="G14:G16"/>
    <mergeCell ref="E43:F43"/>
    <mergeCell ref="C43:D43"/>
    <mergeCell ref="C40:D40"/>
    <mergeCell ref="E40:F40"/>
    <mergeCell ref="C41:D41"/>
    <mergeCell ref="C38:D38"/>
    <mergeCell ref="E38:F38"/>
    <mergeCell ref="C39:D39"/>
    <mergeCell ref="C29:D29"/>
    <mergeCell ref="E29:F29"/>
    <mergeCell ref="E34:F34"/>
    <mergeCell ref="C35:D35"/>
    <mergeCell ref="E35:F35"/>
    <mergeCell ref="C37:D37"/>
    <mergeCell ref="E30:F30"/>
    <mergeCell ref="E31:F31"/>
    <mergeCell ref="E20:F20"/>
    <mergeCell ref="C32:D32"/>
    <mergeCell ref="E32:F32"/>
    <mergeCell ref="C33:D33"/>
    <mergeCell ref="E33:F33"/>
    <mergeCell ref="E37:F37"/>
    <mergeCell ref="C58:F58"/>
    <mergeCell ref="E25:F25"/>
    <mergeCell ref="C62:F62"/>
    <mergeCell ref="E55:F55"/>
    <mergeCell ref="C55:D55"/>
    <mergeCell ref="C54:D54"/>
    <mergeCell ref="E54:F54"/>
    <mergeCell ref="E27:F27"/>
    <mergeCell ref="E21:F21"/>
    <mergeCell ref="C27:D27"/>
    <mergeCell ref="C22:D22"/>
    <mergeCell ref="C26:D26"/>
    <mergeCell ref="C28:D28"/>
    <mergeCell ref="C47:D47"/>
    <mergeCell ref="E47:F47"/>
    <mergeCell ref="E23:F23"/>
    <mergeCell ref="C44:D44"/>
    <mergeCell ref="E44:F44"/>
    <mergeCell ref="C45:D45"/>
    <mergeCell ref="E45:F45"/>
    <mergeCell ref="C46:D46"/>
    <mergeCell ref="E46:F46"/>
    <mergeCell ref="E26:F26"/>
    <mergeCell ref="E22:F22"/>
    <mergeCell ref="C31:D31"/>
    <mergeCell ref="E36:F36"/>
    <mergeCell ref="C36:D36"/>
    <mergeCell ref="E41:F41"/>
    <mergeCell ref="C42:D42"/>
    <mergeCell ref="E42:F42"/>
    <mergeCell ref="E24:F24"/>
    <mergeCell ref="E39:F39"/>
    <mergeCell ref="A52:B52"/>
    <mergeCell ref="C56:D56"/>
    <mergeCell ref="E56:F56"/>
    <mergeCell ref="C51:D51"/>
    <mergeCell ref="E51:F51"/>
    <mergeCell ref="C52:D52"/>
    <mergeCell ref="E52:F52"/>
    <mergeCell ref="C49:D49"/>
    <mergeCell ref="E49:F49"/>
    <mergeCell ref="C50:D50"/>
    <mergeCell ref="E50:F50"/>
    <mergeCell ref="C53:D53"/>
    <mergeCell ref="E53:F53"/>
    <mergeCell ref="A2:G2"/>
    <mergeCell ref="A11:B11"/>
    <mergeCell ref="A13:B13"/>
    <mergeCell ref="A17:B17"/>
    <mergeCell ref="C48:D48"/>
    <mergeCell ref="E48:F48"/>
    <mergeCell ref="E28:F28"/>
    <mergeCell ref="E11:F11"/>
    <mergeCell ref="E13:F13"/>
    <mergeCell ref="E17:F17"/>
    <mergeCell ref="C23:D23"/>
    <mergeCell ref="C24:D24"/>
    <mergeCell ref="C25:D25"/>
    <mergeCell ref="C18:D18"/>
    <mergeCell ref="C19:D19"/>
    <mergeCell ref="C14:D16"/>
    <mergeCell ref="C20:D20"/>
    <mergeCell ref="C13:D13"/>
    <mergeCell ref="C17:D17"/>
    <mergeCell ref="E6:F6"/>
    <mergeCell ref="E7:F7"/>
    <mergeCell ref="E8:F8"/>
    <mergeCell ref="E10:F10"/>
    <mergeCell ref="E14:F16"/>
    <mergeCell ref="A3:G3"/>
    <mergeCell ref="A4:G4"/>
    <mergeCell ref="C6:D6"/>
    <mergeCell ref="C7:D7"/>
    <mergeCell ref="C8:D8"/>
    <mergeCell ref="C9:D9"/>
    <mergeCell ref="C10:D10"/>
    <mergeCell ref="C11:D11"/>
    <mergeCell ref="E12:F12"/>
    <mergeCell ref="E9:F9"/>
    <mergeCell ref="C64:G64"/>
    <mergeCell ref="B60:B61"/>
    <mergeCell ref="C60:D60"/>
    <mergeCell ref="C61:D61"/>
    <mergeCell ref="E60:F60"/>
    <mergeCell ref="E61:F61"/>
    <mergeCell ref="C57:G57"/>
    <mergeCell ref="C59:F59"/>
    <mergeCell ref="A7:B7"/>
    <mergeCell ref="C12:D12"/>
    <mergeCell ref="C21:D21"/>
    <mergeCell ref="A43:B43"/>
    <mergeCell ref="A50:B50"/>
    <mergeCell ref="A54:B54"/>
    <mergeCell ref="C63:G63"/>
    <mergeCell ref="A8:B8"/>
    <mergeCell ref="A10:B10"/>
    <mergeCell ref="A22:B22"/>
    <mergeCell ref="A28:B28"/>
    <mergeCell ref="A36:B36"/>
    <mergeCell ref="C30:D30"/>
    <mergeCell ref="C34:D34"/>
    <mergeCell ref="E18:F18"/>
    <mergeCell ref="E19:F19"/>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54:L54"/>
    <mergeCell ref="K55:L55"/>
    <mergeCell ref="K56:L56"/>
    <mergeCell ref="K58:L58"/>
    <mergeCell ref="K59:L59"/>
    <mergeCell ref="K60:L60"/>
    <mergeCell ref="K44:L44"/>
    <mergeCell ref="K45:L45"/>
    <mergeCell ref="K46:L46"/>
    <mergeCell ref="K47:L47"/>
    <mergeCell ref="K48:L48"/>
    <mergeCell ref="K49:L49"/>
    <mergeCell ref="K50:L50"/>
    <mergeCell ref="K51:L51"/>
    <mergeCell ref="K52:L52"/>
    <mergeCell ref="K57:L57"/>
    <mergeCell ref="K61:L61"/>
    <mergeCell ref="K62:L62"/>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M24:N24"/>
    <mergeCell ref="M25:N25"/>
    <mergeCell ref="M26:N26"/>
    <mergeCell ref="M27:N27"/>
    <mergeCell ref="M28:N28"/>
    <mergeCell ref="K53:L53"/>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56:N56"/>
    <mergeCell ref="M58:N58"/>
    <mergeCell ref="M59:N59"/>
    <mergeCell ref="M60:N60"/>
    <mergeCell ref="M61:N61"/>
    <mergeCell ref="M62:N62"/>
    <mergeCell ref="M47:N47"/>
    <mergeCell ref="M48:N48"/>
    <mergeCell ref="M49:N49"/>
    <mergeCell ref="M50:N50"/>
    <mergeCell ref="M51:N51"/>
    <mergeCell ref="M52:N52"/>
    <mergeCell ref="M53:N53"/>
    <mergeCell ref="M54:N54"/>
    <mergeCell ref="M55:N55"/>
    <mergeCell ref="M57:N57"/>
  </mergeCells>
  <dataValidations count="12">
    <dataValidation type="decimal" allowBlank="1" showInputMessage="1" showErrorMessage="1" sqref="G9 G12 G14:G16 G53 G18:G20 G23:G27 G29 G31 G33:G35 G37:G41 G44:G45 G47:G49 G51 G55:G56" xr:uid="{00000000-0002-0000-0700-000000000000}">
      <formula1>0</formula1>
      <formula2>C9</formula2>
    </dataValidation>
    <dataValidation type="decimal" allowBlank="1" showInputMessage="1" showErrorMessage="1" sqref="K30:N30" xr:uid="{00000000-0002-0000-0700-000001000000}">
      <formula1>0</formula1>
      <formula2>0</formula2>
    </dataValidation>
    <dataValidation type="decimal" allowBlank="1" showInputMessage="1" showErrorMessage="1" sqref="K12:N12" xr:uid="{00000000-0002-0000-0700-000002000000}">
      <formula1>0</formula1>
      <formula2>0.5</formula2>
    </dataValidation>
    <dataValidation type="decimal" allowBlank="1" showInputMessage="1" showErrorMessage="1" sqref="K45:N45" xr:uid="{00000000-0002-0000-0700-000003000000}">
      <formula1>0</formula1>
      <formula2>3.5</formula2>
    </dataValidation>
    <dataValidation type="decimal" allowBlank="1" showInputMessage="1" showErrorMessage="1" sqref="K29:N29 K41:N41 K49:N49 K51:N51 K19:N20" xr:uid="{00000000-0002-0000-0700-000004000000}">
      <formula1>0</formula1>
      <formula2>2</formula2>
    </dataValidation>
    <dataValidation type="decimal" allowBlank="1" showInputMessage="1" showErrorMessage="1" sqref="K26:N26" xr:uid="{00000000-0002-0000-0700-000005000000}">
      <formula1>0</formula1>
      <formula2>7</formula2>
    </dataValidation>
    <dataValidation type="decimal" allowBlank="1" showInputMessage="1" showErrorMessage="1" sqref="K24:N24 K34:N34 K40:N40 K44:N44 K47:N47 K56:N56 K31:N31" xr:uid="{00000000-0002-0000-0700-000006000000}">
      <formula1>0</formula1>
      <formula2>1</formula2>
    </dataValidation>
    <dataValidation type="decimal" allowBlank="1" showInputMessage="1" showErrorMessage="1" sqref="K23:N23" xr:uid="{00000000-0002-0000-0700-000007000000}">
      <formula1>0</formula1>
      <formula2>2.5</formula2>
    </dataValidation>
    <dataValidation type="decimal" allowBlank="1" showInputMessage="1" showErrorMessage="1" sqref="K27:N27 K25:N25" xr:uid="{00000000-0002-0000-0700-000008000000}">
      <formula1>0</formula1>
      <formula2>4</formula2>
    </dataValidation>
    <dataValidation type="decimal" allowBlank="1" showInputMessage="1" showErrorMessage="1" sqref="K37:N37" xr:uid="{00000000-0002-0000-0700-000009000000}">
      <formula1>0</formula1>
      <formula2>1.5</formula2>
    </dataValidation>
    <dataValidation type="decimal" allowBlank="1" showInputMessage="1" showErrorMessage="1" sqref="K9:N9 K18:N18 K33:N33 K35:N35 K38:N39 K48:N48 K53:N53 K55:N55" xr:uid="{00000000-0002-0000-0700-00000A000000}">
      <formula1>0</formula1>
      <formula2>3</formula2>
    </dataValidation>
    <dataValidation type="list" allowBlank="1" showInputMessage="1" showErrorMessage="1" sqref="K32:N32 K21:N21 K42:N42 K46:N46" xr:uid="{00000000-0002-0000-0700-00000B000000}">
      <formula1>"Y,N"</formula1>
    </dataValidation>
  </dataValidations>
  <pageMargins left="0.7" right="0.7" top="0.75" bottom="0.75" header="0.3" footer="0.3"/>
  <pageSetup paperSize="9" orientation="portrait" r:id="rId1"/>
  <colBreaks count="1" manualBreakCount="1">
    <brk id="7" max="60" man="1"/>
  </colBreaks>
  <drawing r:id="rId2"/>
  <legacyDrawing r:id="rId3"/>
  <oleObjects>
    <mc:AlternateContent xmlns:mc="http://schemas.openxmlformats.org/markup-compatibility/2006">
      <mc:Choice Requires="x14">
        <oleObject progId="Worksheet" dvAspect="DVASPECT_ICON" shapeId="7174" r:id="rId4">
          <objectPr defaultSize="0" autoPict="0" r:id="rId5">
            <anchor moveWithCells="1">
              <from>
                <xdr:col>0</xdr:col>
                <xdr:colOff>0</xdr:colOff>
                <xdr:row>2</xdr:row>
                <xdr:rowOff>99060</xdr:rowOff>
              </from>
              <to>
                <xdr:col>1</xdr:col>
                <xdr:colOff>297180</xdr:colOff>
                <xdr:row>2</xdr:row>
                <xdr:rowOff>975360</xdr:rowOff>
              </to>
            </anchor>
          </objectPr>
        </oleObject>
      </mc:Choice>
      <mc:Fallback>
        <oleObject progId="Worksheet" dvAspect="DVASPECT_ICON" shapeId="7174"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8A1CFC-4000-4E5C-B8C0-059FD7F98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BD3F5-1903-4985-BA73-7191B56B08F4}">
  <ds:schemaRefs>
    <ds:schemaRef ds:uri="http://schemas.microsoft.com/sharepoint/v3/contenttype/forms"/>
  </ds:schemaRefs>
</ds:datastoreItem>
</file>

<file path=customXml/itemProps3.xml><?xml version="1.0" encoding="utf-8"?>
<ds:datastoreItem xmlns:ds="http://schemas.openxmlformats.org/officeDocument/2006/customXml" ds:itemID="{536FE89B-3D94-4C5A-BA60-95C4DF535039}">
  <ds:schemaRef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877456d8-1210-4b15-ac98-75c3938124b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Sok Ming YEONG (BCA)</cp:lastModifiedBy>
  <cp:revision/>
  <dcterms:created xsi:type="dcterms:W3CDTF">2021-09-01T03:12:41Z</dcterms:created>
  <dcterms:modified xsi:type="dcterms:W3CDTF">2024-08-29T10:14:17Z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0x010100FF817A334131254FA24ACFAEA9B0C38B</vt:lpwstr>
  </property>
  <property fmtid="{D5CDD505-2E9C-101B-9397-08002B2CF9AE}" pid="3" name="MSIP_Label_4aaa7e78-45b1-4890-b8a3-003d1d728a3e_Enabled">
    <vt:lpwstr>true</vt:lpwstr>
  </property>
  <property fmtid="{D5CDD505-2E9C-101B-9397-08002B2CF9AE}" pid="4" name="MSIP_Label_4aaa7e78-45b1-4890-b8a3-003d1d728a3e_SetDate">
    <vt:lpwstr>2024-08-29T10:14:15Z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027c6f40-8085-4891-ac89-591da2068481</vt:lpwstr>
  </property>
  <property fmtid="{D5CDD505-2E9C-101B-9397-08002B2CF9AE}" pid="9" name="MSIP_Label_4aaa7e78-45b1-4890-b8a3-003d1d728a3e_ContentBits">
    <vt:lpwstr>0</vt:lpwstr>
  </property>
</Properties>
</file>