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defaultThemeVersion="166925"/>
  <mc:AlternateContent xmlns:mc="http://schemas.openxmlformats.org/markup-compatibility/2006">
    <mc:Choice Requires="x15">
      <x15ac:absPath xmlns:x15ac="http://schemas.microsoft.com/office/spreadsheetml/2010/11/ac" url="C:\Users\bca_jiajun\Downloads\"/>
    </mc:Choice>
  </mc:AlternateContent>
  <xr:revisionPtr revIDLastSave="0" documentId="13_ncr:1_{E13B4F1D-830E-411E-8FDD-AF5935A97E0C}" xr6:coauthVersionLast="47" xr6:coauthVersionMax="47" xr10:uidLastSave="{00000000-0000-0000-0000-000000000000}"/>
  <bookViews>
    <workbookView xWindow="-110" yWindow="-110" windowWidth="19420" windowHeight="11500" tabRatio="898" xr2:uid="{00000000-000D-0000-FFFF-FFFF00000000}"/>
  </bookViews>
  <sheets>
    <sheet name="1. Project Details" sheetId="27" r:id="rId1"/>
    <sheet name="2. Summary" sheetId="1" r:id="rId2"/>
    <sheet name="3. Energy Efficiency" sheetId="28" r:id="rId3"/>
    <sheet name="4. Resilience" sheetId="2" r:id="rId4"/>
    <sheet name="5. Whole Life Carbon" sheetId="3" r:id="rId5"/>
    <sheet name="6. Health&amp;Wellbeing" sheetId="30" r:id="rId6"/>
    <sheet name="7. Intelligence" sheetId="29" r:id="rId7"/>
    <sheet name="8. Maintainability" sheetId="26"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Maintainability'!$A$1:$G$67</definedName>
    <definedName name="Step">'[1]Raw Data'!$D$2:$D$4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30" l="1"/>
  <c r="D11" i="1"/>
  <c r="D29" i="1"/>
  <c r="D28" i="1"/>
  <c r="D27" i="1"/>
  <c r="D26" i="1"/>
  <c r="D25" i="1"/>
  <c r="C11" i="1"/>
  <c r="F51" i="2"/>
  <c r="H96" i="30" l="1"/>
  <c r="H95" i="30"/>
  <c r="H93" i="30"/>
  <c r="H91" i="30"/>
  <c r="H90" i="30"/>
  <c r="H89" i="30"/>
  <c r="H92" i="30" s="1"/>
  <c r="H82" i="30"/>
  <c r="H81" i="30"/>
  <c r="H78" i="30"/>
  <c r="H77" i="30"/>
  <c r="H79" i="30" s="1"/>
  <c r="H72" i="30"/>
  <c r="H73" i="30" s="1"/>
  <c r="H69" i="30"/>
  <c r="H68" i="30"/>
  <c r="H67" i="30"/>
  <c r="H66" i="30"/>
  <c r="H62" i="30"/>
  <c r="H61" i="30"/>
  <c r="H57" i="30"/>
  <c r="H56" i="30"/>
  <c r="H58" i="30" s="1"/>
  <c r="H55" i="30"/>
  <c r="H51" i="30"/>
  <c r="H50" i="30"/>
  <c r="H49" i="30"/>
  <c r="H48" i="30"/>
  <c r="H52" i="30" s="1"/>
  <c r="H45" i="30" s="1"/>
  <c r="H44" i="30"/>
  <c r="H43" i="30"/>
  <c r="H42" i="30"/>
  <c r="H39" i="30"/>
  <c r="H38" i="30"/>
  <c r="H37" i="30"/>
  <c r="H40" i="30" s="1"/>
  <c r="H34" i="30"/>
  <c r="H33" i="30"/>
  <c r="H31" i="30"/>
  <c r="H26" i="30"/>
  <c r="H20" i="30"/>
  <c r="H22" i="30" s="1"/>
  <c r="H11" i="30"/>
  <c r="H12" i="30" s="1"/>
  <c r="H10" i="30"/>
  <c r="H7" i="30"/>
  <c r="H6" i="30"/>
  <c r="H8" i="30" s="1"/>
  <c r="G21" i="26"/>
  <c r="F46" i="29"/>
  <c r="F51" i="29"/>
  <c r="F52" i="29" s="1"/>
  <c r="F39" i="29"/>
  <c r="F38" i="29"/>
  <c r="F24" i="29"/>
  <c r="F19" i="29"/>
  <c r="F18" i="29"/>
  <c r="F17" i="29"/>
  <c r="F15" i="29"/>
  <c r="F14" i="29"/>
  <c r="F20" i="29" s="1"/>
  <c r="F5" i="29"/>
  <c r="F8" i="29"/>
  <c r="F7" i="29"/>
  <c r="F64" i="29"/>
  <c r="F63" i="29"/>
  <c r="F55" i="29"/>
  <c r="F54" i="29"/>
  <c r="F60" i="29" s="1"/>
  <c r="F48" i="29"/>
  <c r="F49" i="29" s="1"/>
  <c r="F45" i="29"/>
  <c r="F44" i="29"/>
  <c r="F40" i="29"/>
  <c r="F37" i="29"/>
  <c r="F33" i="29"/>
  <c r="F34" i="29" s="1"/>
  <c r="F30" i="29"/>
  <c r="F29" i="29"/>
  <c r="F28" i="29"/>
  <c r="F25" i="29"/>
  <c r="F23" i="29"/>
  <c r="F9" i="29"/>
  <c r="H49" i="3"/>
  <c r="H54" i="3"/>
  <c r="H35" i="30" l="1"/>
  <c r="H3" i="30" s="1"/>
  <c r="D24" i="1" s="1"/>
  <c r="H70" i="30"/>
  <c r="F61" i="29"/>
  <c r="F31" i="29"/>
  <c r="F41" i="29"/>
  <c r="F26" i="29"/>
  <c r="F10" i="29"/>
  <c r="F21" i="29"/>
  <c r="H2" i="30" l="1"/>
  <c r="C10" i="1" s="1"/>
  <c r="K22" i="26"/>
  <c r="M22" i="26" s="1"/>
  <c r="K24" i="26"/>
  <c r="M24" i="26" s="1"/>
  <c r="F35" i="29"/>
  <c r="F3" i="29"/>
  <c r="C48" i="26"/>
  <c r="K41" i="26"/>
  <c r="M41" i="26" s="1"/>
  <c r="K39" i="26"/>
  <c r="M39" i="26" s="1"/>
  <c r="K8" i="26"/>
  <c r="M8" i="26" s="1"/>
  <c r="C59" i="26"/>
  <c r="C54" i="26"/>
  <c r="C8" i="26"/>
  <c r="K34" i="26"/>
  <c r="M34" i="26" s="1"/>
  <c r="C42" i="26"/>
  <c r="E20" i="26"/>
  <c r="E33" i="26"/>
  <c r="E47" i="26"/>
  <c r="K62" i="26"/>
  <c r="M62" i="26" s="1"/>
  <c r="K59" i="26"/>
  <c r="M59" i="26" s="1"/>
  <c r="K58" i="26"/>
  <c r="M58" i="26" s="1"/>
  <c r="K57" i="26"/>
  <c r="M57" i="26" s="1"/>
  <c r="K56" i="26"/>
  <c r="M56" i="26" s="1"/>
  <c r="K55" i="26"/>
  <c r="M55" i="26" s="1"/>
  <c r="K54" i="26"/>
  <c r="M54" i="26" s="1"/>
  <c r="K53" i="26"/>
  <c r="M53" i="26" s="1"/>
  <c r="K49" i="26"/>
  <c r="M49" i="26" s="1"/>
  <c r="K43" i="26"/>
  <c r="M43" i="26" s="1"/>
  <c r="K40" i="26"/>
  <c r="M40" i="26" s="1"/>
  <c r="K36" i="26"/>
  <c r="M36" i="26" s="1"/>
  <c r="K30" i="26"/>
  <c r="M30" i="26" s="1"/>
  <c r="K26" i="26"/>
  <c r="M26" i="26" s="1"/>
  <c r="K25" i="26"/>
  <c r="M25" i="26" s="1"/>
  <c r="K19" i="26"/>
  <c r="M19" i="26" s="1"/>
  <c r="K18" i="26"/>
  <c r="M18" i="26" s="1"/>
  <c r="K17" i="26"/>
  <c r="M17" i="26" s="1"/>
  <c r="B59" i="26"/>
  <c r="C58" i="26"/>
  <c r="B58" i="26"/>
  <c r="C56" i="26"/>
  <c r="B56" i="26"/>
  <c r="C55" i="26"/>
  <c r="B55" i="26"/>
  <c r="B54" i="26"/>
  <c r="C53" i="26"/>
  <c r="B53" i="26"/>
  <c r="C52" i="26"/>
  <c r="B52" i="26"/>
  <c r="A51" i="26"/>
  <c r="C50" i="26"/>
  <c r="B50" i="26"/>
  <c r="C49" i="26"/>
  <c r="B49" i="26"/>
  <c r="B48" i="26"/>
  <c r="C47" i="26"/>
  <c r="B47" i="26"/>
  <c r="C46" i="26"/>
  <c r="B46" i="26"/>
  <c r="B45" i="26"/>
  <c r="A44" i="26"/>
  <c r="C43" i="26"/>
  <c r="B43" i="26"/>
  <c r="B42" i="26"/>
  <c r="C41" i="26"/>
  <c r="B41" i="26"/>
  <c r="C40" i="26"/>
  <c r="B40" i="26"/>
  <c r="C39" i="26"/>
  <c r="B39" i="26"/>
  <c r="B38" i="26"/>
  <c r="A37" i="26"/>
  <c r="C36" i="26"/>
  <c r="B36" i="26"/>
  <c r="C35" i="26"/>
  <c r="B35" i="26"/>
  <c r="C34" i="26"/>
  <c r="B34" i="26"/>
  <c r="C33" i="26"/>
  <c r="B33" i="26"/>
  <c r="B32" i="26"/>
  <c r="A31" i="26"/>
  <c r="C30" i="26"/>
  <c r="B30" i="26"/>
  <c r="B29" i="26"/>
  <c r="C28" i="26"/>
  <c r="A28" i="26"/>
  <c r="A27" i="26"/>
  <c r="C26" i="26"/>
  <c r="B26" i="26"/>
  <c r="C25" i="26"/>
  <c r="B25" i="26"/>
  <c r="C24" i="26"/>
  <c r="B24" i="26"/>
  <c r="C23" i="26"/>
  <c r="B23" i="26"/>
  <c r="B22" i="26"/>
  <c r="A21" i="26"/>
  <c r="C20" i="26"/>
  <c r="B20" i="26"/>
  <c r="C19" i="26"/>
  <c r="B19" i="26"/>
  <c r="C18" i="26"/>
  <c r="B18" i="26"/>
  <c r="A17" i="26"/>
  <c r="B16" i="26"/>
  <c r="B15" i="26"/>
  <c r="C14" i="26"/>
  <c r="B14" i="26"/>
  <c r="C13" i="26"/>
  <c r="A13" i="26"/>
  <c r="B12" i="26"/>
  <c r="A11" i="26"/>
  <c r="A10" i="26"/>
  <c r="B9" i="26"/>
  <c r="A8" i="26"/>
  <c r="G17" i="26"/>
  <c r="G57" i="26"/>
  <c r="K21" i="26" l="1"/>
  <c r="M21" i="26" s="1"/>
  <c r="K61" i="26"/>
  <c r="M61" i="26" s="1"/>
  <c r="F2" i="29"/>
  <c r="E56" i="26"/>
  <c r="E25" i="26"/>
  <c r="E53" i="26"/>
  <c r="E36" i="26"/>
  <c r="C29" i="26"/>
  <c r="K46" i="26"/>
  <c r="M46" i="26" s="1"/>
  <c r="K9" i="26"/>
  <c r="M9" i="26" s="1"/>
  <c r="E41" i="26"/>
  <c r="E59" i="26"/>
  <c r="E55" i="26"/>
  <c r="E19" i="26"/>
  <c r="E49" i="26"/>
  <c r="E26" i="26"/>
  <c r="E34" i="26"/>
  <c r="E43" i="26"/>
  <c r="C9" i="26"/>
  <c r="E40" i="26"/>
  <c r="E54" i="26"/>
  <c r="K42" i="26"/>
  <c r="M42" i="26" s="1"/>
  <c r="K38" i="26"/>
  <c r="M38" i="26" s="1"/>
  <c r="K50" i="26"/>
  <c r="M50" i="26" s="1"/>
  <c r="C12" i="26"/>
  <c r="K45" i="26"/>
  <c r="M45" i="26" s="1"/>
  <c r="K48" i="26"/>
  <c r="M48" i="26" s="1"/>
  <c r="K23" i="26"/>
  <c r="M23" i="26" s="1"/>
  <c r="C17" i="26"/>
  <c r="C51" i="26"/>
  <c r="K35" i="26"/>
  <c r="M35" i="26" s="1"/>
  <c r="E30" i="26"/>
  <c r="E58" i="26"/>
  <c r="E8" i="26"/>
  <c r="E39" i="26"/>
  <c r="G13" i="26"/>
  <c r="G28" i="26"/>
  <c r="G31" i="26"/>
  <c r="G51" i="26"/>
  <c r="G44" i="26"/>
  <c r="G37" i="26"/>
  <c r="G8" i="26"/>
  <c r="G11" i="26"/>
  <c r="E50" i="26" l="1"/>
  <c r="E46" i="26"/>
  <c r="C37" i="26"/>
  <c r="C38" i="26"/>
  <c r="K13" i="26"/>
  <c r="M13" i="26" s="1"/>
  <c r="K10" i="26"/>
  <c r="M10" i="26" s="1"/>
  <c r="C44" i="26"/>
  <c r="C45" i="26"/>
  <c r="C21" i="26"/>
  <c r="C22" i="26"/>
  <c r="E35" i="26"/>
  <c r="K51" i="26"/>
  <c r="M51" i="26" s="1"/>
  <c r="K52" i="26"/>
  <c r="M52" i="26" s="1"/>
  <c r="C32" i="26"/>
  <c r="C11" i="26"/>
  <c r="K11" i="26"/>
  <c r="M11" i="26" s="1"/>
  <c r="K12" i="26"/>
  <c r="M12" i="26" s="1"/>
  <c r="E23" i="26"/>
  <c r="E48" i="26"/>
  <c r="E42" i="26"/>
  <c r="K44" i="26"/>
  <c r="M44" i="26" s="1"/>
  <c r="K37" i="26"/>
  <c r="M37" i="26" s="1"/>
  <c r="C61" i="26"/>
  <c r="E17" i="26"/>
  <c r="E18" i="26"/>
  <c r="E24" i="26"/>
  <c r="E9" i="26"/>
  <c r="E45" i="26"/>
  <c r="E38" i="26"/>
  <c r="E57" i="26"/>
  <c r="C62" i="26"/>
  <c r="E51" i="26"/>
  <c r="G10" i="26"/>
  <c r="G27" i="26"/>
  <c r="F22" i="2"/>
  <c r="K14" i="26" l="1"/>
  <c r="M14" i="26" s="1"/>
  <c r="E12" i="26"/>
  <c r="E11" i="26"/>
  <c r="E44" i="26"/>
  <c r="E37" i="26"/>
  <c r="C27" i="26"/>
  <c r="C31" i="26"/>
  <c r="C10" i="26"/>
  <c r="E52" i="26"/>
  <c r="K31" i="26"/>
  <c r="M31" i="26" s="1"/>
  <c r="K32" i="26"/>
  <c r="M32" i="26" s="1"/>
  <c r="E10" i="26"/>
  <c r="E13" i="26"/>
  <c r="E21" i="26"/>
  <c r="E22" i="26"/>
  <c r="J63" i="26"/>
  <c r="E14" i="26" l="1"/>
  <c r="E32" i="26"/>
  <c r="E31" i="26"/>
  <c r="K29" i="26"/>
  <c r="M29" i="26" s="1"/>
  <c r="C7" i="26"/>
  <c r="B32" i="1" s="1"/>
  <c r="K28" i="26" l="1"/>
  <c r="M28" i="26" s="1"/>
  <c r="E29" i="26"/>
  <c r="H52" i="3"/>
  <c r="K27" i="26" l="1"/>
  <c r="M27" i="26" s="1"/>
  <c r="E28" i="26"/>
  <c r="H15" i="3"/>
  <c r="E27" i="26" l="1"/>
  <c r="K60" i="26"/>
  <c r="F15" i="2"/>
  <c r="M60" i="26" l="1"/>
  <c r="J60" i="26" s="1"/>
  <c r="C60" i="26" s="1"/>
  <c r="K63" i="26"/>
  <c r="F32" i="2"/>
  <c r="G63" i="26" l="1"/>
  <c r="G62" i="26"/>
  <c r="G64" i="26" s="1"/>
  <c r="M63" i="26"/>
  <c r="E63" i="26" s="1"/>
  <c r="K64" i="26"/>
  <c r="K65" i="26"/>
  <c r="H60" i="3"/>
  <c r="H67" i="3"/>
  <c r="H76" i="3"/>
  <c r="H75" i="3"/>
  <c r="H72" i="3"/>
  <c r="H68" i="3"/>
  <c r="H66" i="3"/>
  <c r="H62" i="3"/>
  <c r="H35" i="3"/>
  <c r="H28" i="3"/>
  <c r="H20" i="3"/>
  <c r="H19" i="3"/>
  <c r="H43" i="3"/>
  <c r="M65" i="26" l="1"/>
  <c r="C65" i="26" s="1"/>
  <c r="J65" i="26" s="1"/>
  <c r="M64" i="26"/>
  <c r="E64" i="26" s="1"/>
  <c r="C32" i="1" s="1"/>
  <c r="K66" i="26"/>
  <c r="H58" i="3"/>
  <c r="M66" i="26" l="1"/>
  <c r="J66" i="26" s="1"/>
  <c r="C66" i="26" s="1"/>
  <c r="D32" i="1" s="1"/>
  <c r="C67" i="26" l="1"/>
  <c r="D12" i="1" s="1"/>
  <c r="D10" i="1"/>
  <c r="H17" i="3"/>
  <c r="H26" i="3"/>
  <c r="H30" i="3"/>
  <c r="H63" i="3"/>
  <c r="H69" i="3"/>
  <c r="H31" i="3" s="1"/>
  <c r="H73" i="3"/>
  <c r="H77" i="3"/>
  <c r="H80" i="3"/>
  <c r="H84" i="3"/>
  <c r="H83" i="3"/>
  <c r="H70" i="3" l="1"/>
  <c r="D23" i="1" s="1"/>
  <c r="D22" i="1"/>
  <c r="H81" i="3"/>
  <c r="H3" i="3"/>
  <c r="I34" i="2"/>
  <c r="I33" i="2"/>
  <c r="I32" i="2"/>
  <c r="F6" i="2"/>
  <c r="F7" i="2"/>
  <c r="F16" i="2"/>
  <c r="F19" i="2"/>
  <c r="F20" i="2" s="1"/>
  <c r="F23" i="2"/>
  <c r="F69" i="2"/>
  <c r="F68" i="2"/>
  <c r="F64" i="2"/>
  <c r="F63" i="2"/>
  <c r="F59" i="2"/>
  <c r="F58" i="2"/>
  <c r="F57" i="2"/>
  <c r="F50" i="2"/>
  <c r="F46" i="2"/>
  <c r="F45" i="2"/>
  <c r="F44" i="2"/>
  <c r="F43" i="2"/>
  <c r="F38" i="2"/>
  <c r="F37" i="2"/>
  <c r="F26" i="2"/>
  <c r="F27" i="2" s="1"/>
  <c r="J34" i="2" l="1"/>
  <c r="F34" i="2"/>
  <c r="F35" i="2" s="1"/>
  <c r="D21" i="1"/>
  <c r="H2" i="3"/>
  <c r="C9" i="1" s="1"/>
  <c r="D9" i="1" s="1"/>
  <c r="F66" i="2"/>
  <c r="F47" i="2"/>
  <c r="F8" i="2"/>
  <c r="F3" i="2" s="1"/>
  <c r="F53" i="2"/>
  <c r="F39" i="2"/>
  <c r="J32" i="2"/>
  <c r="F65" i="2"/>
  <c r="F60" i="2"/>
  <c r="F54" i="2" l="1"/>
  <c r="D20" i="1" s="1"/>
  <c r="D18" i="1"/>
  <c r="F28" i="2"/>
  <c r="D19" i="1" s="1"/>
  <c r="F2" i="2" l="1"/>
  <c r="C8" i="1" s="1"/>
  <c r="D8" i="1" s="1"/>
  <c r="C12" i="1" l="1"/>
  <c r="C13" i="1" s="1"/>
</calcChain>
</file>

<file path=xl/sharedStrings.xml><?xml version="1.0" encoding="utf-8"?>
<sst xmlns="http://schemas.openxmlformats.org/spreadsheetml/2006/main" count="936" uniqueCount="529">
  <si>
    <t>GM: 2021 - New Non-Residential Buildings</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</si>
  <si>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</si>
  <si>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</si>
  <si>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</si>
  <si>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</si>
  <si>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</si>
  <si>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</si>
  <si>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</si>
  <si>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</si>
  <si>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</si>
  <si>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</si>
  <si>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</si>
  <si>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</si>
  <si>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</si>
  <si>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</si>
  <si>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</si>
  <si>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</si>
  <si>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</si>
  <si>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</si>
  <si>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</si>
  <si>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Reason for Certification</t>
  </si>
  <si>
    <t>GM 2021 ScoreCard</t>
  </si>
  <si>
    <t>GM Ref No.</t>
  </si>
  <si>
    <t>Project Name:</t>
  </si>
  <si>
    <t>Revision:</t>
  </si>
  <si>
    <t>SUMMARY</t>
  </si>
  <si>
    <t>MAX POINTS</t>
  </si>
  <si>
    <t>SCORING POINTS</t>
  </si>
  <si>
    <t>BADGE</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</si>
  <si>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</si>
  <si>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</si>
  <si>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</si>
  <si>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</si>
  <si>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</si>
  <si>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</si>
  <si>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</si>
  <si>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</si>
  <si>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</si>
  <si>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</si>
  <si>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</si>
  <si>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</si>
  <si>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</si>
  <si>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</si>
  <si>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</si>
  <si>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</si>
  <si>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</si>
  <si>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</si>
  <si>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</si>
  <si>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</si>
  <si>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</si>
  <si>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</si>
  <si>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</si>
  <si>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</si>
  <si>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</si>
  <si>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</si>
  <si>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</si>
  <si>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</si>
  <si>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</si>
  <si>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</si>
  <si>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</si>
  <si>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</si>
  <si>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Max  Maintainability Points</t>
  </si>
  <si>
    <t>MAINTAINABILITY POINTS SCORED</t>
  </si>
  <si>
    <t>CORRESPONDING GM SCORE</t>
  </si>
  <si>
    <t>CRITERIA FOR ENERGY EFFICIENCY SECTION</t>
  </si>
  <si>
    <t>Data Input</t>
  </si>
  <si>
    <t>Input Required</t>
  </si>
  <si>
    <t>ENERGY EFFICIENCY</t>
  </si>
  <si>
    <t>Building supplied by District Cooling System?</t>
  </si>
  <si>
    <t>Y/N</t>
  </si>
  <si>
    <t>PATHWAY 1 - EUI</t>
  </si>
  <si>
    <t>Energy Usage Intensity</t>
  </si>
  <si>
    <t>Input (#)</t>
  </si>
  <si>
    <t>PATHWAY 2 - FIXED METRICS</t>
  </si>
  <si>
    <t>(i)</t>
  </si>
  <si>
    <t>Reduced Heat Gain (ETTV)</t>
  </si>
  <si>
    <t>(ii)</t>
  </si>
  <si>
    <t>Non AC Areas</t>
  </si>
  <si>
    <t>Input (%)</t>
  </si>
  <si>
    <t>(iii)</t>
  </si>
  <si>
    <t>a) ACMV TSE</t>
  </si>
  <si>
    <t>b) ACMV (Unitary)</t>
  </si>
  <si>
    <t>Three Phase (no. of ticks)</t>
  </si>
  <si>
    <t>Single Phase (no. of ticks)</t>
  </si>
  <si>
    <t>(iv)</t>
  </si>
  <si>
    <t>Lighting Power Budget</t>
  </si>
  <si>
    <t>(v)</t>
  </si>
  <si>
    <t xml:space="preserve">Mechanical Ventilation </t>
  </si>
  <si>
    <t>(vi)</t>
  </si>
  <si>
    <t>Integrated Energy Management &amp; control Systems</t>
  </si>
  <si>
    <t>a) Lighting controls provided in accordance with SS 530: 2014 Code of Practice for Energy Efficiency Standard for Building Services and Equipment.</t>
  </si>
  <si>
    <t>b) Energy consumption monitoring and benchmarking system</t>
  </si>
  <si>
    <t>c) Automatic controls for the air-conditioning system to respond to  periods of non-use, or reduced heat load.</t>
  </si>
  <si>
    <t>d) A control device shall be installed in every guestroom for the purpose of automatically switching off the lighting and reducing the air conditioning loads when a guestroom is not occupied.</t>
  </si>
  <si>
    <t>(vii)</t>
  </si>
  <si>
    <r>
      <t xml:space="preserve">On-Site Renewables - </t>
    </r>
    <r>
      <rPr>
        <i/>
        <sz val="12"/>
        <color theme="1"/>
        <rFont val="Calibri"/>
        <family val="2"/>
        <scheme val="minor"/>
      </rPr>
      <t>replacement to make up any deficiencies from the above list, with safety factor</t>
    </r>
  </si>
  <si>
    <t>(viii)</t>
  </si>
  <si>
    <r>
      <t xml:space="preserve">Air side efficiency (kW/RT)
</t>
    </r>
    <r>
      <rPr>
        <i/>
        <sz val="12"/>
        <color theme="1"/>
        <rFont val="Calibri"/>
        <family val="2"/>
        <scheme val="minor"/>
      </rPr>
      <t>(for buildings with DCS)</t>
    </r>
  </si>
  <si>
    <t>PATHWAY 3 - ENERGY SAVINGS</t>
  </si>
  <si>
    <t>Saving from BAU (2005 Code)</t>
  </si>
  <si>
    <t>Saving from Current Reference (2005 Code)</t>
  </si>
  <si>
    <t>CRITERIA FOR RESILIENCE SECTION</t>
  </si>
  <si>
    <t>Available points for New Buildings</t>
  </si>
  <si>
    <t>Points Scored</t>
  </si>
  <si>
    <t>Remarks</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</si>
  <si>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</si>
  <si>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</si>
  <si>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</si>
  <si>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</si>
  <si>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</si>
  <si>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</si>
  <si>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</si>
  <si>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</si>
  <si>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</si>
  <si>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</si>
  <si>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</si>
  <si>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</si>
  <si>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</si>
  <si>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</si>
  <si>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</si>
  <si>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N.A.</t>
  </si>
  <si>
    <t>b) Water Management Policy and Water Improvement Plan</t>
  </si>
  <si>
    <t>c) Waste Management Policy &amp; 3R Plan</t>
  </si>
  <si>
    <t xml:space="preserve">a) Achieved PUB Water Efficient Building certification?  </t>
  </si>
  <si>
    <t>b) PUB WELS 3-ticks rating for 90% of all relevant water fittings.</t>
  </si>
  <si>
    <t>SUB-TOTAL FOR RE 1.1 b</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</si>
  <si>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</si>
  <si>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</si>
  <si>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</si>
  <si>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</si>
  <si>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</si>
  <si>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</si>
  <si>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</si>
  <si>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</si>
  <si>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</si>
  <si>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</si>
  <si>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OR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</si>
  <si>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</si>
  <si>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</si>
  <si>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</si>
  <si>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</si>
  <si>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</si>
  <si>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SUB-TOTAL FOR RE 1.3 (Max 2 pts)</t>
  </si>
  <si>
    <t>RE2</t>
  </si>
  <si>
    <t>MANAGE</t>
  </si>
  <si>
    <t>RE2.1</t>
  </si>
  <si>
    <t>Leadership</t>
  </si>
  <si>
    <t>RE2.1a</t>
  </si>
  <si>
    <t>Project Team</t>
  </si>
  <si>
    <t>Appointment of accredited environmentalist specialists to drive and coordinate the environmental design approach.</t>
  </si>
  <si>
    <t>Sub-total</t>
  </si>
  <si>
    <t>No. of Certified GM AP</t>
  </si>
  <si>
    <t>0.25 pts/GM AP &amp; 0.5 pts /GM AAP 
(Capped at 0.5 pts)</t>
  </si>
  <si>
    <t>Max 0.5 pt</t>
  </si>
  <si>
    <t>No. of Certified GM AAP</t>
  </si>
  <si>
    <t>No. of firms certified under SGBC's SGBS certification or SIFMA's CFMC accreditation scheme.</t>
  </si>
  <si>
    <t>0.25 pts/firm 
(Capped at 0.5 pts)</t>
  </si>
  <si>
    <t>SUB-TOTAL FOR RE 2.1 a (Capped at 1 point)</t>
  </si>
  <si>
    <t>RE2.1b</t>
  </si>
  <si>
    <t>Procurement</t>
  </si>
  <si>
    <r>
      <t xml:space="preserve">Adoption of Sustainable or Green Procurement Policy for:-
- </t>
    </r>
    <r>
      <rPr>
        <b/>
        <sz val="12"/>
        <color theme="1"/>
        <rFont val="Calibri"/>
        <family val="2"/>
        <scheme val="minor"/>
      </rPr>
      <t>New Non-Residential Buildings</t>
    </r>
  </si>
  <si>
    <r>
      <t xml:space="preserve">Adoption of Energy Performance Contract (EPC) by accredited EPC firm for 
- </t>
    </r>
    <r>
      <rPr>
        <b/>
        <sz val="12"/>
        <color theme="1"/>
        <rFont val="Calibri"/>
        <family val="2"/>
        <scheme val="minor"/>
      </rPr>
      <t>New Non-Residential Buildings.</t>
    </r>
  </si>
  <si>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</si>
  <si>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</si>
  <si>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</si>
  <si>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</si>
  <si>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</si>
  <si>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</si>
  <si>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0.5 point</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</si>
  <si>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</si>
  <si>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</si>
  <si>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</si>
  <si>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 (Capped at 1 point)</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</si>
  <si>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</si>
  <si>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</si>
  <si>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</si>
  <si>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</si>
  <si>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</si>
  <si>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</si>
  <si>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r>
      <rPr>
        <sz val="12"/>
        <rFont val="Calibri"/>
        <family val="2"/>
        <scheme val="minor"/>
      </rPr>
      <t>N.A</t>
    </r>
    <r>
      <rPr>
        <b/>
        <sz val="12"/>
        <rFont val="Calibri"/>
        <family val="2"/>
        <scheme val="minor"/>
      </rPr>
      <t>.</t>
    </r>
  </si>
  <si>
    <t>SUB-TOTAL FOR RE 2.3</t>
  </si>
  <si>
    <t>RE3</t>
  </si>
  <si>
    <t>RESTORE</t>
  </si>
  <si>
    <t>RE3.1</t>
  </si>
  <si>
    <t>Buildings In Nature</t>
  </si>
  <si>
    <t>Improving the ecology and quality of the natural environment on site through well-considered planting strategy.</t>
  </si>
  <si>
    <t>Greenery provision (GnPR shall be &gt;5 for New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</si>
  <si>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</si>
  <si>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</si>
  <si>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</si>
  <si>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</si>
  <si>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</si>
  <si>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</si>
  <si>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</si>
  <si>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</si>
  <si>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</si>
  <si>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</si>
  <si>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</si>
  <si>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</si>
  <si>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</si>
  <si>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</si>
  <si>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</si>
  <si>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</si>
  <si>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</si>
  <si>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</si>
  <si>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</si>
  <si>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</si>
  <si>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</si>
  <si>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</si>
  <si>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</si>
  <si>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</si>
  <si>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</si>
  <si>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</si>
  <si>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</si>
  <si>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</si>
  <si>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</si>
  <si>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</si>
  <si>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</si>
  <si>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</si>
  <si>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</si>
  <si>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3 points</t>
  </si>
  <si>
    <t>SUB-TOTAL FOR CN 1.1a</t>
  </si>
  <si>
    <t>Embodied Carbon Computation</t>
  </si>
  <si>
    <t xml:space="preserve">(i) </t>
  </si>
  <si>
    <t>Input (#) kg CO2e/m2</t>
  </si>
  <si>
    <t xml:space="preserve">(ii) </t>
  </si>
  <si>
    <t>1 point for (a)
2 points for (b)</t>
  </si>
  <si>
    <t>Reference Values
(kgCO2e/m2)</t>
  </si>
  <si>
    <t>Non-Residential</t>
  </si>
  <si>
    <t>Residential</t>
  </si>
  <si>
    <t>Industrial</t>
  </si>
  <si>
    <t>SUB-TOTAL FOR CN 1.1b</t>
  </si>
  <si>
    <t>CN1.2</t>
  </si>
  <si>
    <t>2030 Transition Plan</t>
  </si>
  <si>
    <t>Develop and publish as 2030 Transition Plan that delineates steps to deliver a net zero carbon building from 2030 for the asset under assessment, based on scope 1 and 2 emissions</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</si>
  <si>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</si>
  <si>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</si>
  <si>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</si>
  <si>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</si>
  <si>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</si>
  <si>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</si>
  <si>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</si>
  <si>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</si>
  <si>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</si>
  <si>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</si>
  <si>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</si>
  <si>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</si>
  <si>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</si>
  <si>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</si>
  <si>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</si>
  <si>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</si>
  <si>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</si>
  <si>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</si>
  <si>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</si>
  <si>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</si>
  <si>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</si>
  <si>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0.25 points / tick</t>
  </si>
  <si>
    <t>Capped at 1 point</t>
  </si>
  <si>
    <t>0.5 points</t>
  </si>
  <si>
    <t>Replacement level of fine aggregate with WCS used for superstructure ≤ 10%</t>
  </si>
  <si>
    <r>
      <t xml:space="preserve">Minimum extent of usage of WCS </t>
    </r>
    <r>
      <rPr>
        <sz val="12"/>
        <color theme="1"/>
        <rFont val="Calibri"/>
        <family val="2"/>
      </rPr>
      <t>≥</t>
    </r>
    <r>
      <rPr>
        <sz val="12"/>
        <color theme="1"/>
        <rFont val="Calibri"/>
        <family val="2"/>
        <scheme val="minor"/>
      </rPr>
      <t xml:space="preserve"> 0.75% of GFA</t>
    </r>
  </si>
  <si>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</si>
  <si>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</si>
  <si>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</si>
  <si>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</si>
  <si>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</si>
  <si>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</si>
  <si>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</si>
  <si>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</si>
  <si>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SUB-TOTAL FOR CN 2.2</t>
  </si>
  <si>
    <t>CN2.3</t>
  </si>
  <si>
    <t>Conservation, Resource Recovery and Waste Management</t>
  </si>
  <si>
    <t>To encourage conservation of existing building structure, recovery of demolished building materials for reuse and/or recycling and waste management</t>
  </si>
  <si>
    <t>Existing structures are conserved and not demolished</t>
  </si>
  <si>
    <t>Existing structures are demolished with an enhanced demolition protocol, where a recovery rate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</si>
  <si>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</si>
  <si>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</si>
  <si>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</si>
  <si>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</si>
  <si>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</si>
  <si>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</si>
  <si>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</si>
  <si>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</si>
  <si>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 xml:space="preserve">1 point for (a)
2 points for (b)
3 points for (c)  </t>
  </si>
  <si>
    <t>SUB-TOTAL FOR CN 3.1</t>
  </si>
  <si>
    <t>CN3.2</t>
  </si>
  <si>
    <t>Fit Out Products</t>
  </si>
  <si>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</si>
  <si>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</si>
  <si>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</si>
  <si>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</si>
  <si>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requires and actively assists the tenants to offset their operational energy through the procurement of renewables, or through the ongoing purchase of certified carbon offsets.
(a) ≥ 30% of tenants (by NLA)
(b) ≥ 60% of tenants (by NLA)
(c) ≥ 90% of tenants (by NLA)</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</si>
  <si>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</si>
  <si>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</si>
  <si>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</si>
  <si>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t>CRITERIA FOR HEALTH &amp; WELLBEING SECTION</t>
  </si>
  <si>
    <t>Health &amp; Wellbeing</t>
  </si>
  <si>
    <t>HW1</t>
  </si>
  <si>
    <t>PHYSIOLOGICAL</t>
  </si>
  <si>
    <t>HW1.1</t>
  </si>
  <si>
    <t>Active Movement Design</t>
  </si>
  <si>
    <t>HW1.1a</t>
  </si>
  <si>
    <t>Active Mobility</t>
  </si>
  <si>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</si>
  <si>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</si>
  <si>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</si>
  <si>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t>
    </r>
    <r>
      <rPr>
        <sz val="12"/>
        <color theme="1"/>
        <rFont val="Calibri"/>
        <family val="2"/>
        <scheme val="minor"/>
      </rPr>
      <t>(a) at least 50% of floors
(b) all floors with internal staircases</t>
    </r>
  </si>
  <si>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</si>
  <si>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</si>
  <si>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</si>
  <si>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</si>
  <si>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</si>
  <si>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</si>
  <si>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</si>
  <si>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</si>
  <si>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</si>
  <si>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</si>
  <si>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</si>
  <si>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</si>
  <si>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</si>
  <si>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t>A/B</t>
  </si>
  <si>
    <t>1 point for (a)
0.5 points for (b)</t>
  </si>
  <si>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</si>
  <si>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</si>
  <si>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</si>
  <si>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</si>
  <si>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</si>
  <si>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</si>
  <si>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t>The strategies cover 
(a) at least 50% of regularly occupied functional spaces
(b) at least 90% of regularly occupied functional spaces</t>
  </si>
  <si>
    <t>Residential Buildings and Non Residential non Air-Conditioned functional spaces.</t>
  </si>
  <si>
    <t>B. Effective cross ventilation: 70% of habitable areas to meet area weighted average wind velocity of 0.6m/s</t>
  </si>
  <si>
    <t>C. Prescriptive performance</t>
  </si>
  <si>
    <t>• Openings towards prevailing wind directions</t>
  </si>
  <si>
    <t>0.1 point for every 10%
Max 0.5 point</t>
  </si>
  <si>
    <r>
      <t xml:space="preserve">• Depth of Room vs Openings
</t>
    </r>
    <r>
      <rPr>
        <i/>
        <sz val="12"/>
        <color theme="1"/>
        <rFont val="Calibri"/>
        <family val="2"/>
        <scheme val="minor"/>
      </rPr>
      <t xml:space="preserve">A. Single sided ventilation:
the limiting depth(W) for effective ventilation is twice the floor-to-ceiling height (H) [W≤2H]
B. Cross Ventilation:
the limiting depth(W) for effective ventilation is five times the floor-to-ceiling height (H) [W≤5H]
C. Atria/ event space:
Atria to have an effective opening &gt;10% floor area:
Atria can be 1.5x the depth of room (A and B), or up to 2x depth where the use of fixed air movement technologies are employed (e.g. HVLS fans).
</t>
    </r>
    <r>
      <rPr>
        <sz val="12"/>
        <color theme="1"/>
        <rFont val="Calibri"/>
        <family val="2"/>
        <scheme val="minor"/>
      </rPr>
      <t xml:space="preserve">
(a) at least 50% of applicable spaces
(b) at least 70% of applicable spaces</t>
    </r>
  </si>
  <si>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</si>
  <si>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</si>
  <si>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</si>
  <si>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</si>
  <si>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</si>
  <si>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</si>
  <si>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</si>
  <si>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</si>
  <si>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</si>
  <si>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</si>
  <si>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</si>
  <si>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</si>
  <si>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</si>
  <si>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</si>
  <si>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</si>
  <si>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</si>
  <si>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</si>
  <si>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</si>
  <si>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</si>
  <si>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</si>
  <si>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</si>
  <si>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</si>
  <si>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</si>
  <si>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</si>
  <si>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</si>
  <si>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</si>
  <si>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r>
      <rPr>
        <b/>
        <sz val="12"/>
        <color theme="1"/>
        <rFont val="Calibri"/>
        <family val="2"/>
        <scheme val="minor"/>
      </rPr>
      <t>Circadian Lighting System</t>
    </r>
    <r>
      <rPr>
        <sz val="12"/>
        <color theme="1"/>
        <rFont val="Calibri"/>
        <family val="2"/>
        <scheme val="minor"/>
      </rPr>
      <t xml:space="preserve">
Provision of dynamic lighting system
(a) for Task Lighting
(b) for All Lighting</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</si>
  <si>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</si>
  <si>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</si>
  <si>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</si>
  <si>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</si>
  <si>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</si>
  <si>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</si>
  <si>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</si>
  <si>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</si>
  <si>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</si>
  <si>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</si>
  <si>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</si>
  <si>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</si>
  <si>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</si>
  <si>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</si>
  <si>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</si>
  <si>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</si>
  <si>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</si>
  <si>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</si>
  <si>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r>
      <t xml:space="preserve">Certification through BCA Universal Design Mark
(A) UDi C Rating
(B) UDi A </t>
    </r>
    <r>
      <rPr>
        <sz val="12"/>
        <color theme="1"/>
        <rFont val="Calibri"/>
        <family val="2"/>
        <scheme val="minor"/>
      </rPr>
      <t xml:space="preserve">or </t>
    </r>
    <r>
      <rPr>
        <i/>
        <sz val="12"/>
        <color theme="1"/>
        <rFont val="Calibri"/>
        <family val="2"/>
        <scheme val="minor"/>
      </rPr>
      <t>B Rating</t>
    </r>
  </si>
  <si>
    <t>Sub-Total for HW3.1</t>
  </si>
  <si>
    <t>HW3.2</t>
  </si>
  <si>
    <t>Communal Spaces</t>
  </si>
  <si>
    <t>HW3.2a</t>
  </si>
  <si>
    <r>
      <rPr>
        <b/>
        <sz val="12"/>
        <color theme="1"/>
        <rFont val="Calibri"/>
        <family val="2"/>
        <scheme val="minor"/>
      </rPr>
      <t>Restorative and community Spaces</t>
    </r>
    <r>
      <rPr>
        <sz val="11"/>
        <color theme="1"/>
        <rFont val="Calibri"/>
        <family val="2"/>
        <scheme val="minor"/>
      </rPr>
      <t xml:space="preserve">
</t>
    </r>
  </si>
  <si>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</si>
  <si>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</si>
  <si>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</si>
  <si>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</si>
  <si>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</si>
  <si>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</si>
  <si>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</si>
  <si>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</si>
  <si>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</si>
  <si>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</si>
  <si>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</si>
  <si>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</si>
  <si>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</si>
  <si>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</si>
  <si>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</si>
  <si>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</si>
  <si>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</si>
  <si>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</si>
  <si>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</si>
  <si>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</si>
  <si>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</si>
  <si>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</si>
  <si>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</si>
  <si>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</si>
  <si>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Available points for Existing Buildings</t>
  </si>
  <si>
    <t>IN 1</t>
  </si>
  <si>
    <t>IN 1.1</t>
  </si>
  <si>
    <t>Digital Life Cycle</t>
  </si>
  <si>
    <t>PIM (BIM) developed in accordance with  Singapore Model Content Requirements (MCR).</t>
  </si>
  <si>
    <t xml:space="preserve">Use of spatial model co-ordination platform based on PIM for spatial analysis including: </t>
  </si>
  <si>
    <t>a. Identifying system clashes through an automatic model checking tool</t>
  </si>
  <si>
    <t>b. Spatial analysis for effective construction, maintenance and future alteration or replacement.</t>
  </si>
  <si>
    <t>Digital building commissioning, performance and defect co-ordination platform based on PIM to track, co-ordinate and manage the commissioning of systems and the tracking of defects and their rectification.</t>
  </si>
  <si>
    <t>SUB-TOTAL FOR IN 1.1</t>
  </si>
  <si>
    <t>IN 1.2</t>
  </si>
  <si>
    <t>Good Practices to Facilitate Data Management</t>
  </si>
  <si>
    <r>
      <rPr>
        <b/>
        <u/>
        <sz val="12"/>
        <color rgb="FF000000"/>
        <rFont val="Calibri"/>
        <family val="2"/>
        <scheme val="minor"/>
      </rPr>
      <t xml:space="preserve">Prerequisite 
</t>
    </r>
    <r>
      <rPr>
        <sz val="12"/>
        <color rgb="FF000000"/>
        <rFont val="Calibri"/>
        <family val="2"/>
        <scheme val="minor"/>
      </rPr>
      <t>Non-residential projects must score minimum 1 point (for new building) or 2 points (for existing building) from IN1.2 to attain the Intelligence Badge.</t>
    </r>
  </si>
  <si>
    <t>Performance dashboard to monitor the different aspect of building assets’ performance and operations from a single dashboard:</t>
  </si>
  <si>
    <t>a. Operational dashboard: sets of measures used to guide facility operations such as energy &amp; water efficiency and work order status.</t>
  </si>
  <si>
    <t>b. Managerial dashboard: sets of metrics which may use data from multiple operational systems such as asset health and energy use per occupant.</t>
  </si>
  <si>
    <t>Data Management and Integration that:</t>
  </si>
  <si>
    <t>a. Connects and manages asset and facility data, operational data, and real-time equipment data extracted from different sub-systems based on an open protocol.</t>
  </si>
  <si>
    <t>Data Accessibility and Security - information stored in the digital platform(s) can be accessed by facilities teams in a secured manner to facilitate operation and maintenance activities from anywhere and anytime.</t>
  </si>
  <si>
    <t>SUB-TOTAL FOR IN 1.2</t>
  </si>
  <si>
    <t>IN 2</t>
  </si>
  <si>
    <t>IN 2.1</t>
  </si>
  <si>
    <t>Asset Information Model</t>
  </si>
  <si>
    <t>Development and handover of an accurate spatial model of the building or asset which is complete, fully up-to-date and inclusive of renovations that would impact building services or layout alterations.</t>
  </si>
  <si>
    <t>Physical and virtual asset information tagging system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</si>
  <si>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</si>
  <si>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</si>
  <si>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</si>
  <si>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Voluntary Disclosure of Building Energy Performance Data</t>
  </si>
  <si>
    <t>Create your SLEB Smart Hub user account by following the instructions in the video provided here: https://go.gov.sg/slebregister. Subsequently, become a SLEB Smart Hub member by referring to the step-by-step guide available in the video at this link: https://go.gov.sg/slebmember.</t>
  </si>
  <si>
    <t>Share data to SLEB Smart Hub Operation Dashboard by following the instructions in the video provided here: https://go.gov.sg/sleboperation.</t>
  </si>
  <si>
    <t>Share data to SLEB Smart Hub Energy Performance Dashboard by following the instructions in the video provided here: https://go.gov.sg/slebenergy.</t>
  </si>
  <si>
    <t>SUB-TOTAL FOR IN 2.2</t>
  </si>
  <si>
    <t>IN 2.3</t>
  </si>
  <si>
    <t>Data Ethics</t>
  </si>
  <si>
    <t>Demonstrate accountable data ethics practices that identifies the various opportunities for the collection, analysis, and use of data, organised around 4 principles:
a) Governance and Transparency
b) Management of Personal Data
c) Care of Personal Data
d) Individuals’ Rights</t>
  </si>
  <si>
    <t>SUB-TOTAL FOR IN 2.3</t>
  </si>
  <si>
    <t>IN 3</t>
  </si>
  <si>
    <t>IN 3.1</t>
  </si>
  <si>
    <t>Energy Usage Optimisation</t>
  </si>
  <si>
    <t>Adaptive ACMV control system (Water Side) – continuously monitor, analyse, and modify BMS control settings to optimise energy usage of ACMV (water-side) system while maintaining occupant comfort.</t>
  </si>
  <si>
    <t>Adaptive ACMV control system (Air Side) – continuously monitor, analyse, and modify BMS control settings to optimise energy usage of ACMV (air side) system while maintaining occupant comfort.</t>
  </si>
  <si>
    <t>Adaptive lighting monitoring &amp; control system – continuously monitor and control the lighting within specific areas based on inputs such as motion, daylight levels, or space temperature to reduce energy usage while maintaining comfortable user experience.</t>
  </si>
  <si>
    <t>Tenant energy monitoring and optimisation – continuously monitor, benchmark, and report tenant energy consumption to optimise the energy consumption.</t>
  </si>
  <si>
    <t>SUB-TOTAL FOR IN 3.1</t>
  </si>
  <si>
    <t>IN 3.2</t>
  </si>
  <si>
    <t>Greenhouse Gas (GHG) Emissions Monitoring and Tracking</t>
  </si>
  <si>
    <t>Point allocation is based on the scopes of GHG monitoring and tracking:</t>
  </si>
  <si>
    <t>Scope 1 GHG emission (direct emission) and Scope 2 GHG emission (indirect emission).</t>
  </si>
  <si>
    <t>Scope 3 GHG emission (indirect emission) for at least 2 relevant categories.</t>
  </si>
  <si>
    <t>SUB-TOTAL FOR IN 3.2</t>
  </si>
  <si>
    <t>IN 3.3</t>
  </si>
  <si>
    <t>Health &amp; Comfort – Provision of indoor air quality monitoring system with zonal controls</t>
  </si>
  <si>
    <t>Health &amp; Comfort – Provision of indoor air quality monitoring system with zonal controls.</t>
  </si>
  <si>
    <t>SUB-TOTAL FOR IN 3.3</t>
  </si>
  <si>
    <t>IN 3.4</t>
  </si>
  <si>
    <t>Space Optimisation</t>
  </si>
  <si>
    <t>To continuously monitor, track, and report space utilisation in order to empower building owner and/or FM team to optimise space functionality/utilisation and occupant/FM personnel productivity.</t>
  </si>
  <si>
    <t>SUB-TOTAL FOR IN 3.4</t>
  </si>
  <si>
    <t>IN 3.5</t>
  </si>
  <si>
    <t>User Experience</t>
  </si>
  <si>
    <t>User feedback: proactive collection and use of data using a digital user feedback platform to understand, track and manage the occupants or residents experience within the building:
• User patterns
• Comfort (thermal, visual, aural, olfactory, and spatial, including locational information)</t>
  </si>
  <si>
    <t>Community experience: a user-friendly digital platform that grants building occupants or residents convenient access to a variety of services available within the building and its community.</t>
  </si>
  <si>
    <t>a. Electronic notice board: to improve communication within residential building community, making it easier to share information, engage residents, and enhance the overall living experience.</t>
  </si>
  <si>
    <t>b. Innovative use of the electronic noticed board system.</t>
  </si>
  <si>
    <t>a. Parcel delivery management: a user-friendly parcel delivery management system that enhance the convenience and satisfaction of residents, as well as streamline the operations of property management.</t>
  </si>
  <si>
    <t>b. Innovative use of the parcel delivery management system.</t>
  </si>
  <si>
    <t>SUB-TOTAL FOR IN 3.5</t>
  </si>
  <si>
    <t>Intelligence - Innovation</t>
  </si>
  <si>
    <t>Projects can demonstrate substantial performance to a specific Intelligence indicator or outcome innovation points can be awarded on a case by case basis. Points shall be awarded based on the strength of evidence of benefits and potential impact.</t>
  </si>
  <si>
    <t>Points shall be awarded based on the strength of evidence of benefits and potential impact.
Please do a self scoring for each Innovation.
Capped on 2 points</t>
  </si>
  <si>
    <t>Innovation no. 2:</t>
  </si>
  <si>
    <t>Important Note - Please use embedded Maintainability Section Scoresheet below to generate scoring</t>
  </si>
  <si>
    <r>
      <rPr>
        <b/>
        <sz val="16"/>
        <color rgb="FF7030A0"/>
        <rFont val="Calibri"/>
        <family val="2"/>
        <scheme val="minor"/>
      </rPr>
      <t>1) Please ensure that this excel file is named as Green Mark 2021_Scoresheet (NRB).xlsx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</si>
  <si>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t>CRITERIA FOR MAINTAINABILITY SECTION</t>
  </si>
  <si>
    <t>Points Scored from Embedded Scoresheet</t>
  </si>
  <si>
    <t>Manual input of Points</t>
  </si>
  <si>
    <t>1.5</t>
  </si>
  <si>
    <t>1.6</t>
  </si>
  <si>
    <t>1.7</t>
  </si>
  <si>
    <t>Bonus Points</t>
  </si>
  <si>
    <t>TOTAL Maintainability Section Points Scored</t>
  </si>
  <si>
    <t>Maintainability Prorated Points</t>
  </si>
  <si>
    <t>Bonus scored</t>
  </si>
  <si>
    <t>TOTAL Maintainability Section Points Scored After Pro-rating</t>
  </si>
  <si>
    <t>w/o Bonus</t>
  </si>
  <si>
    <t>w Bonus</t>
  </si>
  <si>
    <t>Total No. of Pre-Requisites Not Complied</t>
  </si>
  <si>
    <t>Total Number of Green Mark 2021 Points</t>
  </si>
  <si>
    <t>Attained Maintainability Badge?</t>
  </si>
  <si>
    <t>Whole Life carbon assessment consistent with EN 15978 and EN 15804</t>
  </si>
  <si>
    <r>
      <rPr>
        <b/>
        <sz val="12"/>
        <color theme="1"/>
        <rFont val="Calibri"/>
        <family val="2"/>
        <scheme val="minor"/>
      </rPr>
      <t xml:space="preserve">Safe and Convenient Access for Active Mobility </t>
    </r>
    <r>
      <rPr>
        <sz val="12"/>
        <color theme="1"/>
        <rFont val="Calibri"/>
        <family val="2"/>
        <scheme val="minor"/>
      </rPr>
      <t xml:space="preserve">
Provision of safe and convenient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</si>
  <si>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 </t>
    </r>
  </si>
  <si>
    <r>
      <t xml:space="preserve">(A) at least 60% of all areas* with acceptable material finishes
(B) at least 80% of common areas with acceptable material finishes
</t>
    </r>
    <r>
      <rPr>
        <i/>
        <sz val="10"/>
        <color theme="1"/>
        <rFont val="Calibri"/>
        <family val="2"/>
        <scheme val="minor"/>
      </rPr>
      <t>*includes lettable areas for non-residential developments and dwelling units for residential developments</t>
    </r>
  </si>
  <si>
    <r>
      <t>Control zones shall not exceed 100m</t>
    </r>
    <r>
      <rPr>
        <vertAlign val="superscript"/>
        <sz val="12"/>
        <color theme="1"/>
        <rFont val="Calibri"/>
        <family val="2"/>
        <scheme val="minor"/>
      </rPr>
      <t>2</t>
    </r>
  </si>
  <si>
    <t>Controls shall provide the logic to modify the operation of the VAV box, FCU, Passive Displacement System coil temperature, Ceiling fan speed or other system employed, which will adjust thermal comfort (temperature and air speed) in that zone.</t>
  </si>
  <si>
    <r>
      <rPr>
        <b/>
        <sz val="12"/>
        <color theme="1"/>
        <rFont val="Calibri"/>
        <family val="2"/>
        <scheme val="minor"/>
      </rPr>
      <t>Internal Noise Level</t>
    </r>
    <r>
      <rPr>
        <sz val="12"/>
        <color theme="1"/>
        <rFont val="Calibri"/>
        <family val="2"/>
        <scheme val="minor"/>
      </rPr>
      <t xml:space="preserve">
Applies to internal noise levels for closed façade condition only
(i.e. all normally operable windows and doors to outside are closed)
Internal noise levels to comply with SS553 Amendment 1 noise criteria, otherwise per AS2107:2016, BB93 or HTM08-01</t>
    </r>
  </si>
  <si>
    <t>Provision of proper and reasonable rest areas for Outsourced workers (e.g. security officers, cleaners) to rest, recuperate, and eat. Refer to the ‘Tripartite Advisory on Provision of Rest Areas for Outsourced Workers’ (Dec 2019):
Locations that afford privacy and provides a pleasant environment as well as provision of amenities such as tables, chairs, water coolers, lockers.</t>
  </si>
  <si>
    <r>
      <rPr>
        <b/>
        <sz val="12"/>
        <rFont val="Calibri"/>
        <family val="2"/>
        <scheme val="minor"/>
      </rPr>
      <t>Process:</t>
    </r>
    <r>
      <rPr>
        <sz val="12"/>
        <rFont val="Calibri"/>
        <family val="2"/>
        <scheme val="minor"/>
      </rPr>
      <t xml:space="preserve">
</t>
    </r>
    <r>
      <rPr>
        <b/>
        <sz val="12"/>
        <rFont val="Calibri"/>
        <family val="2"/>
        <scheme val="minor"/>
      </rPr>
      <t>At Design / Pre-retrofit stage</t>
    </r>
    <r>
      <rPr>
        <sz val="12"/>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rFont val="Calibri"/>
        <family val="2"/>
        <scheme val="minor"/>
      </rPr>
      <t>At Verification (As Built/ In Operation):</t>
    </r>
    <r>
      <rPr>
        <sz val="12"/>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energy storage solutions, electric construction equipment, etc.)
•   Recognising design for Disassembly/Future adaptability - to facilitate future changes and dismantlement (in part or whole) for recovery of systems, components and materials.
</t>
    </r>
  </si>
  <si>
    <r>
      <t xml:space="preserve">≥ 80% (by cost or area) of the fit-out materials used (construction and finishes) for </t>
    </r>
    <r>
      <rPr>
        <b/>
        <sz val="12"/>
        <rFont val="Calibri"/>
        <family val="2"/>
        <scheme val="minor"/>
      </rPr>
      <t>common areas</t>
    </r>
    <r>
      <rPr>
        <sz val="12"/>
        <rFont val="Calibri"/>
        <family val="2"/>
        <scheme val="minor"/>
      </rPr>
      <t xml:space="preserve"> (i.e. non-tenanted spaces) shall be conserved or at least SGBP 2 ticks or equivalent administered by local  certification bodies</t>
    </r>
  </si>
  <si>
    <r>
      <t xml:space="preserve">Replacement of aggregates
</t>
    </r>
    <r>
      <rPr>
        <sz val="12"/>
        <rFont val="Calibri"/>
        <family val="2"/>
        <scheme val="minor"/>
      </rPr>
      <t xml:space="preserve">Replacement of coarse and fine aggregates for structural concrete applications [by mass of Crushed Concrete Aggregates (CCA), Washed Copper Slag (WCS), granite fines (GF)] must meet both minimum requirements in terms of </t>
    </r>
    <r>
      <rPr>
        <u/>
        <sz val="12"/>
        <rFont val="Calibri"/>
        <family val="2"/>
        <scheme val="minor"/>
      </rPr>
      <t>extent of usage</t>
    </r>
    <r>
      <rPr>
        <sz val="12"/>
        <rFont val="Calibri"/>
        <family val="2"/>
        <scheme val="minor"/>
      </rPr>
      <t xml:space="preserve"> and </t>
    </r>
    <r>
      <rPr>
        <u/>
        <sz val="12"/>
        <rFont val="Calibri"/>
        <family val="2"/>
        <scheme val="minor"/>
      </rPr>
      <t>replacement levels</t>
    </r>
  </si>
  <si>
    <r>
      <t>Total concrete use for superstructure (m</t>
    </r>
    <r>
      <rPr>
        <vertAlign val="superscript"/>
        <sz val="12"/>
        <rFont val="Calibri"/>
        <family val="2"/>
        <scheme val="minor"/>
      </rPr>
      <t>3</t>
    </r>
    <r>
      <rPr>
        <sz val="12"/>
        <rFont val="Calibri"/>
        <family val="2"/>
        <scheme val="minor"/>
      </rPr>
      <t>)</t>
    </r>
  </si>
  <si>
    <r>
      <t xml:space="preserve">Replacement level of coarse aggregate with CCA </t>
    </r>
    <r>
      <rPr>
        <sz val="12"/>
        <rFont val="Calibri"/>
        <family val="2"/>
      </rPr>
      <t>≥ 20%</t>
    </r>
  </si>
  <si>
    <t>Minimum extent of usage of CCA ≥ 1.5% of GFA</t>
  </si>
  <si>
    <t>At least 50% offset of scope 2 emissions offset at verification stage</t>
  </si>
  <si>
    <t>(Reference values based on A1-A5 emissions for superstructure)</t>
  </si>
  <si>
    <r>
      <t>Calculation of embodied carbon of the development (kg CO</t>
    </r>
    <r>
      <rPr>
        <vertAlign val="subscript"/>
        <sz val="12"/>
        <rFont val="Calibri"/>
        <family val="2"/>
        <scheme val="minor"/>
      </rPr>
      <t>2</t>
    </r>
    <r>
      <rPr>
        <sz val="12"/>
        <rFont val="Calibri"/>
        <family val="2"/>
        <scheme val="minor"/>
      </rPr>
      <t>e/m</t>
    </r>
    <r>
      <rPr>
        <vertAlign val="superscript"/>
        <sz val="12"/>
        <rFont val="Calibri"/>
        <family val="2"/>
        <scheme val="minor"/>
      </rPr>
      <t>2</t>
    </r>
    <r>
      <rPr>
        <sz val="12"/>
        <rFont val="Calibri"/>
        <family val="2"/>
        <scheme val="minor"/>
      </rPr>
      <t xml:space="preserve">)
</t>
    </r>
    <r>
      <rPr>
        <i/>
        <sz val="12"/>
        <rFont val="Calibri"/>
        <family val="2"/>
        <scheme val="minor"/>
      </rPr>
      <t>Using the Building Embodied Carbon Calculator (BECC) OR Singapore Building Carbon Calculator (SBCC) hosted at the SGBC website. (Also refer to SGBC Embodied Carbon in Buildings Calculation Guidance)</t>
    </r>
  </si>
  <si>
    <t>1 point for (b)
2 points for (c)</t>
  </si>
  <si>
    <t>(b) &gt;10% Reduction from the reference embodied carbon (for Concrete, Glass and Steel)
(c) &gt;30% Reduction from the reference embodied carbon (for Concrete, Glass and Steel)</t>
  </si>
  <si>
    <t xml:space="preserve">(a) </t>
  </si>
  <si>
    <t>CN1.1(ii)</t>
  </si>
  <si>
    <r>
      <t xml:space="preserve">• </t>
    </r>
    <r>
      <rPr>
        <i/>
        <sz val="11"/>
        <rFont val="Calibri"/>
        <family val="2"/>
        <scheme val="minor"/>
      </rPr>
      <t>New building projects that conduct the full scope of WLC assessment will score up to additonal 2 points under the</t>
    </r>
    <r>
      <rPr>
        <b/>
        <i/>
        <sz val="11"/>
        <rFont val="Calibri"/>
        <family val="2"/>
        <scheme val="minor"/>
      </rPr>
      <t xml:space="preserve"> Innovation section. </t>
    </r>
    <r>
      <rPr>
        <i/>
        <sz val="11"/>
        <rFont val="Calibri"/>
        <family val="2"/>
        <scheme val="minor"/>
      </rPr>
      <t xml:space="preserve">
• New building projects scoring under CN1.1(i) will be excluded from scoring under CN 1.1(ii)(a) </t>
    </r>
  </si>
  <si>
    <t>CN1.1(i)</t>
  </si>
  <si>
    <t>N</t>
  </si>
  <si>
    <t>b. Allows data exchange between robots, lifts, and automated doorways.</t>
  </si>
  <si>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 Use of Singapore Green Building Council certified smart building products or product with equivalent certification where 0.25 point shall be awarded for each smart product used that is certified by Singapore Green Building Council or other equivalent certification entities. The coverage rate shall be at least 50% of the applicable areas.</t>
    </r>
    <r>
      <rPr>
        <sz val="12"/>
        <color theme="1"/>
        <rFont val="Calibri"/>
        <family val="2"/>
        <scheme val="minor"/>
      </rPr>
      <t xml:space="preserve">
</t>
    </r>
    <r>
      <rPr>
        <i/>
        <sz val="12"/>
        <color theme="1"/>
        <rFont val="Calibri"/>
        <family val="2"/>
        <scheme val="minor"/>
      </rPr>
      <t>- Adoption of Digital Twin Technology.
- An Enabling Infrastructure (EI) such as Robotics Middleware Framework (RMF) that enables interoperability among heterogenous robot fleets.</t>
    </r>
  </si>
  <si>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
(A) 75% of the floor area of all regularly occupied spaces is within 8m of windows, with unobstructed views
(B) 95% of the floor area of all regularly occupied spaces is within 12m of windows, with unobstructed views</t>
    </r>
  </si>
  <si>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1. RE 2.2 - Pushing the boundary of the circularity agenda by adopting innovative solutions/technologies to closing the resource loops and achieving zero waste.
2. Project fully embraces induction cooking to support electrification (0.5 point).</t>
    </r>
  </si>
  <si>
    <t>A. Thermal comfort simulation: -0.5&lt;=PMV&lt;=0.5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</si>
</sst>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sz val="12"/>
      <color theme="0"/>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i/>
      <sz val="11"/>
      <name val="Calibri"/>
      <family val="2"/>
      <scheme val="minor"/>
    </font>
    <font>
      <b/>
      <i/>
      <sz val="11"/>
      <name val="Calibri"/>
      <family val="2"/>
      <scheme val="minor"/>
    </font>
    <font>
      <b/>
      <u/>
      <sz val="16"/>
      <color theme="1"/>
      <name val="Calibri"/>
      <family val="2"/>
      <scheme val="minor"/>
    </font>
    <font>
      <sz val="11"/>
      <color rgb="FF3F3F76"/>
      <name val="Calibri"/>
      <family val="2"/>
      <scheme val="minor"/>
    </font>
    <font>
      <b/>
      <u/>
      <sz val="16"/>
      <color rgb="FF9933FF"/>
      <name val="Calibri"/>
      <family val="2"/>
      <scheme val="minor"/>
    </font>
    <font>
      <b/>
      <sz val="16"/>
      <color rgb="FF9933FF"/>
      <name val="Calibri"/>
      <family val="2"/>
      <scheme val="minor"/>
    </font>
    <font>
      <b/>
      <u/>
      <sz val="16"/>
      <color rgb="FFFFCC99"/>
      <name val="Calibri"/>
      <family val="2"/>
      <scheme val="minor"/>
    </font>
    <font>
      <b/>
      <sz val="16"/>
      <color rgb="FF7030A0"/>
      <name val="Calibri"/>
      <family val="2"/>
      <scheme val="minor"/>
    </font>
    <font>
      <b/>
      <u/>
      <sz val="16"/>
      <color rgb="FF7030A0"/>
      <name val="Calibri"/>
      <family val="2"/>
      <scheme val="minor"/>
    </font>
    <font>
      <b/>
      <sz val="16"/>
      <color theme="5"/>
      <name val="Calibri"/>
      <family val="2"/>
      <scheme val="minor"/>
    </font>
    <font>
      <b/>
      <u/>
      <sz val="12"/>
      <color rgb="FF000000"/>
      <name val="Calibri"/>
      <family val="2"/>
      <scheme val="minor"/>
    </font>
    <font>
      <sz val="12"/>
      <color rgb="FF000000"/>
      <name val="Calibri"/>
      <family val="2"/>
      <scheme val="minor"/>
    </font>
    <font>
      <strike/>
      <sz val="12"/>
      <color theme="1"/>
      <name val="Calibri"/>
      <family val="2"/>
      <scheme val="minor"/>
    </font>
    <font>
      <u/>
      <sz val="12"/>
      <name val="Calibri"/>
      <family val="2"/>
      <scheme val="minor"/>
    </font>
    <font>
      <vertAlign val="superscript"/>
      <sz val="12"/>
      <name val="Calibri"/>
      <family val="2"/>
      <scheme val="minor"/>
    </font>
    <font>
      <sz val="12"/>
      <name val="Calibri"/>
      <family val="2"/>
    </font>
    <font>
      <i/>
      <sz val="12"/>
      <name val="Calibri"/>
      <family val="2"/>
      <scheme val="minor"/>
    </font>
    <font>
      <vertAlign val="subscript"/>
      <sz val="12"/>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9966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CC99"/>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29" fillId="0" borderId="0"/>
    <xf numFmtId="0" fontId="42" fillId="35" borderId="34" applyNumberFormat="0" applyAlignment="0" applyProtection="0"/>
  </cellStyleXfs>
  <cellXfs count="583">
    <xf numFmtId="0" fontId="0" fillId="0" borderId="0" xfId="0"/>
    <xf numFmtId="0" fontId="11" fillId="12" borderId="1" xfId="0" applyFont="1" applyFill="1" applyBorder="1" applyAlignment="1" applyProtection="1">
      <alignment horizontal="center" vertical="center"/>
      <protection locked="0"/>
    </xf>
    <xf numFmtId="0" fontId="11" fillId="12" borderId="2" xfId="0" applyFont="1" applyFill="1" applyBorder="1" applyAlignment="1" applyProtection="1">
      <alignment horizontal="center" vertical="center"/>
      <protection locked="0"/>
    </xf>
    <xf numFmtId="0" fontId="11" fillId="9" borderId="1" xfId="0" applyFont="1" applyFill="1" applyBorder="1" applyAlignment="1" applyProtection="1">
      <alignment horizontal="center" vertical="center"/>
      <protection locked="0"/>
    </xf>
    <xf numFmtId="0" fontId="11" fillId="32" borderId="1" xfId="0" applyFont="1" applyFill="1" applyBorder="1" applyAlignment="1" applyProtection="1">
      <alignment horizontal="center" vertical="center"/>
      <protection locked="0"/>
    </xf>
    <xf numFmtId="0" fontId="4" fillId="0" borderId="0" xfId="0" applyFont="1"/>
    <xf numFmtId="0" fontId="0" fillId="0" borderId="0" xfId="0" applyAlignment="1">
      <alignment horizontal="center"/>
    </xf>
    <xf numFmtId="0" fontId="0" fillId="0" borderId="0" xfId="0" applyProtection="1">
      <protection locked="0"/>
    </xf>
    <xf numFmtId="0" fontId="0" fillId="0" borderId="1" xfId="0" applyBorder="1" applyProtection="1">
      <protection locked="0"/>
    </xf>
    <xf numFmtId="0" fontId="7" fillId="0" borderId="1" xfId="0" applyFont="1" applyBorder="1" applyAlignment="1">
      <alignment horizontal="center"/>
    </xf>
    <xf numFmtId="1" fontId="7" fillId="0" borderId="1" xfId="0" applyNumberFormat="1" applyFont="1" applyBorder="1" applyAlignment="1">
      <alignment horizontal="center" vertical="center"/>
    </xf>
    <xf numFmtId="2" fontId="7" fillId="0" borderId="1" xfId="0" applyNumberFormat="1" applyFont="1" applyBorder="1" applyAlignment="1">
      <alignment horizontal="center"/>
    </xf>
    <xf numFmtId="0" fontId="6" fillId="2" borderId="1" xfId="0" applyFont="1" applyFill="1" applyBorder="1" applyAlignment="1">
      <alignment horizontal="center" vertical="center" wrapText="1"/>
    </xf>
    <xf numFmtId="0" fontId="32" fillId="30" borderId="15" xfId="0" applyFont="1" applyFill="1" applyBorder="1" applyAlignment="1">
      <alignment horizontal="left"/>
    </xf>
    <xf numFmtId="0" fontId="32" fillId="30" borderId="0" xfId="0" applyFont="1" applyFill="1" applyAlignment="1">
      <alignment horizontal="left"/>
    </xf>
    <xf numFmtId="0" fontId="32" fillId="30" borderId="27" xfId="0" applyFont="1" applyFill="1" applyBorder="1" applyAlignment="1">
      <alignment horizontal="left"/>
    </xf>
    <xf numFmtId="0" fontId="32" fillId="30" borderId="11" xfId="0" applyFont="1" applyFill="1" applyBorder="1" applyAlignment="1">
      <alignment horizontal="center" wrapText="1"/>
    </xf>
    <xf numFmtId="0" fontId="32" fillId="30" borderId="12" xfId="0" applyFont="1" applyFill="1" applyBorder="1" applyAlignment="1">
      <alignment horizontal="center"/>
    </xf>
    <xf numFmtId="0" fontId="32" fillId="30" borderId="8" xfId="0" applyFont="1" applyFill="1" applyBorder="1" applyAlignment="1">
      <alignment horizontal="center"/>
    </xf>
    <xf numFmtId="0" fontId="34" fillId="0" borderId="1" xfId="0" applyFont="1" applyBorder="1" applyAlignment="1" applyProtection="1">
      <alignment horizontal="justify" vertical="center" wrapText="1"/>
      <protection locked="0"/>
    </xf>
    <xf numFmtId="3" fontId="37" fillId="0" borderId="1" xfId="0" applyNumberFormat="1" applyFont="1" applyBorder="1" applyAlignment="1" applyProtection="1">
      <alignment horizontal="justify" vertical="center" wrapText="1"/>
      <protection locked="0"/>
    </xf>
    <xf numFmtId="0" fontId="34" fillId="0" borderId="1" xfId="0" applyFont="1" applyBorder="1" applyAlignment="1" applyProtection="1">
      <alignment vertical="center"/>
      <protection locked="0"/>
    </xf>
    <xf numFmtId="0" fontId="37" fillId="0" borderId="1" xfId="0" applyFont="1" applyBorder="1" applyAlignment="1" applyProtection="1">
      <alignment vertical="center" wrapText="1"/>
      <protection locked="0"/>
    </xf>
    <xf numFmtId="0" fontId="37" fillId="0" borderId="1" xfId="0" applyFont="1" applyBorder="1" applyAlignment="1" applyProtection="1">
      <alignment horizontal="left" vertical="center" wrapText="1"/>
      <protection locked="0"/>
    </xf>
    <xf numFmtId="2" fontId="38" fillId="0" borderId="1" xfId="0" applyNumberFormat="1" applyFont="1" applyBorder="1" applyAlignment="1" applyProtection="1">
      <alignment horizontal="left" vertical="center" wrapText="1"/>
      <protection locked="0"/>
    </xf>
    <xf numFmtId="165" fontId="37" fillId="0" borderId="1" xfId="0" applyNumberFormat="1" applyFont="1" applyBorder="1" applyAlignment="1" applyProtection="1">
      <alignment horizontal="left" vertical="center" wrapText="1"/>
      <protection locked="0"/>
    </xf>
    <xf numFmtId="164" fontId="37"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7" fillId="0" borderId="0" xfId="0" applyFont="1"/>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1" xfId="0" applyBorder="1"/>
    <xf numFmtId="0" fontId="2" fillId="0" borderId="0" xfId="0" applyFont="1"/>
    <xf numFmtId="0" fontId="3" fillId="0" borderId="0" xfId="0" applyFont="1"/>
    <xf numFmtId="0" fontId="5" fillId="2" borderId="1" xfId="0" applyFont="1" applyFill="1" applyBorder="1" applyAlignment="1">
      <alignment horizontal="center" vertical="center" wrapText="1"/>
    </xf>
    <xf numFmtId="0" fontId="18" fillId="31" borderId="1" xfId="0" applyFont="1" applyFill="1" applyBorder="1" applyAlignment="1">
      <alignment vertical="center"/>
    </xf>
    <xf numFmtId="0" fontId="4" fillId="0" borderId="1" xfId="1" applyFont="1" applyBorder="1" applyAlignment="1">
      <alignment horizontal="justify" vertical="center" wrapText="1"/>
    </xf>
    <xf numFmtId="0" fontId="11" fillId="0" borderId="1" xfId="0" applyFont="1" applyBorder="1" applyAlignment="1">
      <alignment horizontal="center" vertical="center"/>
    </xf>
    <xf numFmtId="0" fontId="11" fillId="33" borderId="1" xfId="0" applyFont="1" applyFill="1" applyBorder="1" applyAlignment="1">
      <alignment vertical="center"/>
    </xf>
    <xf numFmtId="0" fontId="10" fillId="33" borderId="1" xfId="0" applyFont="1" applyFill="1" applyBorder="1" applyAlignment="1">
      <alignment vertical="center"/>
    </xf>
    <xf numFmtId="0" fontId="0" fillId="0" borderId="1" xfId="0" applyBorder="1" applyAlignment="1">
      <alignment horizontal="center" vertical="center"/>
    </xf>
    <xf numFmtId="0" fontId="4" fillId="0" borderId="1" xfId="0" applyFont="1" applyBorder="1"/>
    <xf numFmtId="0" fontId="4" fillId="0" borderId="1" xfId="0" applyFont="1" applyBorder="1" applyAlignment="1">
      <alignment vertical="center"/>
    </xf>
    <xf numFmtId="1" fontId="11" fillId="0" borderId="1" xfId="1"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quotePrefix="1" applyFont="1" applyBorder="1" applyAlignment="1">
      <alignment vertical="center" wrapText="1"/>
    </xf>
    <xf numFmtId="0" fontId="4" fillId="0" borderId="1" xfId="0" applyFont="1" applyBorder="1" applyAlignment="1">
      <alignment horizontal="justify" vertical="center" wrapText="1"/>
    </xf>
    <xf numFmtId="1" fontId="11" fillId="32" borderId="1" xfId="1"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xf>
    <xf numFmtId="0" fontId="10" fillId="15" borderId="1" xfId="0" applyFont="1" applyFill="1" applyBorder="1" applyAlignment="1">
      <alignment horizontal="center" vertical="center"/>
    </xf>
    <xf numFmtId="0" fontId="10" fillId="15"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9" fillId="10" borderId="7" xfId="0" applyFont="1" applyFill="1" applyBorder="1" applyAlignment="1">
      <alignment vertical="center" wrapText="1"/>
    </xf>
    <xf numFmtId="0" fontId="9" fillId="10" borderId="5" xfId="0" applyFont="1" applyFill="1" applyBorder="1" applyAlignment="1">
      <alignment vertical="center" wrapText="1"/>
    </xf>
    <xf numFmtId="0" fontId="9" fillId="10" borderId="5" xfId="0" applyFont="1" applyFill="1" applyBorder="1" applyAlignment="1">
      <alignment horizontal="left" vertical="center" wrapText="1"/>
    </xf>
    <xf numFmtId="0" fontId="4" fillId="10" borderId="5" xfId="0" applyFont="1" applyFill="1" applyBorder="1" applyAlignment="1">
      <alignment vertical="center"/>
    </xf>
    <xf numFmtId="0" fontId="4" fillId="10" borderId="6" xfId="0" applyFont="1" applyFill="1" applyBorder="1" applyAlignment="1">
      <alignment vertical="center"/>
    </xf>
    <xf numFmtId="0" fontId="5" fillId="11" borderId="1" xfId="0" applyFont="1" applyFill="1" applyBorder="1" applyAlignment="1">
      <alignment horizontal="center" vertical="center"/>
    </xf>
    <xf numFmtId="0" fontId="11" fillId="11" borderId="1" xfId="0" applyFont="1" applyFill="1" applyBorder="1" applyAlignment="1">
      <alignment vertical="center" wrapText="1"/>
    </xf>
    <xf numFmtId="0" fontId="11" fillId="11" borderId="6" xfId="0" applyFont="1" applyFill="1" applyBorder="1" applyAlignment="1">
      <alignment vertical="center" wrapText="1"/>
    </xf>
    <xf numFmtId="0" fontId="11" fillId="11" borderId="8" xfId="0" applyFont="1" applyFill="1" applyBorder="1" applyAlignment="1">
      <alignment horizontal="left" vertical="center" wrapText="1"/>
    </xf>
    <xf numFmtId="0" fontId="5" fillId="11" borderId="1" xfId="1" applyFont="1" applyFill="1" applyBorder="1" applyAlignment="1">
      <alignment horizontal="center" vertical="center"/>
    </xf>
    <xf numFmtId="0" fontId="4" fillId="11" borderId="1" xfId="0" applyFont="1" applyFill="1" applyBorder="1" applyAlignment="1">
      <alignment vertical="center"/>
    </xf>
    <xf numFmtId="0" fontId="4" fillId="13" borderId="1" xfId="0" applyFont="1" applyFill="1" applyBorder="1" applyAlignment="1">
      <alignment horizontal="center" vertical="center"/>
    </xf>
    <xf numFmtId="0" fontId="4" fillId="13" borderId="1" xfId="0" applyFont="1" applyFill="1" applyBorder="1" applyAlignment="1">
      <alignment vertical="center"/>
    </xf>
    <xf numFmtId="49" fontId="5" fillId="11" borderId="1" xfId="1" applyNumberFormat="1" applyFont="1" applyFill="1" applyBorder="1" applyAlignment="1">
      <alignment horizontal="center" vertical="center"/>
    </xf>
    <xf numFmtId="0" fontId="5" fillId="11" borderId="1" xfId="1" applyFont="1" applyFill="1" applyBorder="1" applyAlignment="1">
      <alignment vertical="center" wrapText="1"/>
    </xf>
    <xf numFmtId="0" fontId="5" fillId="11" borderId="6" xfId="1" applyFont="1" applyFill="1" applyBorder="1" applyAlignment="1">
      <alignment vertical="center" wrapText="1"/>
    </xf>
    <xf numFmtId="0" fontId="5" fillId="11" borderId="6" xfId="1" applyFont="1" applyFill="1" applyBorder="1" applyAlignment="1">
      <alignment horizontal="left" vertical="center" wrapText="1"/>
    </xf>
    <xf numFmtId="0" fontId="4" fillId="14" borderId="7" xfId="1" applyFont="1" applyFill="1" applyBorder="1" applyAlignment="1">
      <alignment vertical="center" wrapText="1"/>
    </xf>
    <xf numFmtId="0" fontId="4" fillId="34" borderId="1" xfId="1" applyFont="1" applyFill="1" applyBorder="1" applyAlignment="1">
      <alignment vertical="center" wrapText="1"/>
    </xf>
    <xf numFmtId="0" fontId="4" fillId="0" borderId="1" xfId="1" applyFont="1" applyBorder="1" applyAlignment="1">
      <alignment vertical="center" wrapText="1"/>
    </xf>
    <xf numFmtId="0" fontId="4" fillId="14" borderId="1" xfId="1" applyFont="1" applyFill="1" applyBorder="1" applyAlignment="1">
      <alignment vertical="center" wrapText="1"/>
    </xf>
    <xf numFmtId="0" fontId="4" fillId="0" borderId="7" xfId="1" applyFont="1" applyBorder="1" applyAlignment="1">
      <alignment vertical="center" wrapText="1"/>
    </xf>
    <xf numFmtId="0" fontId="4" fillId="3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Border="1" applyAlignment="1">
      <alignment horizontal="center" vertical="center"/>
    </xf>
    <xf numFmtId="49" fontId="4" fillId="13" borderId="3" xfId="1" applyNumberFormat="1" applyFont="1" applyFill="1" applyBorder="1" applyAlignment="1">
      <alignment horizontal="center" vertical="center"/>
    </xf>
    <xf numFmtId="0" fontId="4" fillId="13" borderId="8" xfId="0" applyFont="1" applyFill="1" applyBorder="1" applyAlignment="1">
      <alignment horizontal="center" vertical="center"/>
    </xf>
    <xf numFmtId="0" fontId="5" fillId="10" borderId="11" xfId="0" applyFont="1" applyFill="1" applyBorder="1" applyAlignment="1">
      <alignment vertical="center"/>
    </xf>
    <xf numFmtId="0" fontId="5" fillId="10" borderId="5" xfId="0" applyFont="1" applyFill="1" applyBorder="1" applyAlignment="1">
      <alignment vertical="center"/>
    </xf>
    <xf numFmtId="0" fontId="5" fillId="10" borderId="5" xfId="0" applyFont="1" applyFill="1" applyBorder="1" applyAlignment="1">
      <alignment horizontal="left" vertical="center"/>
    </xf>
    <xf numFmtId="0" fontId="5" fillId="10" borderId="12" xfId="0" applyFont="1" applyFill="1" applyBorder="1" applyAlignment="1">
      <alignment vertical="center" wrapText="1"/>
    </xf>
    <xf numFmtId="0" fontId="5" fillId="10" borderId="6" xfId="0" applyFont="1" applyFill="1" applyBorder="1" applyAlignment="1">
      <alignment vertical="center" wrapText="1"/>
    </xf>
    <xf numFmtId="0" fontId="5" fillId="11" borderId="1" xfId="0" applyFont="1" applyFill="1" applyBorder="1" applyAlignment="1">
      <alignment vertical="center" wrapText="1"/>
    </xf>
    <xf numFmtId="0" fontId="5" fillId="11" borderId="8" xfId="0" applyFont="1" applyFill="1" applyBorder="1" applyAlignment="1">
      <alignment vertical="center" wrapText="1"/>
    </xf>
    <xf numFmtId="0" fontId="5" fillId="11" borderId="8" xfId="0" applyFont="1" applyFill="1" applyBorder="1" applyAlignment="1">
      <alignment horizontal="left" vertical="center" wrapText="1"/>
    </xf>
    <xf numFmtId="0" fontId="4" fillId="13" borderId="0" xfId="0" applyFont="1" applyFill="1" applyAlignment="1">
      <alignment vertical="center"/>
    </xf>
    <xf numFmtId="0" fontId="4" fillId="13" borderId="6" xfId="0" applyFont="1" applyFill="1" applyBorder="1" applyAlignment="1">
      <alignment vertical="center"/>
    </xf>
    <xf numFmtId="0" fontId="5" fillId="11" borderId="6" xfId="0" applyFont="1" applyFill="1" applyBorder="1" applyAlignment="1">
      <alignment vertical="center" wrapText="1"/>
    </xf>
    <xf numFmtId="0" fontId="5" fillId="11" borderId="6" xfId="0" applyFont="1" applyFill="1" applyBorder="1" applyAlignment="1">
      <alignment horizontal="left" vertical="center" wrapText="1"/>
    </xf>
    <xf numFmtId="0" fontId="4" fillId="0" borderId="3" xfId="0" applyFont="1" applyBorder="1" applyAlignment="1">
      <alignment vertical="center" wrapText="1"/>
    </xf>
    <xf numFmtId="0" fontId="4" fillId="14" borderId="2" xfId="1" applyFont="1" applyFill="1" applyBorder="1" applyAlignment="1">
      <alignment horizontal="center" vertical="center" wrapText="1"/>
    </xf>
    <xf numFmtId="0" fontId="5" fillId="10" borderId="12" xfId="0" applyFont="1" applyFill="1" applyBorder="1" applyAlignment="1">
      <alignment vertical="center"/>
    </xf>
    <xf numFmtId="0" fontId="5" fillId="10" borderId="12" xfId="0" applyFont="1" applyFill="1" applyBorder="1" applyAlignment="1">
      <alignment horizontal="left" vertical="center"/>
    </xf>
    <xf numFmtId="0" fontId="4" fillId="11" borderId="6" xfId="0" applyFont="1" applyFill="1" applyBorder="1" applyAlignment="1">
      <alignment vertical="center"/>
    </xf>
    <xf numFmtId="0" fontId="10" fillId="15" borderId="9" xfId="0" applyFont="1" applyFill="1" applyBorder="1" applyAlignment="1">
      <alignment horizontal="center" vertical="center"/>
    </xf>
    <xf numFmtId="0" fontId="5" fillId="15" borderId="9" xfId="0" applyFont="1" applyFill="1" applyBorder="1" applyAlignment="1">
      <alignment horizontal="center" vertical="center"/>
    </xf>
    <xf numFmtId="0" fontId="5" fillId="10" borderId="1" xfId="2" applyFont="1" applyFill="1" applyBorder="1" applyAlignment="1">
      <alignment horizontal="center" vertical="center"/>
    </xf>
    <xf numFmtId="0" fontId="5" fillId="10" borderId="5" xfId="2" applyFont="1" applyFill="1" applyBorder="1" applyAlignment="1">
      <alignment horizontal="left" vertical="center"/>
    </xf>
    <xf numFmtId="0" fontId="5" fillId="10" borderId="7" xfId="2" applyFont="1" applyFill="1" applyBorder="1" applyAlignment="1">
      <alignment horizontal="center" vertical="center" wrapText="1"/>
    </xf>
    <xf numFmtId="0" fontId="5" fillId="11" borderId="1" xfId="2" applyFont="1" applyFill="1" applyBorder="1" applyAlignment="1">
      <alignment horizontal="center" vertical="center"/>
    </xf>
    <xf numFmtId="0" fontId="5" fillId="11" borderId="1" xfId="2" applyFont="1" applyFill="1" applyBorder="1" applyAlignment="1">
      <alignment vertical="center" wrapText="1"/>
    </xf>
    <xf numFmtId="0" fontId="5" fillId="11" borderId="3" xfId="2" applyFont="1" applyFill="1" applyBorder="1" applyAlignment="1">
      <alignment vertical="center" wrapText="1"/>
    </xf>
    <xf numFmtId="0" fontId="4" fillId="11" borderId="3" xfId="0" applyFont="1" applyFill="1" applyBorder="1" applyAlignment="1">
      <alignment vertical="center"/>
    </xf>
    <xf numFmtId="0" fontId="4" fillId="0" borderId="7" xfId="2" applyFont="1" applyBorder="1" applyAlignment="1">
      <alignment vertical="center" wrapText="1"/>
    </xf>
    <xf numFmtId="0" fontId="4" fillId="34" borderId="1" xfId="2" applyFont="1" applyFill="1" applyBorder="1" applyAlignment="1">
      <alignment vertical="center" wrapText="1"/>
    </xf>
    <xf numFmtId="0" fontId="4" fillId="0" borderId="1" xfId="2" applyFont="1" applyBorder="1" applyAlignment="1">
      <alignment vertical="center" wrapText="1"/>
    </xf>
    <xf numFmtId="0" fontId="0" fillId="0" borderId="1" xfId="0" applyBorder="1" applyAlignment="1">
      <alignment vertical="center"/>
    </xf>
    <xf numFmtId="0" fontId="2" fillId="0" borderId="1" xfId="0" applyFont="1" applyBorder="1" applyAlignment="1">
      <alignment horizontal="center" vertical="center"/>
    </xf>
    <xf numFmtId="0" fontId="0" fillId="0" borderId="0" xfId="0" applyAlignment="1">
      <alignment horizontal="center" vertical="center"/>
    </xf>
    <xf numFmtId="0" fontId="15" fillId="0" borderId="1" xfId="0" applyFont="1" applyBorder="1" applyAlignment="1">
      <alignment horizontal="center" vertical="center"/>
    </xf>
    <xf numFmtId="0" fontId="4" fillId="0" borderId="7" xfId="2" applyFont="1" applyBorder="1" applyAlignment="1">
      <alignment horizontal="center" vertical="center" wrapText="1"/>
    </xf>
    <xf numFmtId="0" fontId="15" fillId="16" borderId="1" xfId="0" applyFont="1" applyFill="1" applyBorder="1" applyAlignment="1">
      <alignment horizontal="center" vertical="center" wrapText="1"/>
    </xf>
    <xf numFmtId="0" fontId="4" fillId="13" borderId="1" xfId="2" applyFont="1" applyFill="1" applyBorder="1" applyAlignment="1">
      <alignment horizontal="center" vertical="center"/>
    </xf>
    <xf numFmtId="0" fontId="5" fillId="11" borderId="1" xfId="2" applyFont="1" applyFill="1" applyBorder="1" applyAlignment="1">
      <alignment horizontal="center" vertical="center" wrapText="1"/>
    </xf>
    <xf numFmtId="0" fontId="4" fillId="0" borderId="3" xfId="2" quotePrefix="1" applyFont="1" applyBorder="1" applyAlignment="1">
      <alignment horizontal="justify" vertical="center" wrapText="1"/>
    </xf>
    <xf numFmtId="0" fontId="4" fillId="0" borderId="1" xfId="2" applyFont="1" applyBorder="1" applyAlignment="1">
      <alignment horizontal="justify" vertical="center" wrapText="1"/>
    </xf>
    <xf numFmtId="0" fontId="4" fillId="13" borderId="9" xfId="0" applyFont="1" applyFill="1" applyBorder="1" applyAlignment="1">
      <alignment vertical="center"/>
    </xf>
    <xf numFmtId="0" fontId="5" fillId="10" borderId="1" xfId="2" applyFont="1" applyFill="1" applyBorder="1" applyAlignment="1">
      <alignment vertical="center"/>
    </xf>
    <xf numFmtId="0" fontId="5" fillId="10" borderId="6" xfId="2" applyFont="1" applyFill="1" applyBorder="1" applyAlignment="1">
      <alignment vertical="center"/>
    </xf>
    <xf numFmtId="0" fontId="11" fillId="11"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2" xfId="2" applyFont="1" applyBorder="1" applyAlignment="1">
      <alignment vertical="center" wrapText="1"/>
    </xf>
    <xf numFmtId="0" fontId="11" fillId="0" borderId="2" xfId="0" applyFont="1" applyBorder="1" applyAlignment="1">
      <alignment horizontal="center" vertical="center"/>
    </xf>
    <xf numFmtId="0" fontId="5" fillId="11" borderId="3" xfId="2" applyFont="1" applyFill="1" applyBorder="1" applyAlignment="1">
      <alignment horizontal="center" vertical="center"/>
    </xf>
    <xf numFmtId="0" fontId="5" fillId="11" borderId="3" xfId="2" applyFont="1" applyFill="1" applyBorder="1" applyAlignment="1">
      <alignment horizontal="justify" vertical="center" wrapText="1"/>
    </xf>
    <xf numFmtId="0" fontId="5" fillId="11" borderId="3" xfId="2" applyFont="1" applyFill="1" applyBorder="1" applyAlignment="1">
      <alignment horizontal="center" vertical="center" wrapText="1"/>
    </xf>
    <xf numFmtId="0" fontId="4" fillId="0" borderId="1" xfId="2" quotePrefix="1" applyFont="1" applyBorder="1" applyAlignment="1">
      <alignment horizontal="justify" vertical="center" wrapText="1"/>
    </xf>
    <xf numFmtId="0" fontId="11" fillId="8" borderId="5" xfId="0" applyFont="1" applyFill="1" applyBorder="1" applyAlignment="1">
      <alignment horizontal="center" vertical="center"/>
    </xf>
    <xf numFmtId="0" fontId="4" fillId="11" borderId="3" xfId="2" applyFont="1" applyFill="1" applyBorder="1" applyAlignment="1">
      <alignment horizontal="center" vertical="center"/>
    </xf>
    <xf numFmtId="0" fontId="4" fillId="11" borderId="3" xfId="2" applyFont="1" applyFill="1" applyBorder="1" applyAlignment="1">
      <alignment vertical="center" wrapText="1"/>
    </xf>
    <xf numFmtId="0" fontId="4" fillId="11" borderId="1" xfId="2" applyFont="1" applyFill="1" applyBorder="1" applyAlignment="1">
      <alignment horizontal="center" vertical="center"/>
    </xf>
    <xf numFmtId="0" fontId="4" fillId="11" borderId="1" xfId="2" applyFont="1" applyFill="1" applyBorder="1" applyAlignment="1">
      <alignment vertical="center" wrapText="1"/>
    </xf>
    <xf numFmtId="0" fontId="11" fillId="11" borderId="1" xfId="2" applyFont="1" applyFill="1" applyBorder="1" applyAlignment="1">
      <alignment horizontal="justify" vertical="center" wrapText="1"/>
    </xf>
    <xf numFmtId="0" fontId="11" fillId="0" borderId="1" xfId="0" applyFont="1" applyBorder="1" applyAlignment="1">
      <alignment horizontal="center" vertical="center" wrapText="1"/>
    </xf>
    <xf numFmtId="0" fontId="4" fillId="0" borderId="1" xfId="0" applyFont="1" applyBorder="1" applyAlignment="1" applyProtection="1">
      <alignment vertical="center"/>
      <protection locked="0"/>
    </xf>
    <xf numFmtId="1" fontId="11" fillId="12" borderId="1" xfId="1"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1" fillId="12"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2"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3"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xf>
    <xf numFmtId="0" fontId="10" fillId="17" borderId="1" xfId="0" applyFont="1" applyFill="1" applyBorder="1" applyAlignment="1">
      <alignment horizontal="center" vertical="center"/>
    </xf>
    <xf numFmtId="164" fontId="10" fillId="17" borderId="5" xfId="0" applyNumberFormat="1" applyFont="1" applyFill="1" applyBorder="1" applyAlignment="1">
      <alignment horizontal="center" vertical="center"/>
    </xf>
    <xf numFmtId="0" fontId="10" fillId="17" borderId="6" xfId="0" applyFont="1" applyFill="1" applyBorder="1" applyAlignment="1">
      <alignment vertical="center"/>
    </xf>
    <xf numFmtId="0" fontId="10" fillId="21" borderId="1" xfId="0" applyFont="1" applyFill="1" applyBorder="1" applyAlignment="1">
      <alignment horizontal="center" vertical="top"/>
    </xf>
    <xf numFmtId="0" fontId="10" fillId="21" borderId="1" xfId="0" applyFont="1" applyFill="1" applyBorder="1" applyAlignment="1">
      <alignment horizontal="center" vertical="center"/>
    </xf>
    <xf numFmtId="0" fontId="5" fillId="20" borderId="1" xfId="0" applyFont="1" applyFill="1" applyBorder="1" applyAlignment="1">
      <alignment horizontal="center" vertical="top"/>
    </xf>
    <xf numFmtId="0" fontId="5" fillId="20" borderId="1" xfId="0" applyFont="1" applyFill="1" applyBorder="1" applyAlignment="1">
      <alignment horizontal="center" vertical="center"/>
    </xf>
    <xf numFmtId="0" fontId="4" fillId="0" borderId="19" xfId="0" applyFont="1" applyBorder="1" applyAlignment="1">
      <alignment horizontal="left" vertical="top"/>
    </xf>
    <xf numFmtId="0" fontId="4" fillId="0" borderId="21" xfId="0" applyFont="1" applyBorder="1" applyAlignment="1">
      <alignment vertical="top"/>
    </xf>
    <xf numFmtId="0" fontId="4" fillId="5" borderId="1" xfId="2" applyFont="1" applyFill="1" applyBorder="1" applyAlignment="1">
      <alignment horizontal="center" vertical="center"/>
    </xf>
    <xf numFmtId="0" fontId="4" fillId="5" borderId="1" xfId="0" applyFont="1" applyFill="1" applyBorder="1" applyAlignment="1">
      <alignment horizontal="center" vertical="top"/>
    </xf>
    <xf numFmtId="0" fontId="5" fillId="0" borderId="1" xfId="0" applyFont="1" applyBorder="1" applyAlignment="1">
      <alignment horizontal="center" vertical="center" wrapText="1"/>
    </xf>
    <xf numFmtId="0" fontId="4" fillId="19" borderId="16" xfId="0" applyFont="1" applyFill="1" applyBorder="1" applyAlignment="1">
      <alignment vertical="top"/>
    </xf>
    <xf numFmtId="0" fontId="5" fillId="19" borderId="17" xfId="0" applyFont="1" applyFill="1" applyBorder="1" applyAlignment="1">
      <alignment horizontal="center" vertical="top" wrapText="1"/>
    </xf>
    <xf numFmtId="0" fontId="4" fillId="0" borderId="23" xfId="0" applyFont="1" applyBorder="1" applyAlignment="1">
      <alignment vertical="top"/>
    </xf>
    <xf numFmtId="0" fontId="4" fillId="0" borderId="18" xfId="0" applyFont="1" applyBorder="1" applyAlignment="1">
      <alignment horizontal="left" vertical="top"/>
    </xf>
    <xf numFmtId="0" fontId="4" fillId="0" borderId="19" xfId="0" applyFont="1" applyBorder="1" applyAlignment="1">
      <alignment horizontal="center"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center" vertical="top"/>
    </xf>
    <xf numFmtId="0" fontId="4" fillId="20" borderId="1" xfId="0" applyFont="1" applyFill="1" applyBorder="1" applyAlignment="1">
      <alignment vertical="center"/>
    </xf>
    <xf numFmtId="0" fontId="4" fillId="20" borderId="1" xfId="0" applyFont="1" applyFill="1" applyBorder="1" applyAlignment="1">
      <alignment horizontal="center" vertical="center"/>
    </xf>
    <xf numFmtId="0" fontId="5" fillId="20" borderId="1" xfId="0" applyFont="1" applyFill="1" applyBorder="1" applyAlignment="1">
      <alignment vertical="center"/>
    </xf>
    <xf numFmtId="0" fontId="0" fillId="20" borderId="1" xfId="0" applyFill="1" applyBorder="1"/>
    <xf numFmtId="0" fontId="5" fillId="0" borderId="1" xfId="0" applyFont="1" applyBorder="1" applyAlignment="1">
      <alignment vertical="center"/>
    </xf>
    <xf numFmtId="0" fontId="5" fillId="19" borderId="17" xfId="0" applyFont="1" applyFill="1" applyBorder="1" applyAlignment="1">
      <alignment horizontal="left" vertical="top" wrapText="1"/>
    </xf>
    <xf numFmtId="0" fontId="21" fillId="0" borderId="21" xfId="0" applyFont="1" applyBorder="1" applyAlignment="1">
      <alignment horizontal="center" vertical="top"/>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0" fillId="21" borderId="2" xfId="0" applyFont="1" applyFill="1" applyBorder="1" applyAlignment="1">
      <alignment horizontal="center" vertical="top"/>
    </xf>
    <xf numFmtId="0" fontId="4" fillId="5" borderId="3" xfId="2" applyFont="1" applyFill="1" applyBorder="1" applyAlignment="1">
      <alignment horizontal="center" vertical="center"/>
    </xf>
    <xf numFmtId="0" fontId="10" fillId="17" borderId="5" xfId="0" applyFont="1" applyFill="1" applyBorder="1" applyAlignment="1">
      <alignment horizontal="center" vertical="center"/>
    </xf>
    <xf numFmtId="0" fontId="4" fillId="0" borderId="10" xfId="0" applyFont="1" applyBorder="1" applyAlignment="1">
      <alignment horizontal="center" vertical="top"/>
    </xf>
    <xf numFmtId="0" fontId="0" fillId="34" borderId="1" xfId="0" applyFill="1" applyBorder="1" applyAlignment="1">
      <alignment horizontal="center" vertical="center"/>
    </xf>
    <xf numFmtId="0" fontId="4" fillId="18"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18" fillId="5" borderId="1" xfId="0" applyFont="1" applyFill="1" applyBorder="1" applyAlignment="1">
      <alignment horizontal="center" vertical="center" wrapText="1"/>
    </xf>
    <xf numFmtId="0" fontId="11" fillId="5" borderId="1" xfId="0" quotePrefix="1" applyFont="1" applyFill="1" applyBorder="1" applyAlignment="1">
      <alignment horizontal="center" vertical="center"/>
    </xf>
    <xf numFmtId="0" fontId="11" fillId="24" borderId="1" xfId="0" applyFont="1" applyFill="1" applyBorder="1" applyAlignment="1">
      <alignment horizontal="center" vertical="center"/>
    </xf>
    <xf numFmtId="0" fontId="11" fillId="24" borderId="5" xfId="0" applyFont="1" applyFill="1" applyBorder="1" applyAlignment="1">
      <alignment horizontal="center" vertical="center"/>
    </xf>
    <xf numFmtId="0" fontId="11" fillId="24" borderId="6" xfId="0" applyFont="1" applyFill="1" applyBorder="1" applyAlignment="1">
      <alignment vertical="center"/>
    </xf>
    <xf numFmtId="0" fontId="11" fillId="22" borderId="1" xfId="0" applyFont="1" applyFill="1" applyBorder="1" applyAlignment="1">
      <alignment horizontal="center" vertical="top"/>
    </xf>
    <xf numFmtId="0" fontId="11" fillId="22" borderId="1" xfId="0" applyFont="1" applyFill="1" applyBorder="1" applyAlignment="1">
      <alignment horizontal="center" vertical="center"/>
    </xf>
    <xf numFmtId="0" fontId="11" fillId="23" borderId="1" xfId="0" applyFont="1" applyFill="1" applyBorder="1" applyAlignment="1">
      <alignment horizontal="center" vertical="top"/>
    </xf>
    <xf numFmtId="0" fontId="12" fillId="23" borderId="1" xfId="0" applyFont="1" applyFill="1" applyBorder="1" applyAlignment="1">
      <alignment horizontal="center" vertical="center"/>
    </xf>
    <xf numFmtId="0" fontId="12" fillId="23" borderId="1" xfId="0" applyFont="1" applyFill="1" applyBorder="1" applyAlignment="1">
      <alignment horizontal="center" vertical="top"/>
    </xf>
    <xf numFmtId="0" fontId="4" fillId="25" borderId="1" xfId="0" applyFont="1" applyFill="1" applyBorder="1" applyAlignment="1">
      <alignment vertical="top"/>
    </xf>
    <xf numFmtId="0" fontId="24" fillId="0" borderId="18" xfId="0" applyFont="1" applyBorder="1" applyAlignment="1">
      <alignment horizontal="left" vertical="center" wrapText="1"/>
    </xf>
    <xf numFmtId="0" fontId="25" fillId="0" borderId="19" xfId="0" applyFont="1" applyBorder="1" applyAlignment="1">
      <alignment vertical="top" wrapText="1"/>
    </xf>
    <xf numFmtId="0" fontId="24" fillId="0" borderId="18" xfId="0" applyFont="1" applyBorder="1" applyAlignment="1">
      <alignment vertical="center" wrapText="1"/>
    </xf>
    <xf numFmtId="0" fontId="11" fillId="22" borderId="6" xfId="0" applyFont="1" applyFill="1" applyBorder="1" applyAlignment="1">
      <alignment horizontal="center" vertical="top"/>
    </xf>
    <xf numFmtId="0" fontId="11" fillId="23" borderId="6" xfId="0" applyFont="1" applyFill="1" applyBorder="1" applyAlignment="1">
      <alignment horizontal="center" vertical="top"/>
    </xf>
    <xf numFmtId="0" fontId="5" fillId="0" borderId="6" xfId="0" applyFont="1" applyBorder="1" applyAlignment="1">
      <alignment horizontal="center" vertical="center" wrapText="1"/>
    </xf>
    <xf numFmtId="0" fontId="5" fillId="34" borderId="1" xfId="0" applyFont="1" applyFill="1" applyBorder="1" applyAlignment="1">
      <alignment horizontal="center" vertical="center" wrapText="1"/>
    </xf>
    <xf numFmtId="0" fontId="11" fillId="24" borderId="1" xfId="0" applyFont="1" applyFill="1" applyBorder="1" applyAlignment="1">
      <alignment vertical="center"/>
    </xf>
    <xf numFmtId="0" fontId="11" fillId="0" borderId="1" xfId="0" applyFont="1" applyBorder="1" applyAlignment="1">
      <alignment horizontal="center" vertical="top"/>
    </xf>
    <xf numFmtId="0" fontId="11" fillId="23" borderId="1" xfId="0" applyFont="1" applyFill="1" applyBorder="1" applyAlignment="1">
      <alignment horizontal="center" vertical="center"/>
    </xf>
    <xf numFmtId="0" fontId="4" fillId="0" borderId="1" xfId="0" applyFont="1" applyBorder="1" applyAlignment="1" applyProtection="1">
      <alignment vertical="top"/>
      <protection locked="0"/>
    </xf>
    <xf numFmtId="0" fontId="4" fillId="0" borderId="1" xfId="0" applyFont="1" applyBorder="1" applyAlignment="1" applyProtection="1">
      <alignment vertical="center" wrapText="1"/>
      <protection locked="0"/>
    </xf>
    <xf numFmtId="0" fontId="14" fillId="6" borderId="1" xfId="0" applyFont="1" applyFill="1" applyBorder="1" applyAlignment="1">
      <alignment horizontal="center" vertical="center" wrapText="1"/>
    </xf>
    <xf numFmtId="0" fontId="5" fillId="6" borderId="1" xfId="0" quotePrefix="1" applyFont="1" applyFill="1" applyBorder="1" applyAlignment="1">
      <alignment horizontal="center" vertical="center"/>
    </xf>
    <xf numFmtId="0" fontId="11" fillId="27" borderId="1" xfId="0" applyFont="1" applyFill="1" applyBorder="1" applyAlignment="1">
      <alignment horizontal="center" vertical="center"/>
    </xf>
    <xf numFmtId="0" fontId="11" fillId="27" borderId="1" xfId="0" applyFont="1" applyFill="1" applyBorder="1" applyAlignment="1">
      <alignment horizontal="center" vertical="center" wrapText="1"/>
    </xf>
    <xf numFmtId="0" fontId="5" fillId="26" borderId="1" xfId="0" applyFont="1" applyFill="1" applyBorder="1" applyAlignment="1">
      <alignment horizontal="center" vertical="center"/>
    </xf>
    <xf numFmtId="0" fontId="9" fillId="26" borderId="1" xfId="0" applyFont="1" applyFill="1" applyBorder="1" applyAlignment="1">
      <alignment vertical="center" wrapText="1"/>
    </xf>
    <xf numFmtId="0" fontId="9" fillId="26" borderId="1" xfId="0" applyFont="1" applyFill="1" applyBorder="1" applyAlignment="1">
      <alignment horizontal="left" vertical="center" wrapText="1"/>
    </xf>
    <xf numFmtId="0" fontId="4" fillId="26" borderId="1" xfId="0" applyFont="1" applyFill="1" applyBorder="1" applyAlignment="1">
      <alignment vertical="center"/>
    </xf>
    <xf numFmtId="0" fontId="11" fillId="34" borderId="1" xfId="0" applyFont="1" applyFill="1" applyBorder="1" applyAlignment="1">
      <alignment horizontal="center" vertical="center"/>
    </xf>
    <xf numFmtId="0" fontId="4" fillId="16" borderId="1" xfId="0" applyFont="1" applyFill="1" applyBorder="1" applyAlignment="1">
      <alignment horizontal="center" vertical="center"/>
    </xf>
    <xf numFmtId="0" fontId="4" fillId="16" borderId="1" xfId="0" applyFont="1" applyFill="1" applyBorder="1" applyAlignment="1">
      <alignment vertical="center"/>
    </xf>
    <xf numFmtId="0" fontId="4" fillId="14" borderId="1" xfId="1" applyFont="1" applyFill="1" applyBorder="1" applyAlignment="1">
      <alignment horizontal="center" vertical="center" wrapText="1"/>
    </xf>
    <xf numFmtId="0" fontId="5" fillId="26" borderId="1" xfId="0" applyFont="1" applyFill="1" applyBorder="1" applyAlignment="1">
      <alignment vertical="center" wrapText="1"/>
    </xf>
    <xf numFmtId="164" fontId="5"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2" xfId="2" applyFont="1" applyBorder="1" applyAlignment="1">
      <alignment horizontal="center" vertical="center"/>
    </xf>
    <xf numFmtId="49" fontId="4" fillId="14" borderId="1" xfId="1" applyNumberFormat="1" applyFont="1" applyFill="1" applyBorder="1" applyAlignment="1">
      <alignment horizontal="center" vertical="center"/>
    </xf>
    <xf numFmtId="0" fontId="4" fillId="0" borderId="4" xfId="2" applyFont="1" applyBorder="1" applyAlignment="1">
      <alignment horizontal="center" vertical="center"/>
    </xf>
    <xf numFmtId="0" fontId="10" fillId="21" borderId="1" xfId="0" applyFont="1" applyFill="1" applyBorder="1" applyAlignment="1">
      <alignment horizontal="left" vertical="top" wrapText="1"/>
    </xf>
    <xf numFmtId="0" fontId="5" fillId="0" borderId="1" xfId="0" applyFont="1" applyBorder="1" applyAlignment="1">
      <alignment horizontal="center"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top"/>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23" borderId="1" xfId="0" applyFont="1" applyFill="1" applyBorder="1" applyAlignment="1">
      <alignment horizontal="left" vertical="top" wrapText="1"/>
    </xf>
    <xf numFmtId="0" fontId="4" fillId="34" borderId="1" xfId="0" applyFont="1" applyFill="1" applyBorder="1" applyAlignment="1">
      <alignment horizontal="center" vertical="center"/>
    </xf>
    <xf numFmtId="0" fontId="4" fillId="0" borderId="2" xfId="0" applyFont="1" applyBorder="1" applyAlignment="1" applyProtection="1">
      <alignment horizontal="center" vertical="top"/>
      <protection locked="0"/>
    </xf>
    <xf numFmtId="0" fontId="4" fillId="0" borderId="1" xfId="2" applyFont="1" applyBorder="1" applyAlignment="1">
      <alignment horizontal="center" vertical="center"/>
    </xf>
    <xf numFmtId="0" fontId="4" fillId="0" borderId="1" xfId="0" applyFont="1" applyBorder="1" applyAlignment="1">
      <alignment horizontal="left" vertical="center" wrapText="1"/>
    </xf>
    <xf numFmtId="0" fontId="33" fillId="0" borderId="0" xfId="0" applyFont="1" applyProtection="1">
      <protection locked="0"/>
    </xf>
    <xf numFmtId="0" fontId="35" fillId="0" borderId="0" xfId="0" applyFont="1" applyProtection="1">
      <protection locked="0"/>
    </xf>
    <xf numFmtId="0" fontId="31" fillId="0" borderId="0" xfId="0" applyFont="1" applyProtection="1">
      <protection locked="0"/>
    </xf>
    <xf numFmtId="0" fontId="0" fillId="0" borderId="0" xfId="0" applyAlignment="1" applyProtection="1">
      <alignment vertical="center"/>
      <protection locked="0"/>
    </xf>
    <xf numFmtId="0" fontId="34" fillId="0" borderId="1" xfId="0" applyFont="1" applyBorder="1" applyProtection="1">
      <protection locked="0"/>
    </xf>
    <xf numFmtId="0" fontId="0" fillId="0" borderId="0" xfId="0" applyAlignment="1" applyProtection="1">
      <alignment wrapText="1"/>
      <protection locked="0"/>
    </xf>
    <xf numFmtId="0" fontId="2" fillId="0" borderId="0" xfId="0" applyFont="1" applyProtection="1">
      <protection locked="0"/>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4" fillId="0" borderId="0" xfId="0" applyFont="1" applyProtection="1">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0" fillId="20" borderId="0" xfId="0" applyFill="1" applyProtection="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wrapText="1"/>
    </xf>
    <xf numFmtId="2" fontId="4" fillId="7" borderId="1" xfId="0" applyNumberFormat="1" applyFont="1" applyFill="1" applyBorder="1" applyAlignment="1">
      <alignment horizontal="center" vertical="center" wrapText="1"/>
    </xf>
    <xf numFmtId="2" fontId="10" fillId="28"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2" fontId="5" fillId="2" borderId="1" xfId="0" applyNumberFormat="1" applyFont="1" applyFill="1" applyBorder="1" applyAlignment="1">
      <alignment horizontal="center" vertical="center" wrapText="1"/>
    </xf>
    <xf numFmtId="2" fontId="30" fillId="14" borderId="1" xfId="4" applyNumberFormat="1" applyFont="1" applyFill="1" applyBorder="1" applyAlignment="1" applyProtection="1">
      <alignment horizontal="center" vertical="center" wrapText="1"/>
    </xf>
    <xf numFmtId="0" fontId="10" fillId="7" borderId="1" xfId="0" applyFont="1" applyFill="1" applyBorder="1" applyAlignment="1">
      <alignment horizontal="left" vertical="center"/>
    </xf>
    <xf numFmtId="0" fontId="30" fillId="7" borderId="1" xfId="0" applyFont="1" applyFill="1" applyBorder="1" applyAlignment="1">
      <alignment horizontal="right" vertical="center"/>
    </xf>
    <xf numFmtId="2" fontId="4" fillId="0" borderId="0" xfId="0" applyNumberFormat="1" applyFont="1" applyAlignment="1">
      <alignment horizontal="center"/>
    </xf>
    <xf numFmtId="0" fontId="30" fillId="7" borderId="2" xfId="0" applyFont="1" applyFill="1" applyBorder="1" applyAlignment="1">
      <alignment horizontal="right" vertical="center"/>
    </xf>
    <xf numFmtId="0" fontId="10" fillId="7" borderId="1" xfId="0" applyFont="1" applyFill="1" applyBorder="1" applyAlignment="1">
      <alignment horizontal="right" vertical="center"/>
    </xf>
    <xf numFmtId="0" fontId="4" fillId="0" borderId="0" xfId="0" applyFont="1" applyAlignment="1" applyProtection="1">
      <alignment horizontal="center"/>
      <protection locked="0"/>
    </xf>
    <xf numFmtId="2" fontId="12" fillId="35" borderId="1" xfId="4" applyNumberFormat="1" applyFont="1" applyBorder="1" applyAlignment="1" applyProtection="1">
      <alignment horizontal="center" vertical="center" wrapText="1"/>
      <protection locked="0"/>
    </xf>
    <xf numFmtId="2" fontId="12" fillId="14" borderId="1" xfId="4" applyNumberFormat="1" applyFont="1" applyFill="1" applyBorder="1" applyAlignment="1" applyProtection="1">
      <alignment horizontal="center" vertical="center" wrapText="1"/>
    </xf>
    <xf numFmtId="0" fontId="4" fillId="0" borderId="0" xfId="0" applyFont="1" applyAlignment="1">
      <alignment horizontal="center"/>
    </xf>
    <xf numFmtId="2" fontId="4" fillId="16" borderId="0" xfId="0" applyNumberFormat="1" applyFont="1" applyFill="1" applyAlignment="1">
      <alignment horizontal="center"/>
    </xf>
    <xf numFmtId="0" fontId="0" fillId="0" borderId="1" xfId="0" applyBorder="1" applyAlignment="1" applyProtection="1">
      <alignment vertical="top"/>
      <protection locked="0"/>
    </xf>
    <xf numFmtId="2" fontId="4" fillId="0" borderId="1" xfId="0" applyNumberFormat="1" applyFont="1" applyBorder="1" applyAlignment="1">
      <alignment horizontal="center" vertical="center" wrapText="1"/>
    </xf>
    <xf numFmtId="2" fontId="5" fillId="3" borderId="1" xfId="0" applyNumberFormat="1" applyFont="1" applyFill="1" applyBorder="1" applyAlignment="1">
      <alignment horizontal="center" vertical="center" wrapText="1"/>
    </xf>
    <xf numFmtId="2" fontId="10" fillId="15" borderId="1" xfId="0" applyNumberFormat="1" applyFont="1" applyFill="1" applyBorder="1" applyAlignment="1">
      <alignment horizontal="center" vertical="center"/>
    </xf>
    <xf numFmtId="2" fontId="4" fillId="10" borderId="5" xfId="0" applyNumberFormat="1" applyFont="1" applyFill="1" applyBorder="1" applyAlignment="1">
      <alignment vertical="center"/>
    </xf>
    <xf numFmtId="2" fontId="4" fillId="11" borderId="1" xfId="0" applyNumberFormat="1" applyFont="1" applyFill="1" applyBorder="1" applyAlignment="1">
      <alignment vertical="center"/>
    </xf>
    <xf numFmtId="2" fontId="11" fillId="0" borderId="1" xfId="0" applyNumberFormat="1" applyFont="1" applyBorder="1" applyAlignment="1">
      <alignment horizontal="center" vertical="center" wrapText="1"/>
    </xf>
    <xf numFmtId="2" fontId="11" fillId="13" borderId="2" xfId="0" applyNumberFormat="1" applyFont="1" applyFill="1" applyBorder="1" applyAlignment="1">
      <alignment horizontal="center" vertical="center" wrapText="1"/>
    </xf>
    <xf numFmtId="2" fontId="5" fillId="11" borderId="1" xfId="0" applyNumberFormat="1" applyFont="1" applyFill="1" applyBorder="1" applyAlignment="1">
      <alignment horizontal="center" vertical="center"/>
    </xf>
    <xf numFmtId="2" fontId="4" fillId="0" borderId="1" xfId="0" applyNumberFormat="1" applyFont="1" applyBorder="1" applyAlignment="1">
      <alignment vertical="center"/>
    </xf>
    <xf numFmtId="2" fontId="5" fillId="0" borderId="2" xfId="0" applyNumberFormat="1" applyFont="1" applyBorder="1" applyAlignment="1">
      <alignment horizontal="center" vertical="center"/>
    </xf>
    <xf numFmtId="2" fontId="5" fillId="10" borderId="5" xfId="0" applyNumberFormat="1" applyFont="1" applyFill="1" applyBorder="1" applyAlignment="1">
      <alignment vertical="center" wrapText="1"/>
    </xf>
    <xf numFmtId="2" fontId="4" fillId="11" borderId="7" xfId="0" applyNumberFormat="1" applyFont="1" applyFill="1" applyBorder="1" applyAlignment="1">
      <alignment vertical="center"/>
    </xf>
    <xf numFmtId="2" fontId="11" fillId="0" borderId="13" xfId="0" applyNumberFormat="1" applyFont="1" applyBorder="1" applyAlignment="1">
      <alignment horizontal="center" vertical="center" wrapText="1"/>
    </xf>
    <xf numFmtId="2" fontId="11" fillId="13" borderId="1" xfId="0" applyNumberFormat="1" applyFont="1" applyFill="1" applyBorder="1" applyAlignment="1">
      <alignment horizontal="center" vertical="center" wrapText="1"/>
    </xf>
    <xf numFmtId="2" fontId="5" fillId="10" borderId="12" xfId="0" applyNumberFormat="1" applyFont="1" applyFill="1" applyBorder="1" applyAlignment="1">
      <alignment vertical="center" wrapText="1"/>
    </xf>
    <xf numFmtId="2" fontId="4" fillId="11" borderId="11" xfId="0" applyNumberFormat="1" applyFont="1" applyFill="1" applyBorder="1" applyAlignment="1">
      <alignment vertical="center"/>
    </xf>
    <xf numFmtId="2" fontId="10" fillId="15" borderId="9" xfId="0" applyNumberFormat="1" applyFont="1" applyFill="1" applyBorder="1" applyAlignment="1">
      <alignment horizontal="center" vertical="center"/>
    </xf>
    <xf numFmtId="2" fontId="5" fillId="10" borderId="5" xfId="2" applyNumberFormat="1" applyFont="1" applyFill="1" applyBorder="1" applyAlignment="1">
      <alignment horizontal="center" vertical="center" wrapText="1"/>
    </xf>
    <xf numFmtId="2" fontId="4" fillId="11" borderId="3" xfId="2" applyNumberFormat="1" applyFont="1" applyFill="1" applyBorder="1" applyAlignment="1">
      <alignment horizontal="center" vertical="center" wrapText="1"/>
    </xf>
    <xf numFmtId="2" fontId="4" fillId="0" borderId="1" xfId="2" applyNumberFormat="1" applyFont="1" applyBorder="1" applyAlignment="1">
      <alignment vertical="center" wrapText="1"/>
    </xf>
    <xf numFmtId="2" fontId="5" fillId="13" borderId="1" xfId="0" applyNumberFormat="1" applyFont="1" applyFill="1" applyBorder="1" applyAlignment="1">
      <alignment horizontal="center" vertical="center"/>
    </xf>
    <xf numFmtId="2" fontId="5" fillId="11" borderId="1" xfId="2" applyNumberFormat="1" applyFont="1" applyFill="1" applyBorder="1" applyAlignment="1">
      <alignment horizontal="center" vertical="center" wrapText="1"/>
    </xf>
    <xf numFmtId="2" fontId="4" fillId="0" borderId="1" xfId="2" applyNumberFormat="1" applyFont="1" applyBorder="1" applyAlignment="1">
      <alignment horizontal="center" vertical="center" wrapText="1"/>
    </xf>
    <xf numFmtId="2" fontId="11" fillId="0" borderId="2" xfId="0" applyNumberFormat="1" applyFont="1" applyBorder="1" applyAlignment="1">
      <alignment horizontal="center" vertical="center" wrapText="1"/>
    </xf>
    <xf numFmtId="2" fontId="4" fillId="10" borderId="5" xfId="2" applyNumberFormat="1" applyFont="1" applyFill="1" applyBorder="1" applyAlignment="1">
      <alignment horizontal="center" vertical="center"/>
    </xf>
    <xf numFmtId="2" fontId="4" fillId="11" borderId="3" xfId="2" applyNumberFormat="1" applyFont="1" applyFill="1" applyBorder="1" applyAlignment="1">
      <alignment horizontal="center" vertical="center"/>
    </xf>
    <xf numFmtId="2" fontId="4" fillId="11" borderId="6" xfId="0" applyNumberFormat="1" applyFont="1" applyFill="1" applyBorder="1" applyAlignment="1">
      <alignment vertical="center"/>
    </xf>
    <xf numFmtId="2" fontId="13" fillId="4" borderId="1" xfId="0" applyNumberFormat="1" applyFont="1" applyFill="1" applyBorder="1" applyAlignment="1">
      <alignment horizontal="center" vertical="center" wrapText="1"/>
    </xf>
    <xf numFmtId="2" fontId="10" fillId="17" borderId="5" xfId="0" applyNumberFormat="1" applyFont="1" applyFill="1" applyBorder="1" applyAlignment="1">
      <alignment horizontal="center" vertical="center"/>
    </xf>
    <xf numFmtId="2" fontId="10" fillId="21" borderId="1" xfId="0" applyNumberFormat="1" applyFont="1" applyFill="1" applyBorder="1" applyAlignment="1">
      <alignment horizontal="center" vertical="top"/>
    </xf>
    <xf numFmtId="2" fontId="4" fillId="0" borderId="1" xfId="0" applyNumberFormat="1" applyFont="1" applyBorder="1" applyAlignment="1">
      <alignment horizontal="center" vertical="top"/>
    </xf>
    <xf numFmtId="2" fontId="5" fillId="20" borderId="1" xfId="0" applyNumberFormat="1" applyFont="1" applyFill="1" applyBorder="1" applyAlignment="1">
      <alignment horizontal="center" vertical="top"/>
    </xf>
    <xf numFmtId="2" fontId="5" fillId="0" borderId="2" xfId="0" applyNumberFormat="1" applyFont="1" applyBorder="1" applyAlignment="1">
      <alignment horizontal="center" vertical="center" wrapText="1"/>
    </xf>
    <xf numFmtId="2" fontId="5" fillId="5" borderId="1" xfId="0" applyNumberFormat="1" applyFont="1" applyFill="1" applyBorder="1" applyAlignment="1">
      <alignment horizontal="center" vertical="top"/>
    </xf>
    <xf numFmtId="2" fontId="2" fillId="0" borderId="1" xfId="0" applyNumberFormat="1" applyFont="1" applyBorder="1" applyAlignment="1">
      <alignment horizontal="center" vertical="center"/>
    </xf>
    <xf numFmtId="2" fontId="10" fillId="17" borderId="6" xfId="0" applyNumberFormat="1" applyFont="1" applyFill="1" applyBorder="1" applyAlignment="1">
      <alignment horizontal="center" vertical="center"/>
    </xf>
    <xf numFmtId="2" fontId="4" fillId="20" borderId="1" xfId="0" applyNumberFormat="1" applyFont="1" applyFill="1" applyBorder="1" applyAlignment="1">
      <alignment vertical="center"/>
    </xf>
    <xf numFmtId="2" fontId="5" fillId="0" borderId="3" xfId="0" applyNumberFormat="1" applyFont="1" applyBorder="1" applyAlignment="1">
      <alignment horizontal="center" vertical="center"/>
    </xf>
    <xf numFmtId="2" fontId="4" fillId="0" borderId="1" xfId="0" applyNumberFormat="1" applyFont="1" applyBorder="1" applyAlignment="1">
      <alignment vertical="center" wrapText="1"/>
    </xf>
    <xf numFmtId="2" fontId="5" fillId="0" borderId="1" xfId="0" applyNumberFormat="1" applyFont="1" applyBorder="1" applyAlignment="1">
      <alignment horizontal="center" vertical="center" wrapText="1"/>
    </xf>
    <xf numFmtId="2" fontId="18" fillId="5" borderId="1" xfId="0" applyNumberFormat="1" applyFont="1" applyFill="1" applyBorder="1" applyAlignment="1">
      <alignment horizontal="center" vertical="center" wrapText="1"/>
    </xf>
    <xf numFmtId="2" fontId="11" fillId="24" borderId="5" xfId="0" applyNumberFormat="1" applyFont="1" applyFill="1" applyBorder="1" applyAlignment="1">
      <alignment horizontal="center" vertical="center"/>
    </xf>
    <xf numFmtId="2" fontId="11" fillId="22" borderId="1" xfId="0" applyNumberFormat="1" applyFont="1" applyFill="1" applyBorder="1" applyAlignment="1">
      <alignment horizontal="center" vertical="center"/>
    </xf>
    <xf numFmtId="2" fontId="11" fillId="23" borderId="1" xfId="0" applyNumberFormat="1" applyFont="1" applyFill="1" applyBorder="1" applyAlignment="1">
      <alignment horizontal="center" vertical="center"/>
    </xf>
    <xf numFmtId="2" fontId="5" fillId="25" borderId="1" xfId="0" applyNumberFormat="1" applyFont="1" applyFill="1" applyBorder="1" applyAlignment="1">
      <alignment horizontal="center" vertical="center"/>
    </xf>
    <xf numFmtId="2" fontId="11" fillId="24" borderId="1" xfId="0" applyNumberFormat="1" applyFont="1" applyFill="1" applyBorder="1" applyAlignment="1">
      <alignment horizontal="center" vertical="center"/>
    </xf>
    <xf numFmtId="164" fontId="5" fillId="6" borderId="1" xfId="0" applyNumberFormat="1" applyFont="1" applyFill="1" applyBorder="1" applyAlignment="1">
      <alignment horizontal="center" vertical="center" wrapText="1"/>
    </xf>
    <xf numFmtId="164" fontId="11" fillId="27" borderId="1" xfId="0" applyNumberFormat="1" applyFont="1" applyFill="1" applyBorder="1" applyAlignment="1">
      <alignment horizontal="center" vertical="center"/>
    </xf>
    <xf numFmtId="164" fontId="4" fillId="26" borderId="1" xfId="0" applyNumberFormat="1" applyFont="1" applyFill="1" applyBorder="1" applyAlignment="1">
      <alignment vertical="center"/>
    </xf>
    <xf numFmtId="164" fontId="11" fillId="0" borderId="1" xfId="0" applyNumberFormat="1" applyFont="1" applyBorder="1" applyAlignment="1">
      <alignment horizontal="center" vertical="center" wrapText="1"/>
    </xf>
    <xf numFmtId="0" fontId="12" fillId="34" borderId="1" xfId="0" applyFont="1" applyFill="1" applyBorder="1" applyAlignment="1">
      <alignment horizontal="center" vertical="center"/>
    </xf>
    <xf numFmtId="164" fontId="11" fillId="16" borderId="1" xfId="0" applyNumberFormat="1" applyFont="1" applyFill="1" applyBorder="1" applyAlignment="1">
      <alignment horizontal="center" vertical="center" wrapText="1"/>
    </xf>
    <xf numFmtId="0" fontId="4" fillId="0" borderId="1" xfId="1" applyFont="1" applyBorder="1" applyAlignment="1">
      <alignment horizontal="left" vertical="center" wrapText="1"/>
    </xf>
    <xf numFmtId="0" fontId="4" fillId="0" borderId="1" xfId="2" applyFont="1" applyBorder="1" applyAlignment="1">
      <alignment vertical="center"/>
    </xf>
    <xf numFmtId="0" fontId="4" fillId="0" borderId="1" xfId="0" applyFont="1" applyBorder="1" applyAlignment="1" applyProtection="1">
      <alignment vertical="top" wrapText="1"/>
      <protection locked="0"/>
    </xf>
    <xf numFmtId="0" fontId="50" fillId="0" borderId="1" xfId="1" applyFont="1" applyBorder="1" applyAlignment="1">
      <alignment horizontal="justify" vertical="center" wrapText="1"/>
    </xf>
    <xf numFmtId="0" fontId="12" fillId="0" borderId="1" xfId="0" applyFont="1" applyBorder="1" applyAlignment="1">
      <alignment horizontal="center" vertical="center" wrapText="1"/>
    </xf>
    <xf numFmtId="0" fontId="51" fillId="0" borderId="1" xfId="0" applyFont="1" applyBorder="1" applyAlignment="1">
      <alignment horizontal="center" vertical="top"/>
    </xf>
    <xf numFmtId="0" fontId="12" fillId="0" borderId="19" xfId="0" applyFont="1" applyBorder="1" applyAlignment="1">
      <alignment horizontal="center" vertical="top"/>
    </xf>
    <xf numFmtId="0" fontId="12" fillId="0" borderId="1" xfId="0" applyFont="1" applyBorder="1" applyAlignment="1">
      <alignment horizontal="center" vertical="top"/>
    </xf>
    <xf numFmtId="0" fontId="11" fillId="20" borderId="1" xfId="0" applyFont="1" applyFill="1" applyBorder="1" applyAlignment="1">
      <alignment horizontal="center" vertical="top"/>
    </xf>
    <xf numFmtId="0" fontId="0" fillId="9" borderId="1" xfId="0" applyFill="1" applyBorder="1" applyProtection="1">
      <protection locked="0"/>
    </xf>
    <xf numFmtId="0" fontId="6" fillId="0" borderId="1" xfId="0" applyFont="1" applyBorder="1" applyAlignment="1">
      <alignment horizontal="center" vertical="center"/>
    </xf>
    <xf numFmtId="0" fontId="31" fillId="0" borderId="1" xfId="0" applyFont="1" applyBorder="1" applyAlignment="1">
      <alignment horizontal="left" vertical="center" wrapText="1"/>
    </xf>
    <xf numFmtId="0" fontId="31" fillId="0" borderId="1" xfId="0" applyFont="1" applyBorder="1" applyAlignment="1">
      <alignment horizontal="left" vertical="top" wrapText="1"/>
    </xf>
    <xf numFmtId="0" fontId="38" fillId="0" borderId="1" xfId="0" applyFont="1" applyBorder="1" applyAlignment="1">
      <alignment horizontal="left" vertical="center" wrapText="1"/>
    </xf>
    <xf numFmtId="0" fontId="32" fillId="0" borderId="1" xfId="0" applyFont="1" applyBorder="1" applyAlignment="1" applyProtection="1">
      <alignment horizontal="center"/>
      <protection locked="0"/>
    </xf>
    <xf numFmtId="0" fontId="34" fillId="0" borderId="3" xfId="0" applyFont="1" applyBorder="1" applyAlignment="1">
      <alignment horizontal="left" vertical="center"/>
    </xf>
    <xf numFmtId="0" fontId="34" fillId="0" borderId="1" xfId="0" applyFont="1" applyBorder="1" applyAlignment="1">
      <alignment horizontal="left" vertical="center"/>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3" fillId="2" borderId="1" xfId="0" applyFont="1" applyFill="1" applyBorder="1" applyAlignment="1">
      <alignment horizontal="center"/>
    </xf>
    <xf numFmtId="0" fontId="11" fillId="33" borderId="1" xfId="0" applyFont="1" applyFill="1" applyBorder="1" applyAlignment="1">
      <alignment horizontal="left" vertical="center"/>
    </xf>
    <xf numFmtId="0" fontId="13" fillId="31"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4" fillId="0" borderId="4" xfId="2" applyFont="1" applyBorder="1" applyAlignment="1">
      <alignment horizontal="center" vertical="center"/>
    </xf>
    <xf numFmtId="0" fontId="4" fillId="0" borderId="15"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2" fontId="5" fillId="0" borderId="7" xfId="0" applyNumberFormat="1" applyFont="1" applyBorder="1" applyAlignment="1">
      <alignment horizontal="center" vertical="center"/>
    </xf>
    <xf numFmtId="0" fontId="0" fillId="0" borderId="15" xfId="0" applyBorder="1" applyAlignment="1" applyProtection="1">
      <alignment horizontal="center"/>
      <protection locked="0"/>
    </xf>
    <xf numFmtId="0" fontId="0" fillId="0" borderId="0" xfId="0" applyAlignment="1" applyProtection="1">
      <alignment horizontal="center"/>
      <protection locked="0"/>
    </xf>
    <xf numFmtId="0" fontId="18"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5" fillId="13" borderId="7" xfId="2" applyFont="1" applyFill="1" applyBorder="1" applyAlignment="1">
      <alignment horizontal="right" vertical="center" wrapText="1"/>
    </xf>
    <xf numFmtId="0" fontId="5" fillId="13" borderId="5" xfId="2" applyFont="1" applyFill="1" applyBorder="1" applyAlignment="1">
      <alignment horizontal="right" vertical="center" wrapText="1"/>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5" fillId="13" borderId="1" xfId="2" applyFont="1" applyFill="1" applyBorder="1" applyAlignment="1">
      <alignment horizontal="right" vertical="center" wrapText="1"/>
    </xf>
    <xf numFmtId="0" fontId="5" fillId="10" borderId="7" xfId="2" applyFont="1" applyFill="1" applyBorder="1" applyAlignment="1">
      <alignment horizontal="left" vertical="center"/>
    </xf>
    <xf numFmtId="0" fontId="5" fillId="10" borderId="6" xfId="2" applyFont="1" applyFill="1" applyBorder="1" applyAlignment="1">
      <alignment horizontal="left" vertical="center"/>
    </xf>
    <xf numFmtId="0" fontId="4" fillId="0" borderId="3" xfId="2"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4" fillId="14" borderId="2" xfId="1" applyNumberFormat="1" applyFont="1" applyFill="1" applyBorder="1" applyAlignment="1">
      <alignment horizontal="center" vertical="center"/>
    </xf>
    <xf numFmtId="49" fontId="4" fillId="14" borderId="10" xfId="1" applyNumberFormat="1" applyFont="1" applyFill="1" applyBorder="1" applyAlignment="1">
      <alignment horizontal="center" vertical="center"/>
    </xf>
    <xf numFmtId="49" fontId="4" fillId="14" borderId="1" xfId="1" applyNumberFormat="1" applyFont="1" applyFill="1" applyBorder="1" applyAlignment="1">
      <alignment horizontal="center" vertical="center"/>
    </xf>
    <xf numFmtId="0" fontId="5" fillId="13" borderId="6" xfId="2" applyFont="1" applyFill="1" applyBorder="1" applyAlignment="1">
      <alignment horizontal="right" vertical="center" wrapText="1"/>
    </xf>
    <xf numFmtId="0" fontId="10" fillId="15" borderId="1" xfId="0" applyFont="1" applyFill="1" applyBorder="1" applyAlignment="1">
      <alignment horizontal="left" vertical="center" wrapText="1"/>
    </xf>
    <xf numFmtId="0" fontId="10" fillId="15" borderId="7" xfId="0" applyFont="1" applyFill="1" applyBorder="1" applyAlignment="1">
      <alignment horizontal="left" vertical="center"/>
    </xf>
    <xf numFmtId="0" fontId="10" fillId="15" borderId="5" xfId="0" applyFont="1" applyFill="1" applyBorder="1" applyAlignment="1">
      <alignment horizontal="left" vertical="center"/>
    </xf>
    <xf numFmtId="0" fontId="10" fillId="15" borderId="6" xfId="0" applyFont="1" applyFill="1" applyBorder="1" applyAlignment="1">
      <alignment horizontal="left" vertical="center"/>
    </xf>
    <xf numFmtId="0" fontId="0" fillId="16"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1" xfId="0" applyFont="1" applyBorder="1" applyAlignment="1" applyProtection="1">
      <alignment horizontal="center" vertical="top"/>
      <protection locked="0"/>
    </xf>
    <xf numFmtId="0" fontId="5" fillId="34" borderId="7" xfId="0" applyFont="1" applyFill="1" applyBorder="1" applyAlignment="1">
      <alignment horizontal="center" vertical="center"/>
    </xf>
    <xf numFmtId="0" fontId="5" fillId="34" borderId="1" xfId="0" applyFont="1" applyFill="1" applyBorder="1" applyAlignment="1">
      <alignment horizontal="center" vertical="center"/>
    </xf>
    <xf numFmtId="0" fontId="5" fillId="0" borderId="7" xfId="0" applyFont="1" applyBorder="1" applyAlignment="1">
      <alignment horizontal="center" vertical="top"/>
    </xf>
    <xf numFmtId="0" fontId="5" fillId="0" borderId="1" xfId="0" applyFont="1" applyBorder="1" applyAlignment="1">
      <alignment horizontal="center" vertical="top"/>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2" fontId="5" fillId="0" borderId="2" xfId="0" applyNumberFormat="1" applyFont="1" applyBorder="1" applyAlignment="1">
      <alignment horizontal="center" vertical="center"/>
    </xf>
    <xf numFmtId="2" fontId="5" fillId="0" borderId="10" xfId="0" applyNumberFormat="1" applyFont="1" applyBorder="1" applyAlignment="1">
      <alignment horizontal="center" vertical="center"/>
    </xf>
    <xf numFmtId="2" fontId="5" fillId="0" borderId="3" xfId="0" applyNumberFormat="1"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5" borderId="7" xfId="2" applyFont="1" applyFill="1" applyBorder="1" applyAlignment="1">
      <alignment horizontal="right" vertical="center" wrapText="1"/>
    </xf>
    <xf numFmtId="0" fontId="5" fillId="5" borderId="5" xfId="2" applyFont="1" applyFill="1" applyBorder="1" applyAlignment="1">
      <alignment horizontal="right" vertical="center" wrapText="1"/>
    </xf>
    <xf numFmtId="0" fontId="5" fillId="5" borderId="6" xfId="2" applyFont="1" applyFill="1" applyBorder="1" applyAlignment="1">
      <alignment horizontal="right" vertical="center" wrapTex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12" fillId="0" borderId="5" xfId="0" applyFont="1" applyBorder="1" applyAlignment="1">
      <alignment horizontal="left" vertical="top" wrapText="1"/>
    </xf>
    <xf numFmtId="0" fontId="10" fillId="21" borderId="5" xfId="0" applyFont="1" applyFill="1" applyBorder="1" applyAlignment="1">
      <alignment horizontal="left" vertical="top"/>
    </xf>
    <xf numFmtId="0" fontId="10" fillId="21" borderId="6" xfId="0" applyFont="1" applyFill="1" applyBorder="1" applyAlignment="1">
      <alignment horizontal="left" vertical="top"/>
    </xf>
    <xf numFmtId="0" fontId="4" fillId="0" borderId="5" xfId="0" applyFont="1" applyBorder="1" applyAlignment="1">
      <alignment horizontal="left" vertical="top"/>
    </xf>
    <xf numFmtId="0" fontId="5" fillId="20" borderId="9" xfId="0" applyFont="1" applyFill="1" applyBorder="1" applyAlignment="1">
      <alignment horizontal="left" vertical="top"/>
    </xf>
    <xf numFmtId="0" fontId="5" fillId="20" borderId="2" xfId="0" applyFont="1" applyFill="1" applyBorder="1" applyAlignment="1">
      <alignment horizontal="left" vertical="top"/>
    </xf>
    <xf numFmtId="0" fontId="5" fillId="20" borderId="1" xfId="0" applyFont="1" applyFill="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12" fillId="0" borderId="7"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12" xfId="0" applyFont="1" applyBorder="1" applyAlignment="1">
      <alignment horizontal="left" vertical="top"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5" fillId="19" borderId="16" xfId="0" applyFont="1" applyFill="1" applyBorder="1" applyAlignment="1">
      <alignment horizontal="left" vertical="top"/>
    </xf>
    <xf numFmtId="0" fontId="5" fillId="19" borderId="17" xfId="0" applyFont="1" applyFill="1" applyBorder="1" applyAlignment="1">
      <alignment horizontal="left" vertical="top"/>
    </xf>
    <xf numFmtId="0" fontId="4" fillId="0" borderId="1" xfId="0" applyFont="1" applyBorder="1" applyAlignment="1">
      <alignment horizontal="center" vertical="top"/>
    </xf>
    <xf numFmtId="0" fontId="4" fillId="18" borderId="2" xfId="0" applyFont="1" applyFill="1" applyBorder="1" applyAlignment="1" applyProtection="1">
      <alignment horizontal="center" vertical="center"/>
      <protection locked="0"/>
    </xf>
    <xf numFmtId="0" fontId="4" fillId="18" borderId="1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11"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center" wrapText="1"/>
    </xf>
    <xf numFmtId="2" fontId="5" fillId="0" borderId="2"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55" fillId="0" borderId="0" xfId="0" applyFont="1" applyAlignment="1">
      <alignment horizontal="left" vertical="top" wrapText="1"/>
    </xf>
    <xf numFmtId="0" fontId="15" fillId="0" borderId="5" xfId="0" applyFont="1" applyBorder="1" applyAlignment="1">
      <alignment horizontal="left" vertical="top" wrapText="1"/>
    </xf>
    <xf numFmtId="0" fontId="5" fillId="0" borderId="23" xfId="0" applyFont="1" applyBorder="1" applyAlignment="1">
      <alignment horizontal="center" vertical="top"/>
    </xf>
    <xf numFmtId="0" fontId="5" fillId="0" borderId="24" xfId="0" applyFont="1" applyBorder="1" applyAlignment="1">
      <alignment horizontal="center" vertical="top"/>
    </xf>
    <xf numFmtId="0" fontId="10" fillId="21" borderId="7" xfId="0" applyFont="1" applyFill="1" applyBorder="1" applyAlignment="1">
      <alignment horizontal="left" vertical="top"/>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2" xfId="0" applyFont="1" applyBorder="1" applyAlignment="1">
      <alignment horizontal="center" vertical="top" wrapText="1"/>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34" borderId="2" xfId="0" applyFont="1" applyFill="1" applyBorder="1" applyAlignment="1">
      <alignment horizontal="center" vertical="center"/>
    </xf>
    <xf numFmtId="0" fontId="4" fillId="34" borderId="10" xfId="0" applyFont="1" applyFill="1" applyBorder="1" applyAlignment="1">
      <alignment horizontal="center" vertical="center"/>
    </xf>
    <xf numFmtId="0" fontId="4" fillId="34" borderId="3"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0" fillId="17" borderId="7" xfId="0" applyFont="1" applyFill="1" applyBorder="1" applyAlignment="1">
      <alignment horizontal="left" vertical="top"/>
    </xf>
    <xf numFmtId="0" fontId="10" fillId="17" borderId="5" xfId="0" applyFont="1" applyFill="1" applyBorder="1" applyAlignment="1">
      <alignment horizontal="left" vertical="top"/>
    </xf>
    <xf numFmtId="0" fontId="12" fillId="0" borderId="1" xfId="0" applyFont="1" applyBorder="1" applyAlignment="1">
      <alignment horizontal="left" vertical="top" wrapText="1"/>
    </xf>
    <xf numFmtId="0" fontId="10" fillId="21" borderId="1" xfId="0" applyFont="1" applyFill="1" applyBorder="1" applyAlignment="1">
      <alignment horizontal="left" vertical="top" wrapText="1"/>
    </xf>
    <xf numFmtId="0" fontId="11" fillId="0" borderId="7" xfId="0" applyFont="1" applyBorder="1" applyAlignment="1">
      <alignment horizontal="left" vertical="top" wrapText="1"/>
    </xf>
    <xf numFmtId="0" fontId="12" fillId="0" borderId="6" xfId="0" applyFont="1" applyBorder="1" applyAlignment="1">
      <alignment horizontal="left" vertical="top" wrapText="1"/>
    </xf>
    <xf numFmtId="0" fontId="12" fillId="0" borderId="5" xfId="0" applyFont="1" applyBorder="1" applyAlignment="1">
      <alignment horizontal="left" vertical="center" wrapText="1"/>
    </xf>
    <xf numFmtId="0" fontId="4" fillId="0" borderId="1" xfId="0" applyFont="1" applyBorder="1" applyAlignment="1">
      <alignment horizontal="left" vertical="top" wrapText="1"/>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4" fillId="20" borderId="5" xfId="0" applyFont="1" applyFill="1" applyBorder="1" applyAlignment="1">
      <alignment horizontal="left" vertical="top" wrapText="1"/>
    </xf>
    <xf numFmtId="0" fontId="5" fillId="25" borderId="1" xfId="0" applyFont="1" applyFill="1" applyBorder="1" applyAlignment="1">
      <alignment horizontal="right" vertical="center"/>
    </xf>
    <xf numFmtId="0" fontId="11" fillId="23" borderId="5" xfId="0" applyFont="1" applyFill="1" applyBorder="1" applyAlignment="1">
      <alignment horizontal="left" vertical="top" wrapText="1"/>
    </xf>
    <xf numFmtId="0" fontId="4" fillId="0" borderId="6" xfId="0" applyFont="1" applyBorder="1" applyAlignment="1">
      <alignment horizontal="left" vertical="top" wrapText="1"/>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23" fillId="5" borderId="7"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0" fontId="11" fillId="24" borderId="7" xfId="0" applyFont="1" applyFill="1" applyBorder="1" applyAlignment="1">
      <alignment horizontal="left" vertical="top"/>
    </xf>
    <xf numFmtId="0" fontId="11" fillId="24" borderId="5" xfId="0" applyFont="1" applyFill="1" applyBorder="1" applyAlignment="1">
      <alignment horizontal="left" vertical="top"/>
    </xf>
    <xf numFmtId="0" fontId="11" fillId="22" borderId="5" xfId="0" applyFont="1" applyFill="1" applyBorder="1" applyAlignment="1">
      <alignment horizontal="left" vertical="top"/>
    </xf>
    <xf numFmtId="0" fontId="11" fillId="22" borderId="6" xfId="0" applyFont="1" applyFill="1" applyBorder="1" applyAlignment="1">
      <alignment horizontal="left" vertical="top"/>
    </xf>
    <xf numFmtId="0" fontId="11" fillId="23" borderId="1" xfId="0" applyFont="1" applyFill="1" applyBorder="1" applyAlignment="1">
      <alignment horizontal="left" vertical="top"/>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0" fontId="11" fillId="22" borderId="5" xfId="0" applyFont="1" applyFill="1" applyBorder="1" applyAlignment="1">
      <alignment horizontal="left" vertical="top" wrapText="1"/>
    </xf>
    <xf numFmtId="0" fontId="11" fillId="22" borderId="6" xfId="0" applyFont="1" applyFill="1" applyBorder="1" applyAlignment="1">
      <alignment horizontal="left" vertical="top" wrapText="1"/>
    </xf>
    <xf numFmtId="0" fontId="4" fillId="0" borderId="4" xfId="0" applyFont="1" applyBorder="1" applyAlignment="1">
      <alignment horizontal="center" vertical="top"/>
    </xf>
    <xf numFmtId="0" fontId="4" fillId="0" borderId="15" xfId="0" applyFont="1" applyBorder="1" applyAlignment="1">
      <alignment horizontal="center" vertical="top"/>
    </xf>
    <xf numFmtId="0" fontId="4" fillId="0" borderId="11" xfId="0" applyFont="1" applyBorder="1" applyAlignment="1">
      <alignment horizontal="center" vertical="top"/>
    </xf>
    <xf numFmtId="0" fontId="5" fillId="18" borderId="16" xfId="0" applyFont="1" applyFill="1" applyBorder="1" applyAlignment="1">
      <alignment horizontal="center" vertical="top" wrapText="1"/>
    </xf>
    <xf numFmtId="0" fontId="5" fillId="18" borderId="17" xfId="0" applyFont="1" applyFill="1" applyBorder="1" applyAlignment="1">
      <alignment horizontal="center" vertical="top" wrapText="1"/>
    </xf>
    <xf numFmtId="0" fontId="4" fillId="0" borderId="26" xfId="0" applyFont="1" applyBorder="1" applyAlignment="1">
      <alignment horizontal="center" vertical="top" wrapText="1"/>
    </xf>
    <xf numFmtId="0" fontId="4" fillId="34" borderId="1" xfId="0" applyFont="1" applyFill="1" applyBorder="1" applyAlignment="1">
      <alignment horizontal="center" vertical="center"/>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pplyProtection="1">
      <alignment horizontal="center" vertical="top"/>
      <protection locked="0"/>
    </xf>
    <xf numFmtId="0" fontId="4" fillId="0" borderId="3" xfId="0" applyFont="1" applyBorder="1" applyAlignment="1" applyProtection="1">
      <alignment horizontal="center" vertical="top"/>
      <protection locked="0"/>
    </xf>
    <xf numFmtId="0" fontId="17"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11" fillId="23" borderId="1" xfId="0" applyFont="1" applyFill="1" applyBorder="1" applyAlignment="1">
      <alignment horizontal="left" vertical="top" wrapText="1"/>
    </xf>
    <xf numFmtId="0" fontId="5" fillId="0" borderId="1" xfId="0" applyFont="1" applyBorder="1" applyAlignment="1">
      <alignment horizontal="left" vertical="top" wrapText="1"/>
    </xf>
    <xf numFmtId="0" fontId="11" fillId="24" borderId="1" xfId="0" applyFont="1" applyFill="1" applyBorder="1" applyAlignment="1">
      <alignment horizontal="left" vertical="top"/>
    </xf>
    <xf numFmtId="0" fontId="11" fillId="22" borderId="1" xfId="0" applyFont="1" applyFill="1" applyBorder="1" applyAlignment="1">
      <alignment horizontal="left" vertical="top" wrapText="1"/>
    </xf>
    <xf numFmtId="0" fontId="11" fillId="22" borderId="1" xfId="0" applyFont="1" applyFill="1" applyBorder="1" applyAlignment="1">
      <alignment horizontal="left" vertical="top"/>
    </xf>
    <xf numFmtId="0" fontId="20" fillId="0" borderId="1" xfId="0" applyFont="1" applyBorder="1" applyAlignment="1">
      <alignment horizontal="left" vertical="top" wrapText="1"/>
    </xf>
    <xf numFmtId="0" fontId="11" fillId="23" borderId="1" xfId="0" applyFont="1" applyFill="1" applyBorder="1" applyAlignment="1">
      <alignment horizontal="left" vertical="center" wrapText="1"/>
    </xf>
    <xf numFmtId="49" fontId="4" fillId="14" borderId="3" xfId="1" applyNumberFormat="1" applyFont="1" applyFill="1" applyBorder="1" applyAlignment="1">
      <alignment horizontal="center" vertical="center"/>
    </xf>
    <xf numFmtId="0" fontId="23" fillId="6" borderId="1" xfId="0" applyFont="1" applyFill="1" applyBorder="1" applyAlignment="1">
      <alignment horizontal="center" vertical="center"/>
    </xf>
    <xf numFmtId="0" fontId="11" fillId="27" borderId="1" xfId="0" applyFont="1" applyFill="1" applyBorder="1" applyAlignment="1">
      <alignment horizontal="left" vertical="center" wrapText="1"/>
    </xf>
    <xf numFmtId="0" fontId="5" fillId="16" borderId="1" xfId="2" applyFont="1" applyFill="1" applyBorder="1" applyAlignment="1">
      <alignment horizontal="right" vertical="center" wrapText="1"/>
    </xf>
    <xf numFmtId="0" fontId="9" fillId="26" borderId="7" xfId="0" applyFont="1" applyFill="1" applyBorder="1" applyAlignment="1">
      <alignment horizontal="center" vertical="center" wrapText="1"/>
    </xf>
    <xf numFmtId="0" fontId="9" fillId="26" borderId="5" xfId="0" applyFont="1" applyFill="1" applyBorder="1" applyAlignment="1">
      <alignment horizontal="center" vertical="center" wrapText="1"/>
    </xf>
    <xf numFmtId="0" fontId="9" fillId="26" borderId="6"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0" fillId="0" borderId="1" xfId="0" applyBorder="1" applyAlignment="1">
      <alignment horizontal="center"/>
    </xf>
    <xf numFmtId="2" fontId="12" fillId="0" borderId="7" xfId="0" applyNumberFormat="1" applyFont="1" applyBorder="1" applyAlignment="1">
      <alignment horizontal="center" vertical="center"/>
    </xf>
    <xf numFmtId="2" fontId="12" fillId="0" borderId="5" xfId="0" applyNumberFormat="1" applyFont="1" applyBorder="1" applyAlignment="1">
      <alignment horizontal="center" vertical="center"/>
    </xf>
    <xf numFmtId="2" fontId="12" fillId="0" borderId="6" xfId="0" applyNumberFormat="1" applyFont="1" applyBorder="1" applyAlignment="1">
      <alignment horizontal="center" vertical="center"/>
    </xf>
    <xf numFmtId="0" fontId="5" fillId="29" borderId="7" xfId="0" applyFont="1" applyFill="1" applyBorder="1" applyAlignment="1">
      <alignment horizontal="left" vertical="center"/>
    </xf>
    <xf numFmtId="0" fontId="5" fillId="29" borderId="6" xfId="0" applyFont="1" applyFill="1" applyBorder="1" applyAlignment="1">
      <alignment horizontal="left" vertical="center"/>
    </xf>
    <xf numFmtId="0" fontId="41" fillId="0" borderId="28" xfId="0" applyFont="1" applyBorder="1" applyAlignment="1">
      <alignment horizontal="center" vertical="top" wrapText="1"/>
    </xf>
    <xf numFmtId="0" fontId="41" fillId="0" borderId="29" xfId="0" applyFont="1" applyBorder="1" applyAlignment="1">
      <alignment horizontal="center" vertical="top" wrapText="1"/>
    </xf>
    <xf numFmtId="0" fontId="41" fillId="0" borderId="30" xfId="0" applyFont="1" applyBorder="1" applyAlignment="1">
      <alignment horizontal="center" vertical="top" wrapText="1"/>
    </xf>
    <xf numFmtId="0" fontId="12" fillId="0" borderId="1" xfId="0" applyFont="1" applyBorder="1" applyAlignment="1">
      <alignment horizontal="center" vertical="center"/>
    </xf>
    <xf numFmtId="0" fontId="10" fillId="28" borderId="1" xfId="0" applyFont="1" applyFill="1" applyBorder="1" applyAlignment="1">
      <alignment horizontal="center" vertical="center" wrapText="1"/>
    </xf>
    <xf numFmtId="2" fontId="12" fillId="35" borderId="2" xfId="4" applyNumberFormat="1" applyFont="1" applyBorder="1" applyAlignment="1" applyProtection="1">
      <alignment horizontal="center" vertical="center" wrapText="1"/>
      <protection locked="0"/>
    </xf>
    <xf numFmtId="2" fontId="12" fillId="35" borderId="10" xfId="4" applyNumberFormat="1" applyFont="1" applyBorder="1" applyAlignment="1" applyProtection="1">
      <alignment horizontal="center" vertical="center" wrapText="1"/>
      <protection locked="0"/>
    </xf>
    <xf numFmtId="2" fontId="12" fillId="35" borderId="3" xfId="4" applyNumberFormat="1"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9" fillId="2" borderId="1" xfId="0" applyFont="1" applyFill="1" applyBorder="1" applyAlignment="1">
      <alignment horizontal="center" vertical="center" wrapText="1"/>
    </xf>
    <xf numFmtId="2" fontId="8" fillId="7" borderId="1" xfId="0" applyNumberFormat="1" applyFont="1" applyFill="1" applyBorder="1" applyAlignment="1">
      <alignment horizontal="center" vertical="center"/>
    </xf>
    <xf numFmtId="0" fontId="5" fillId="29" borderId="1" xfId="0" applyFont="1" applyFill="1" applyBorder="1" applyAlignment="1">
      <alignment horizontal="center" vertical="center"/>
    </xf>
    <xf numFmtId="0" fontId="12" fillId="0" borderId="1" xfId="0" applyFont="1" applyBorder="1" applyAlignment="1">
      <alignment horizontal="center" vertical="center" wrapText="1"/>
    </xf>
    <xf numFmtId="0" fontId="10" fillId="28" borderId="1" xfId="0" applyFont="1" applyFill="1" applyBorder="1" applyAlignment="1">
      <alignment horizontal="left" vertical="center"/>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2" fontId="12" fillId="0" borderId="1" xfId="0" applyNumberFormat="1" applyFont="1" applyBorder="1" applyAlignment="1">
      <alignment horizontal="center" vertical="center"/>
    </xf>
    <xf numFmtId="0" fontId="44" fillId="0" borderId="31" xfId="0" applyFont="1" applyBorder="1" applyAlignment="1">
      <alignment horizontal="left" vertical="top" wrapText="1"/>
    </xf>
    <xf numFmtId="0" fontId="43" fillId="0" borderId="32" xfId="0" applyFont="1" applyBorder="1" applyAlignment="1">
      <alignment horizontal="left" vertical="top" wrapText="1"/>
    </xf>
    <xf numFmtId="0" fontId="43" fillId="0" borderId="33" xfId="0" applyFont="1" applyBorder="1" applyAlignment="1">
      <alignment horizontal="left" vertical="top" wrapText="1"/>
    </xf>
    <xf numFmtId="0" fontId="41" fillId="0" borderId="24" xfId="0" applyFont="1" applyBorder="1" applyAlignment="1">
      <alignment horizontal="center" vertical="top" wrapText="1"/>
    </xf>
    <xf numFmtId="0" fontId="41" fillId="0" borderId="0" xfId="0" applyFont="1" applyAlignment="1">
      <alignment horizontal="center" vertical="top" wrapText="1"/>
    </xf>
    <xf numFmtId="0" fontId="41" fillId="0" borderId="35" xfId="0" applyFont="1" applyBorder="1" applyAlignment="1">
      <alignment horizontal="center" vertical="top" wrapText="1"/>
    </xf>
    <xf numFmtId="166" fontId="12" fillId="0" borderId="1"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11" fillId="0" borderId="6" xfId="0" applyNumberFormat="1" applyFont="1" applyBorder="1" applyAlignment="1">
      <alignment horizontal="center" vertical="center"/>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2" fontId="10" fillId="28"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5" fillId="29" borderId="1" xfId="0" applyNumberFormat="1" applyFont="1" applyFill="1" applyBorder="1" applyAlignment="1">
      <alignment horizontal="center" vertical="center"/>
    </xf>
    <xf numFmtId="2" fontId="12" fillId="0" borderId="1" xfId="0" applyNumberFormat="1" applyFont="1" applyBorder="1" applyAlignment="1">
      <alignment horizontal="center" vertical="center" wrapText="1"/>
    </xf>
    <xf numFmtId="2" fontId="10" fillId="28" borderId="7" xfId="0" applyNumberFormat="1" applyFont="1" applyFill="1" applyBorder="1" applyAlignment="1">
      <alignment horizontal="center" vertical="center" wrapText="1"/>
    </xf>
    <xf numFmtId="2" fontId="10" fillId="28" borderId="6" xfId="0" applyNumberFormat="1" applyFont="1" applyFill="1" applyBorder="1" applyAlignment="1">
      <alignment horizontal="center" vertical="center" wrapText="1"/>
    </xf>
    <xf numFmtId="2" fontId="4" fillId="0" borderId="2"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2" fontId="4" fillId="0" borderId="1" xfId="0" applyNumberFormat="1" applyFont="1" applyBorder="1" applyAlignment="1">
      <alignment horizont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2" fontId="11" fillId="0" borderId="1" xfId="0" applyNumberFormat="1" applyFont="1" applyBorder="1" applyAlignment="1">
      <alignment horizontal="center" vertical="center"/>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1">
    <dxf>
      <fill>
        <patternFill>
          <bgColor rgb="FFFF0000"/>
        </patternFill>
      </fill>
    </dxf>
  </dxfs>
  <tableStyles count="0" defaultTableStyle="TableStyleMedium2" defaultPivotStyle="PivotStyleLight16"/>
  <colors>
    <mruColors>
      <color rgb="FFFFCC99"/>
      <color rgb="FF9933FF"/>
      <color rgb="FF9966FF"/>
      <color rgb="FF0A0064"/>
      <color rgb="FFCCCCFF"/>
      <color rgb="FFFFFFCC"/>
      <color rgb="FFFFFF99"/>
      <color rgb="FFFFFF66"/>
      <color rgb="FF66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1159910"/>
          <a:ext cx="1070056" cy="107132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364285</xdr:rowOff>
    </xdr:from>
    <xdr:ext cx="6038384" cy="34278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88137" y="840535"/>
          <a:ext cx="6038384"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Scoreheet!</a:t>
          </a:r>
          <a:endParaRPr lang="en-SG" sz="1600" b="1">
            <a:solidFill>
              <a:srgbClr val="7030A0"/>
            </a:solidFill>
          </a:endParaRPr>
        </a:p>
      </xdr:txBody>
    </xdr:sp>
    <xdr:clientData/>
  </xdr:oneCellAnchor>
  <xdr:twoCellAnchor>
    <xdr:from>
      <xdr:col>1</xdr:col>
      <xdr:colOff>381000</xdr:colOff>
      <xdr:row>2</xdr:row>
      <xdr:rowOff>535678</xdr:rowOff>
    </xdr:from>
    <xdr:to>
      <xdr:col>1</xdr:col>
      <xdr:colOff>2135687</xdr:colOff>
      <xdr:row>2</xdr:row>
      <xdr:rowOff>535678</xdr:rowOff>
    </xdr:to>
    <xdr:cxnSp macro="">
      <xdr:nvCxnSpPr>
        <xdr:cNvPr id="4" name="Straight Arrow Connector 3">
          <a:extLst>
            <a:ext uri="{FF2B5EF4-FFF2-40B4-BE49-F238E27FC236}">
              <a16:creationId xmlns:a16="http://schemas.microsoft.com/office/drawing/2014/main" id="{00000000-0008-0000-0700-000004000000}"/>
            </a:ext>
          </a:extLst>
        </xdr:cNvPr>
        <xdr:cNvCxnSpPr>
          <a:stCxn id="2" idx="1"/>
        </xdr:cNvCxnSpPr>
      </xdr:nvCxnSpPr>
      <xdr:spPr>
        <a:xfrm flipH="1">
          <a:off x="933450" y="1011928"/>
          <a:ext cx="1754687" cy="0"/>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152400</xdr:rowOff>
        </xdr:from>
        <xdr:to>
          <xdr:col>1</xdr:col>
          <xdr:colOff>336550</xdr:colOff>
          <xdr:row>3</xdr:row>
          <xdr:rowOff>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NRB)"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Green%20Mark%202021_Scoresheet%20(N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Smart FM"/>
    </sheetNames>
    <sheetDataSet>
      <sheetData sheetId="0">
        <row r="6">
          <cell r="A6" t="str">
            <v>SECTION 0 - GENERAL</v>
          </cell>
          <cell r="E6">
            <v>7</v>
          </cell>
          <cell r="F6">
            <v>0</v>
          </cell>
          <cell r="H6" t="str">
            <v xml:space="preserve">SECTION 5 - LANDSCAPE </v>
          </cell>
          <cell r="L6">
            <v>10.5</v>
          </cell>
          <cell r="M6">
            <v>0</v>
          </cell>
        </row>
        <row r="7">
          <cell r="B7" t="str">
            <v>General Project Requirement</v>
          </cell>
          <cell r="E7">
            <v>7</v>
          </cell>
          <cell r="F7">
            <v>0</v>
          </cell>
          <cell r="I7" t="str">
            <v>Softscape</v>
          </cell>
          <cell r="L7">
            <v>1.5</v>
          </cell>
          <cell r="M7">
            <v>0</v>
          </cell>
        </row>
        <row r="8">
          <cell r="A8" t="str">
            <v>SECTION 1 - ARCHITECTURAL EXTERIOR</v>
          </cell>
          <cell r="E8">
            <v>10.5</v>
          </cell>
          <cell r="F8">
            <v>0</v>
          </cell>
          <cell r="I8" t="str">
            <v>Hardscape</v>
          </cell>
          <cell r="L8">
            <v>4</v>
          </cell>
          <cell r="M8">
            <v>0</v>
          </cell>
        </row>
        <row r="9">
          <cell r="A9" t="str">
            <v>Part A - General Façade</v>
          </cell>
          <cell r="E9">
            <v>0.5</v>
          </cell>
          <cell r="F9">
            <v>0</v>
          </cell>
          <cell r="I9" t="str">
            <v>Vertical Greenery</v>
          </cell>
          <cell r="L9" t="str">
            <v>Pre-req</v>
          </cell>
        </row>
        <row r="10">
          <cell r="B10" t="str">
            <v>General Façade</v>
          </cell>
          <cell r="E10">
            <v>0.5</v>
          </cell>
          <cell r="F10">
            <v>0</v>
          </cell>
          <cell r="I10" t="str">
            <v>Roof and Sky Terraces</v>
          </cell>
          <cell r="L10">
            <v>1.5</v>
          </cell>
          <cell r="M10">
            <v>0</v>
          </cell>
        </row>
        <row r="11">
          <cell r="A11" t="str">
            <v>Part B - Façade System</v>
          </cell>
          <cell r="E11">
            <v>4</v>
          </cell>
          <cell r="F11">
            <v>0</v>
          </cell>
          <cell r="I11" t="str">
            <v>Water Retaining Structures</v>
          </cell>
          <cell r="L11">
            <v>2</v>
          </cell>
          <cell r="M11">
            <v>0</v>
          </cell>
        </row>
        <row r="12">
          <cell r="B12" t="str">
            <v>Cladding system: Tile/ Stone/ Metal/ Others</v>
          </cell>
          <cell r="E12">
            <v>4</v>
          </cell>
          <cell r="F12">
            <v>0</v>
          </cell>
          <cell r="I12" t="str">
            <v>Standalone Structures</v>
          </cell>
          <cell r="L12">
            <v>1.5</v>
          </cell>
          <cell r="M12">
            <v>0</v>
          </cell>
        </row>
        <row r="13">
          <cell r="B13" t="str">
            <v>Curtain Wall: Glazing/ Others</v>
          </cell>
          <cell r="H13" t="str">
            <v xml:space="preserve">SECTION 6 - SMART FM </v>
          </cell>
          <cell r="L13">
            <v>13</v>
          </cell>
          <cell r="M13">
            <v>0</v>
          </cell>
        </row>
        <row r="14">
          <cell r="B14" t="str">
            <v>Masonry and Lightweight Concrete Panels</v>
          </cell>
          <cell r="I14" t="str">
            <v>Good Practices</v>
          </cell>
          <cell r="L14">
            <v>2</v>
          </cell>
          <cell r="M14">
            <v>0</v>
          </cell>
        </row>
        <row r="15">
          <cell r="A15" t="str">
            <v>Part C - Others</v>
          </cell>
          <cell r="E15">
            <v>6</v>
          </cell>
          <cell r="F15">
            <v>0</v>
          </cell>
          <cell r="I15" t="str">
            <v>Cybersecurity</v>
          </cell>
          <cell r="L15">
            <v>1</v>
          </cell>
          <cell r="M15">
            <v>0</v>
          </cell>
        </row>
        <row r="16">
          <cell r="B16" t="str">
            <v>Façade Features/ considerations</v>
          </cell>
          <cell r="E16">
            <v>3</v>
          </cell>
          <cell r="F16">
            <v>0</v>
          </cell>
          <cell r="I16" t="str">
            <v>Innovation</v>
          </cell>
          <cell r="L16">
            <v>3</v>
          </cell>
          <cell r="M16">
            <v>0</v>
          </cell>
        </row>
        <row r="17">
          <cell r="B17" t="str">
            <v>Entrance lobby</v>
          </cell>
          <cell r="E17">
            <v>3</v>
          </cell>
          <cell r="F17">
            <v>0</v>
          </cell>
          <cell r="I17" t="str">
            <v>Advanced Smart FM</v>
          </cell>
          <cell r="L17">
            <v>4</v>
          </cell>
          <cell r="M17">
            <v>0</v>
          </cell>
        </row>
        <row r="18">
          <cell r="B18" t="str">
            <v>Roof</v>
          </cell>
          <cell r="E18" t="str">
            <v>Pre-req</v>
          </cell>
          <cell r="I18" t="str">
            <v>Robotics &amp; Automation</v>
          </cell>
          <cell r="L18">
            <v>3</v>
          </cell>
          <cell r="M18">
            <v>0</v>
          </cell>
        </row>
        <row r="19">
          <cell r="A19" t="str">
            <v>SECTION 2 - ARCHITECTURAL INTERIOR</v>
          </cell>
          <cell r="E19">
            <v>21</v>
          </cell>
          <cell r="F19">
            <v>0</v>
          </cell>
        </row>
        <row r="20">
          <cell r="B20" t="str">
            <v>Floors</v>
          </cell>
          <cell r="E20">
            <v>2.5</v>
          </cell>
          <cell r="F20">
            <v>0</v>
          </cell>
          <cell r="H20" t="str">
            <v>Section 1 BONUS POINTS</v>
          </cell>
          <cell r="L20">
            <v>2</v>
          </cell>
          <cell r="M20">
            <v>0</v>
          </cell>
        </row>
        <row r="21">
          <cell r="B21" t="str">
            <v>Ceiling</v>
          </cell>
          <cell r="E21">
            <v>4</v>
          </cell>
          <cell r="F21">
            <v>0</v>
          </cell>
          <cell r="H21" t="str">
            <v>Section 5 BONUS POINTS</v>
          </cell>
          <cell r="L21">
            <v>2.5</v>
          </cell>
          <cell r="M21">
            <v>0</v>
          </cell>
        </row>
        <row r="22">
          <cell r="B22" t="str">
            <v>Wet Rooms and Storage</v>
          </cell>
          <cell r="E22">
            <v>8</v>
          </cell>
          <cell r="F22">
            <v>0</v>
          </cell>
        </row>
        <row r="23">
          <cell r="B23" t="str">
            <v>Basements</v>
          </cell>
          <cell r="E23">
            <v>4</v>
          </cell>
          <cell r="F23">
            <v>0</v>
          </cell>
        </row>
        <row r="24">
          <cell r="B24" t="str">
            <v>Loading Bay/ Back of House Service Areas</v>
          </cell>
          <cell r="E24">
            <v>2.5</v>
          </cell>
          <cell r="F24">
            <v>0</v>
          </cell>
          <cell r="K24">
            <v>0</v>
          </cell>
          <cell r="N24">
            <v>0</v>
          </cell>
        </row>
        <row r="25">
          <cell r="A25" t="str">
            <v xml:space="preserve">SECTION 3 - MECHANICAL </v>
          </cell>
          <cell r="E25">
            <v>18.5</v>
          </cell>
          <cell r="F25">
            <v>0</v>
          </cell>
          <cell r="K25">
            <v>91</v>
          </cell>
        </row>
        <row r="26">
          <cell r="A26" t="str">
            <v>Part A - Cooling Systems</v>
          </cell>
          <cell r="E26">
            <v>9.5</v>
          </cell>
          <cell r="F26">
            <v>0</v>
          </cell>
          <cell r="K26">
            <v>0</v>
          </cell>
        </row>
        <row r="27">
          <cell r="B27" t="str">
            <v>Chiller Plant</v>
          </cell>
          <cell r="E27">
            <v>9.5</v>
          </cell>
          <cell r="F27">
            <v>0</v>
          </cell>
          <cell r="K27">
            <v>0</v>
          </cell>
          <cell r="M27">
            <v>0</v>
          </cell>
        </row>
        <row r="28">
          <cell r="B28" t="str">
            <v>VRF</v>
          </cell>
          <cell r="E28">
            <v>1</v>
          </cell>
          <cell r="F28">
            <v>0</v>
          </cell>
        </row>
        <row r="29">
          <cell r="A29" t="str">
            <v>Part B - Other systems</v>
          </cell>
          <cell r="E29">
            <v>9</v>
          </cell>
          <cell r="F29">
            <v>0</v>
          </cell>
        </row>
        <row r="30">
          <cell r="B30" t="str">
            <v>Air Distribution System</v>
          </cell>
          <cell r="E30">
            <v>4</v>
          </cell>
          <cell r="F30">
            <v>0</v>
          </cell>
        </row>
        <row r="31">
          <cell r="B31" t="str">
            <v>Domestic Water Supply</v>
          </cell>
          <cell r="E31" t="str">
            <v>Pre-req</v>
          </cell>
        </row>
        <row r="32">
          <cell r="B32" t="str">
            <v>Sanitary System</v>
          </cell>
          <cell r="E32">
            <v>2</v>
          </cell>
          <cell r="F32">
            <v>0</v>
          </cell>
          <cell r="M32" t="str">
            <v/>
          </cell>
        </row>
        <row r="33">
          <cell r="B33" t="str">
            <v>Fire Protection System</v>
          </cell>
          <cell r="E33">
            <v>2</v>
          </cell>
          <cell r="F33">
            <v>0</v>
          </cell>
          <cell r="M33">
            <v>0</v>
          </cell>
        </row>
        <row r="34">
          <cell r="B34" t="str">
            <v>Building Management System</v>
          </cell>
          <cell r="E34">
            <v>1</v>
          </cell>
          <cell r="F34">
            <v>0</v>
          </cell>
        </row>
        <row r="35">
          <cell r="A35" t="str">
            <v xml:space="preserve">SECTION 4 - ELECTRICAL </v>
          </cell>
          <cell r="E35">
            <v>10.5</v>
          </cell>
          <cell r="F35">
            <v>0</v>
          </cell>
        </row>
        <row r="36">
          <cell r="B36" t="str">
            <v>Lighting System</v>
          </cell>
          <cell r="E36">
            <v>2</v>
          </cell>
          <cell r="F36">
            <v>0</v>
          </cell>
        </row>
        <row r="37">
          <cell r="B37" t="str">
            <v>Power Distribution System</v>
          </cell>
          <cell r="E37">
            <v>2</v>
          </cell>
          <cell r="F37">
            <v>0</v>
          </cell>
        </row>
        <row r="38">
          <cell r="B38" t="str">
            <v>Extra Low Voltage System</v>
          </cell>
          <cell r="E38">
            <v>3</v>
          </cell>
          <cell r="F38">
            <v>0</v>
          </cell>
        </row>
        <row r="39">
          <cell r="B39" t="str">
            <v>Lightning Protection System</v>
          </cell>
          <cell r="E39">
            <v>1</v>
          </cell>
          <cell r="F39">
            <v>0</v>
          </cell>
        </row>
        <row r="40">
          <cell r="B40" t="str">
            <v>Vertical Transportation System</v>
          </cell>
          <cell r="E40">
            <v>2</v>
          </cell>
          <cell r="F40">
            <v>0</v>
          </cell>
        </row>
        <row r="41">
          <cell r="B41" t="str">
            <v>Solar PV System</v>
          </cell>
          <cell r="E41">
            <v>0.5</v>
          </cell>
          <cell r="F41">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Smart FM"/>
    </sheetNames>
    <sheetDataSet>
      <sheetData sheetId="0" refreshError="1">
        <row r="6">
          <cell r="F6">
            <v>0</v>
          </cell>
          <cell r="M6">
            <v>0</v>
          </cell>
        </row>
        <row r="7">
          <cell r="F7">
            <v>0</v>
          </cell>
          <cell r="M7">
            <v>0</v>
          </cell>
        </row>
        <row r="8">
          <cell r="F8">
            <v>0</v>
          </cell>
          <cell r="M8">
            <v>0</v>
          </cell>
        </row>
        <row r="9">
          <cell r="F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F16">
            <v>0</v>
          </cell>
          <cell r="M16">
            <v>0</v>
          </cell>
        </row>
        <row r="17">
          <cell r="F17">
            <v>0</v>
          </cell>
          <cell r="M17">
            <v>0</v>
          </cell>
        </row>
        <row r="18">
          <cell r="M18">
            <v>0</v>
          </cell>
        </row>
        <row r="19">
          <cell r="F19">
            <v>0</v>
          </cell>
        </row>
        <row r="20">
          <cell r="F20">
            <v>0</v>
          </cell>
          <cell r="M20">
            <v>0</v>
          </cell>
        </row>
        <row r="21">
          <cell r="M21">
            <v>0</v>
          </cell>
        </row>
        <row r="22">
          <cell r="F22">
            <v>0</v>
          </cell>
        </row>
        <row r="23">
          <cell r="F23">
            <v>0</v>
          </cell>
        </row>
        <row r="24">
          <cell r="F24">
            <v>0</v>
          </cell>
          <cell r="K24">
            <v>0</v>
          </cell>
          <cell r="N24">
            <v>0</v>
          </cell>
        </row>
        <row r="25">
          <cell r="F25">
            <v>0</v>
          </cell>
        </row>
        <row r="26">
          <cell r="F26">
            <v>0</v>
          </cell>
          <cell r="K26">
            <v>0</v>
          </cell>
        </row>
        <row r="27">
          <cell r="F27">
            <v>0</v>
          </cell>
          <cell r="K27">
            <v>0</v>
          </cell>
          <cell r="M27">
            <v>0</v>
          </cell>
        </row>
        <row r="28">
          <cell r="F28">
            <v>0</v>
          </cell>
        </row>
        <row r="29">
          <cell r="F29">
            <v>0</v>
          </cell>
        </row>
        <row r="30">
          <cell r="F30">
            <v>0</v>
          </cell>
        </row>
        <row r="31">
          <cell r="F31">
            <v>0</v>
          </cell>
        </row>
        <row r="32">
          <cell r="M32" t="str">
            <v/>
          </cell>
        </row>
        <row r="33">
          <cell r="F33">
            <v>0</v>
          </cell>
          <cell r="M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5"/>
  <sheetViews>
    <sheetView tabSelected="1" zoomScaleNormal="100" workbookViewId="0">
      <selection activeCell="C8" sqref="C8"/>
    </sheetView>
  </sheetViews>
  <sheetFormatPr defaultColWidth="8.81640625" defaultRowHeight="14.5" x14ac:dyDescent="0.35"/>
  <cols>
    <col min="1" max="1" width="33.81640625" style="252" customWidth="1"/>
    <col min="2" max="2" width="11.81640625" style="7" customWidth="1"/>
    <col min="3" max="3" width="63" style="7" customWidth="1"/>
    <col min="4" max="5" width="50.7265625" style="7" customWidth="1"/>
    <col min="6" max="6" width="8.81640625" style="7"/>
    <col min="7" max="7" width="63" style="249" hidden="1" customWidth="1"/>
    <col min="8" max="16384" width="8.81640625" style="7"/>
  </cols>
  <sheetData>
    <row r="2" spans="1:7" s="247" customFormat="1" ht="20" x14ac:dyDescent="0.4">
      <c r="A2" s="351"/>
      <c r="B2" s="351"/>
      <c r="C2" s="351"/>
    </row>
    <row r="3" spans="1:7" s="247" customFormat="1" ht="20" x14ac:dyDescent="0.4">
      <c r="A3" s="13"/>
      <c r="B3" s="14"/>
      <c r="C3" s="15"/>
    </row>
    <row r="4" spans="1:7" s="247" customFormat="1" ht="20" x14ac:dyDescent="0.4">
      <c r="A4" s="13" t="s">
        <v>0</v>
      </c>
      <c r="B4" s="14"/>
      <c r="C4" s="15"/>
    </row>
    <row r="5" spans="1:7" s="247" customFormat="1" ht="20" x14ac:dyDescent="0.4">
      <c r="A5" s="13"/>
      <c r="B5" s="14"/>
      <c r="C5" s="15"/>
    </row>
    <row r="6" spans="1:7" s="247" customFormat="1" ht="31.5" customHeight="1" x14ac:dyDescent="0.4">
      <c r="A6" s="16"/>
      <c r="B6" s="17"/>
      <c r="C6" s="18"/>
    </row>
    <row r="7" spans="1:7" ht="20.149999999999999" customHeight="1" x14ac:dyDescent="0.35">
      <c r="A7" s="352" t="s">
        <v>1</v>
      </c>
      <c r="B7" s="352"/>
      <c r="C7" s="352"/>
      <c r="G7" s="248" t="s">
        <v>2</v>
      </c>
    </row>
    <row r="8" spans="1:7" ht="20.149999999999999" customHeight="1" x14ac:dyDescent="0.35">
      <c r="A8" s="348" t="s">
        <v>3</v>
      </c>
      <c r="B8" s="348"/>
      <c r="C8" s="19"/>
    </row>
    <row r="9" spans="1:7" ht="20.149999999999999" customHeight="1" x14ac:dyDescent="0.35">
      <c r="A9" s="348" t="s">
        <v>4</v>
      </c>
      <c r="B9" s="348"/>
      <c r="C9" s="19"/>
    </row>
    <row r="10" spans="1:7" ht="20.149999999999999" customHeight="1" x14ac:dyDescent="0.35">
      <c r="A10" s="348" t="s">
        <v>5</v>
      </c>
      <c r="B10" s="348"/>
      <c r="C10" s="19"/>
      <c r="G10" s="250" t="s">
        <v>6</v>
      </c>
    </row>
    <row r="11" spans="1:7" ht="20.149999999999999" customHeight="1" x14ac:dyDescent="0.35">
      <c r="A11" s="348" t="s">
        <v>7</v>
      </c>
      <c r="B11" s="348"/>
      <c r="C11" s="20"/>
      <c r="G11" s="250"/>
    </row>
    <row r="12" spans="1:7" ht="20.149999999999999" customHeight="1" x14ac:dyDescent="0.35">
      <c r="A12" s="348" t="s">
        <v>8</v>
      </c>
      <c r="B12" s="348"/>
      <c r="C12" s="20"/>
      <c r="G12" s="250"/>
    </row>
    <row r="13" spans="1:7" ht="20.149999999999999" customHeight="1" x14ac:dyDescent="0.35">
      <c r="A13" s="348" t="s">
        <v>9</v>
      </c>
      <c r="B13" s="348"/>
      <c r="C13" s="20"/>
      <c r="G13" s="250"/>
    </row>
    <row r="14" spans="1:7" ht="20.149999999999999" customHeight="1" x14ac:dyDescent="0.35">
      <c r="A14" s="353"/>
      <c r="B14" s="353"/>
      <c r="C14" s="251"/>
      <c r="G14" s="250"/>
    </row>
    <row r="15" spans="1:7" ht="20.149999999999999" customHeight="1" x14ac:dyDescent="0.35">
      <c r="A15" s="353" t="s">
        <v>10</v>
      </c>
      <c r="B15" s="353"/>
      <c r="C15" s="21"/>
      <c r="G15" s="250"/>
    </row>
    <row r="16" spans="1:7" ht="20.149999999999999" customHeight="1" x14ac:dyDescent="0.35">
      <c r="A16" s="348" t="s">
        <v>11</v>
      </c>
      <c r="B16" s="348"/>
      <c r="C16" s="22"/>
      <c r="G16" s="250" t="s">
        <v>12</v>
      </c>
    </row>
    <row r="17" spans="1:3" ht="20.149999999999999" customHeight="1" x14ac:dyDescent="0.35">
      <c r="A17" s="348" t="s">
        <v>13</v>
      </c>
      <c r="B17" s="348"/>
      <c r="C17" s="23"/>
    </row>
    <row r="18" spans="1:3" ht="20.149999999999999" customHeight="1" x14ac:dyDescent="0.35">
      <c r="A18" s="348" t="s">
        <v>14</v>
      </c>
      <c r="B18" s="348"/>
      <c r="C18" s="22"/>
    </row>
    <row r="19" spans="1:3" ht="20.149999999999999" customHeight="1" x14ac:dyDescent="0.35">
      <c r="A19" s="348" t="s">
        <v>15</v>
      </c>
      <c r="B19" s="348"/>
      <c r="C19" s="24"/>
    </row>
    <row r="20" spans="1:3" ht="20.149999999999999" customHeight="1" x14ac:dyDescent="0.35">
      <c r="A20" s="350" t="s">
        <v>16</v>
      </c>
      <c r="B20" s="350"/>
      <c r="C20" s="25"/>
    </row>
    <row r="21" spans="1:3" ht="20.149999999999999" customHeight="1" x14ac:dyDescent="0.35">
      <c r="A21" s="350" t="s">
        <v>17</v>
      </c>
      <c r="B21" s="350"/>
      <c r="C21" s="26"/>
    </row>
    <row r="22" spans="1:3" ht="20.149999999999999" customHeight="1" x14ac:dyDescent="0.35">
      <c r="A22" s="350" t="s">
        <v>18</v>
      </c>
      <c r="B22" s="350"/>
      <c r="C22" s="27"/>
    </row>
    <row r="23" spans="1:3" ht="20.149999999999999" customHeight="1" x14ac:dyDescent="0.35">
      <c r="A23" s="348" t="s">
        <v>19</v>
      </c>
      <c r="B23" s="348"/>
      <c r="C23" s="8"/>
    </row>
    <row r="24" spans="1:3" x14ac:dyDescent="0.35">
      <c r="A24" s="348"/>
      <c r="B24" s="348"/>
      <c r="C24" s="8"/>
    </row>
    <row r="25" spans="1:3" ht="104.25" customHeight="1" x14ac:dyDescent="0.35">
      <c r="A25" s="349" t="s">
        <v>20</v>
      </c>
      <c r="B25" s="349"/>
      <c r="C25" s="284"/>
    </row>
  </sheetData>
  <sheetProtection algorithmName="SHA-512" hashValue="8bghRogV0XKMOEY6HXDc7SPMG+EDsKU8AUsIYQDKyJNsRx6HJaReUHLKuj09wC6nD+eHNKm9lR4/jMMJX2aT9Q==" saltValue="JLnUcZ1dzmyCI1ITvESidw==" spinCount="100000" sheet="1" formatCells="0" selectLockedCells="1"/>
  <mergeCells count="20">
    <mergeCell ref="A16:B16"/>
    <mergeCell ref="A2:C2"/>
    <mergeCell ref="A7:C7"/>
    <mergeCell ref="A8:B8"/>
    <mergeCell ref="A9:B9"/>
    <mergeCell ref="A10:B10"/>
    <mergeCell ref="A11:B11"/>
    <mergeCell ref="A12:B12"/>
    <mergeCell ref="A13:B13"/>
    <mergeCell ref="A14:B14"/>
    <mergeCell ref="A15:B15"/>
    <mergeCell ref="A24:B24"/>
    <mergeCell ref="A25:B25"/>
    <mergeCell ref="A22:B22"/>
    <mergeCell ref="A23:B23"/>
    <mergeCell ref="A17:B17"/>
    <mergeCell ref="A18:B18"/>
    <mergeCell ref="A19:B19"/>
    <mergeCell ref="A20:B20"/>
    <mergeCell ref="A21:B21"/>
  </mergeCell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workbookViewId="0">
      <selection activeCell="E12" sqref="E12"/>
    </sheetView>
  </sheetViews>
  <sheetFormatPr defaultColWidth="9.1796875" defaultRowHeight="14.5" x14ac:dyDescent="0.35"/>
  <cols>
    <col min="1" max="1" width="29.81640625" style="7" customWidth="1"/>
    <col min="2" max="2" width="26.26953125" style="7" customWidth="1"/>
    <col min="3" max="3" width="26.1796875" style="7" customWidth="1"/>
    <col min="4" max="5" width="23.54296875" style="7" customWidth="1"/>
    <col min="6" max="6" width="50.7265625" style="7" customWidth="1"/>
    <col min="7" max="16384" width="9.1796875" style="7"/>
  </cols>
  <sheetData>
    <row r="1" spans="1:5" ht="31" x14ac:dyDescent="0.7">
      <c r="A1" s="36" t="s">
        <v>21</v>
      </c>
    </row>
    <row r="2" spans="1:5" x14ac:dyDescent="0.35">
      <c r="A2" s="35" t="s">
        <v>22</v>
      </c>
    </row>
    <row r="3" spans="1:5" x14ac:dyDescent="0.35">
      <c r="A3" s="35" t="s">
        <v>23</v>
      </c>
    </row>
    <row r="4" spans="1:5" x14ac:dyDescent="0.35">
      <c r="A4" s="35" t="s">
        <v>24</v>
      </c>
    </row>
    <row r="5" spans="1:5" x14ac:dyDescent="0.35">
      <c r="A5"/>
    </row>
    <row r="6" spans="1:5" ht="31" x14ac:dyDescent="0.7">
      <c r="A6"/>
      <c r="B6" s="356" t="s">
        <v>25</v>
      </c>
      <c r="C6" s="356"/>
      <c r="D6" s="356"/>
      <c r="E6" s="356"/>
    </row>
    <row r="7" spans="1:5" ht="18.5" x14ac:dyDescent="0.45">
      <c r="A7" s="28"/>
      <c r="B7" s="228" t="s">
        <v>26</v>
      </c>
      <c r="C7" s="228" t="s">
        <v>27</v>
      </c>
      <c r="D7" s="228" t="s">
        <v>28</v>
      </c>
      <c r="E7" s="228" t="s">
        <v>29</v>
      </c>
    </row>
    <row r="8" spans="1:5" ht="18.5" x14ac:dyDescent="0.45">
      <c r="A8" s="29" t="s">
        <v>30</v>
      </c>
      <c r="B8" s="9">
        <v>15</v>
      </c>
      <c r="C8" s="11">
        <f>'4. Resilience'!F2</f>
        <v>0</v>
      </c>
      <c r="D8" s="347" t="str">
        <f>IF(C8&gt;=10, "Y","")</f>
        <v/>
      </c>
      <c r="E8" s="346"/>
    </row>
    <row r="9" spans="1:5" ht="18.5" x14ac:dyDescent="0.45">
      <c r="A9" s="30" t="s">
        <v>31</v>
      </c>
      <c r="B9" s="9">
        <v>15</v>
      </c>
      <c r="C9" s="11">
        <f>'5. Whole Life Carbon'!H2</f>
        <v>0</v>
      </c>
      <c r="D9" s="347" t="str">
        <f>IF(C9&gt;=10, "Y","")</f>
        <v/>
      </c>
      <c r="E9" s="346"/>
    </row>
    <row r="10" spans="1:5" ht="18.5" x14ac:dyDescent="0.45">
      <c r="A10" s="31" t="s">
        <v>32</v>
      </c>
      <c r="B10" s="9">
        <v>15</v>
      </c>
      <c r="C10" s="11">
        <f>'6. Health&amp;Wellbeing'!H2</f>
        <v>0</v>
      </c>
      <c r="D10" s="347" t="str">
        <f>IF(C10&gt;=10, "Y","")</f>
        <v/>
      </c>
      <c r="E10" s="346"/>
    </row>
    <row r="11" spans="1:5" ht="18.5" x14ac:dyDescent="0.45">
      <c r="A11" s="32" t="s">
        <v>33</v>
      </c>
      <c r="B11" s="9">
        <v>15</v>
      </c>
      <c r="C11" s="11">
        <f>'7. Intelligence'!F2</f>
        <v>0</v>
      </c>
      <c r="D11" s="347" t="str">
        <f>IF(C11&gt;=10, "Y","")</f>
        <v/>
      </c>
      <c r="E11" s="346"/>
    </row>
    <row r="12" spans="1:5" ht="18.5" x14ac:dyDescent="0.45">
      <c r="A12" s="229" t="s">
        <v>34</v>
      </c>
      <c r="B12" s="9">
        <v>15</v>
      </c>
      <c r="C12" s="11">
        <f>D32</f>
        <v>0</v>
      </c>
      <c r="D12" s="347" t="str">
        <f>IF('8. Maintainability'!C67="Yes","Y","")</f>
        <v/>
      </c>
      <c r="E12" s="346"/>
    </row>
    <row r="13" spans="1:5" ht="18.5" x14ac:dyDescent="0.45">
      <c r="A13" s="33" t="s">
        <v>35</v>
      </c>
      <c r="B13" s="228">
        <v>75</v>
      </c>
      <c r="C13" s="11">
        <f>SUM(C8:C12)</f>
        <v>0</v>
      </c>
      <c r="D13" s="34"/>
      <c r="E13" s="346"/>
    </row>
    <row r="14" spans="1:5" x14ac:dyDescent="0.35">
      <c r="A14"/>
      <c r="B14"/>
      <c r="C14"/>
      <c r="D14"/>
    </row>
    <row r="15" spans="1:5" x14ac:dyDescent="0.35">
      <c r="A15"/>
      <c r="B15"/>
      <c r="C15"/>
      <c r="D15"/>
    </row>
    <row r="16" spans="1:5" x14ac:dyDescent="0.35">
      <c r="A16"/>
      <c r="B16"/>
      <c r="C16"/>
      <c r="D16"/>
    </row>
    <row r="17" spans="1:4" ht="18.5" x14ac:dyDescent="0.45">
      <c r="A17" s="354" t="s">
        <v>36</v>
      </c>
      <c r="B17" s="354"/>
      <c r="C17" s="228" t="s">
        <v>26</v>
      </c>
      <c r="D17" s="228" t="s">
        <v>27</v>
      </c>
    </row>
    <row r="18" spans="1:4" ht="18.5" x14ac:dyDescent="0.45">
      <c r="A18" s="29" t="s">
        <v>37</v>
      </c>
      <c r="B18" s="29" t="s">
        <v>38</v>
      </c>
      <c r="C18" s="9">
        <v>5</v>
      </c>
      <c r="D18" s="11">
        <f>'4. Resilience'!F3</f>
        <v>0</v>
      </c>
    </row>
    <row r="19" spans="1:4" ht="18.5" x14ac:dyDescent="0.45">
      <c r="A19" s="29" t="s">
        <v>39</v>
      </c>
      <c r="B19" s="29" t="s">
        <v>40</v>
      </c>
      <c r="C19" s="9">
        <v>5</v>
      </c>
      <c r="D19" s="11">
        <f>'4. Resilience'!F28</f>
        <v>0</v>
      </c>
    </row>
    <row r="20" spans="1:4" ht="18.5" x14ac:dyDescent="0.45">
      <c r="A20" s="29" t="s">
        <v>41</v>
      </c>
      <c r="B20" s="29" t="s">
        <v>42</v>
      </c>
      <c r="C20" s="9">
        <v>5</v>
      </c>
      <c r="D20" s="11">
        <f>'4. Resilience'!F54</f>
        <v>0</v>
      </c>
    </row>
    <row r="21" spans="1:4" ht="18.5" x14ac:dyDescent="0.45">
      <c r="A21" s="30" t="s">
        <v>43</v>
      </c>
      <c r="B21" s="30" t="s">
        <v>44</v>
      </c>
      <c r="C21" s="9">
        <v>5</v>
      </c>
      <c r="D21" s="11">
        <f>'5. Whole Life Carbon'!H3</f>
        <v>0</v>
      </c>
    </row>
    <row r="22" spans="1:4" ht="18.5" x14ac:dyDescent="0.45">
      <c r="A22" s="30" t="s">
        <v>45</v>
      </c>
      <c r="B22" s="30" t="s">
        <v>46</v>
      </c>
      <c r="C22" s="9">
        <v>5</v>
      </c>
      <c r="D22" s="11">
        <f>'5. Whole Life Carbon'!H31</f>
        <v>0</v>
      </c>
    </row>
    <row r="23" spans="1:4" ht="18.5" x14ac:dyDescent="0.45">
      <c r="A23" s="30" t="s">
        <v>47</v>
      </c>
      <c r="B23" s="30" t="s">
        <v>48</v>
      </c>
      <c r="C23" s="9">
        <v>5</v>
      </c>
      <c r="D23" s="11">
        <f>'5. Whole Life Carbon'!H70</f>
        <v>0</v>
      </c>
    </row>
    <row r="24" spans="1:4" ht="18.5" x14ac:dyDescent="0.45">
      <c r="A24" s="31" t="s">
        <v>49</v>
      </c>
      <c r="B24" s="31" t="s">
        <v>50</v>
      </c>
      <c r="C24" s="9">
        <v>5</v>
      </c>
      <c r="D24" s="11">
        <f>'6. Health&amp;Wellbeing'!H3</f>
        <v>0</v>
      </c>
    </row>
    <row r="25" spans="1:4" ht="18.5" x14ac:dyDescent="0.45">
      <c r="A25" s="31" t="s">
        <v>51</v>
      </c>
      <c r="B25" s="31" t="s">
        <v>52</v>
      </c>
      <c r="C25" s="9">
        <v>5</v>
      </c>
      <c r="D25" s="11">
        <f>'6. Health&amp;Wellbeing'!H45</f>
        <v>0</v>
      </c>
    </row>
    <row r="26" spans="1:4" ht="18.5" x14ac:dyDescent="0.45">
      <c r="A26" s="31" t="s">
        <v>53</v>
      </c>
      <c r="B26" s="31" t="s">
        <v>54</v>
      </c>
      <c r="C26" s="9">
        <v>5</v>
      </c>
      <c r="D26" s="11">
        <f>'6. Health&amp;Wellbeing'!H70</f>
        <v>0</v>
      </c>
    </row>
    <row r="27" spans="1:4" ht="18.5" x14ac:dyDescent="0.45">
      <c r="A27" s="32" t="s">
        <v>55</v>
      </c>
      <c r="B27" s="32" t="s">
        <v>56</v>
      </c>
      <c r="C27" s="9">
        <v>5</v>
      </c>
      <c r="D27" s="11">
        <f>'7. Intelligence'!F3</f>
        <v>0</v>
      </c>
    </row>
    <row r="28" spans="1:4" ht="18.5" x14ac:dyDescent="0.45">
      <c r="A28" s="32" t="s">
        <v>57</v>
      </c>
      <c r="B28" s="32" t="s">
        <v>58</v>
      </c>
      <c r="C28" s="9">
        <v>5</v>
      </c>
      <c r="D28" s="11">
        <f>'7. Intelligence'!F21</f>
        <v>0</v>
      </c>
    </row>
    <row r="29" spans="1:4" ht="18.5" x14ac:dyDescent="0.45">
      <c r="A29" s="32" t="s">
        <v>59</v>
      </c>
      <c r="B29" s="32" t="s">
        <v>60</v>
      </c>
      <c r="C29" s="9">
        <v>5</v>
      </c>
      <c r="D29" s="11">
        <f>'7. Intelligence'!F35</f>
        <v>0</v>
      </c>
    </row>
    <row r="30" spans="1:4" x14ac:dyDescent="0.35">
      <c r="A30"/>
      <c r="B30"/>
      <c r="C30"/>
      <c r="D30"/>
    </row>
    <row r="31" spans="1:4" ht="37" x14ac:dyDescent="0.35">
      <c r="A31" s="355" t="s">
        <v>34</v>
      </c>
      <c r="B31" s="12" t="s">
        <v>61</v>
      </c>
      <c r="C31" s="12" t="s">
        <v>62</v>
      </c>
      <c r="D31" s="12" t="s">
        <v>63</v>
      </c>
    </row>
    <row r="32" spans="1:4" ht="18.75" customHeight="1" x14ac:dyDescent="0.45">
      <c r="A32" s="355"/>
      <c r="B32" s="10">
        <f>'8. Maintainability'!C7</f>
        <v>91</v>
      </c>
      <c r="C32" s="11">
        <f>IF(AND('8. Maintainability'!E64=0,'8. Maintainability'!G64=""),0,IF('8. Maintainability'!E64=0,'8. Maintainability'!G64,'8. Maintainability'!E64))</f>
        <v>0</v>
      </c>
      <c r="D32" s="11">
        <f>IF('8. Maintainability'!C66="",0,'8. Maintainability'!C66)</f>
        <v>0</v>
      </c>
    </row>
  </sheetData>
  <sheetProtection algorithmName="SHA-512" hashValue="f1CLc8RhzegWZmwTUztcw+L6pWD/fyh+2VWxxP8HuOBm9HnezfboQDkMpqcYBEzcnxHiHDFtp6jqY7rt/cyvbg==" saltValue="2cZIH7i+3stKqiZMoLEO2w==" spinCount="100000" sheet="1" formatCells="0" selectLockedCells="1"/>
  <mergeCells count="3">
    <mergeCell ref="A17:B17"/>
    <mergeCell ref="A31:A32"/>
    <mergeCell ref="B6:E6"/>
  </mergeCells>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zoomScaleNormal="100" workbookViewId="0">
      <selection activeCell="C3" sqref="C3"/>
    </sheetView>
  </sheetViews>
  <sheetFormatPr defaultColWidth="9.1796875" defaultRowHeight="14.5" x14ac:dyDescent="0.35"/>
  <cols>
    <col min="1" max="1" width="8.7265625" customWidth="1"/>
    <col min="2" max="2" width="65.7265625" customWidth="1"/>
    <col min="3" max="4" width="10.7265625" customWidth="1"/>
    <col min="5" max="6" width="50.7265625" customWidth="1"/>
    <col min="7" max="7" width="15.54296875" customWidth="1"/>
    <col min="8" max="8" width="17.26953125" customWidth="1"/>
  </cols>
  <sheetData>
    <row r="1" spans="1:4" ht="31" x14ac:dyDescent="0.35">
      <c r="A1" s="359" t="s">
        <v>64</v>
      </c>
      <c r="B1" s="359"/>
      <c r="C1" s="37" t="s">
        <v>65</v>
      </c>
      <c r="D1" s="37" t="s">
        <v>66</v>
      </c>
    </row>
    <row r="2" spans="1:4" ht="21" x14ac:dyDescent="0.35">
      <c r="A2" s="358" t="s">
        <v>67</v>
      </c>
      <c r="B2" s="358"/>
      <c r="C2" s="38"/>
      <c r="D2" s="38"/>
    </row>
    <row r="3" spans="1:4" ht="15.5" x14ac:dyDescent="0.35">
      <c r="A3" s="34"/>
      <c r="B3" s="39" t="s">
        <v>68</v>
      </c>
      <c r="C3" s="4"/>
      <c r="D3" s="40" t="s">
        <v>69</v>
      </c>
    </row>
    <row r="4" spans="1:4" ht="15.5" x14ac:dyDescent="0.35">
      <c r="A4" s="357" t="s">
        <v>70</v>
      </c>
      <c r="B4" s="357"/>
      <c r="C4" s="41"/>
      <c r="D4" s="41"/>
    </row>
    <row r="5" spans="1:4" ht="15.5" x14ac:dyDescent="0.35">
      <c r="A5" s="34"/>
      <c r="B5" s="39" t="s">
        <v>71</v>
      </c>
      <c r="C5" s="4"/>
      <c r="D5" s="40" t="s">
        <v>72</v>
      </c>
    </row>
    <row r="6" spans="1:4" ht="15.5" x14ac:dyDescent="0.35">
      <c r="A6" s="357" t="s">
        <v>73</v>
      </c>
      <c r="B6" s="357"/>
      <c r="C6" s="42"/>
      <c r="D6" s="42"/>
    </row>
    <row r="7" spans="1:4" ht="15.5" x14ac:dyDescent="0.35">
      <c r="A7" s="43" t="s">
        <v>74</v>
      </c>
      <c r="B7" s="44" t="s">
        <v>75</v>
      </c>
      <c r="C7" s="4"/>
      <c r="D7" s="40" t="s">
        <v>72</v>
      </c>
    </row>
    <row r="8" spans="1:4" ht="15.5" x14ac:dyDescent="0.35">
      <c r="A8" s="43" t="s">
        <v>76</v>
      </c>
      <c r="B8" s="45" t="s">
        <v>77</v>
      </c>
      <c r="C8" s="4"/>
      <c r="D8" s="40" t="s">
        <v>78</v>
      </c>
    </row>
    <row r="9" spans="1:4" ht="15.5" x14ac:dyDescent="0.35">
      <c r="A9" s="360" t="s">
        <v>79</v>
      </c>
      <c r="B9" s="45" t="s">
        <v>80</v>
      </c>
      <c r="C9" s="4"/>
      <c r="D9" s="40" t="s">
        <v>72</v>
      </c>
    </row>
    <row r="10" spans="1:4" ht="15.5" x14ac:dyDescent="0.35">
      <c r="A10" s="360"/>
      <c r="B10" s="45" t="s">
        <v>81</v>
      </c>
      <c r="C10" s="40"/>
      <c r="D10" s="40"/>
    </row>
    <row r="11" spans="1:4" ht="15.5" x14ac:dyDescent="0.35">
      <c r="A11" s="360"/>
      <c r="B11" s="45" t="s">
        <v>82</v>
      </c>
      <c r="C11" s="4"/>
      <c r="D11" s="40" t="s">
        <v>72</v>
      </c>
    </row>
    <row r="12" spans="1:4" ht="15.5" x14ac:dyDescent="0.35">
      <c r="A12" s="360"/>
      <c r="B12" s="45" t="s">
        <v>83</v>
      </c>
      <c r="C12" s="4"/>
      <c r="D12" s="40" t="s">
        <v>72</v>
      </c>
    </row>
    <row r="13" spans="1:4" ht="15.5" x14ac:dyDescent="0.35">
      <c r="A13" s="43" t="s">
        <v>84</v>
      </c>
      <c r="B13" s="45" t="s">
        <v>85</v>
      </c>
      <c r="C13" s="4"/>
      <c r="D13" s="40" t="s">
        <v>72</v>
      </c>
    </row>
    <row r="14" spans="1:4" ht="15.5" x14ac:dyDescent="0.35">
      <c r="A14" s="43" t="s">
        <v>86</v>
      </c>
      <c r="B14" s="45" t="s">
        <v>87</v>
      </c>
      <c r="C14" s="4"/>
      <c r="D14" s="46" t="s">
        <v>78</v>
      </c>
    </row>
    <row r="15" spans="1:4" ht="15.5" x14ac:dyDescent="0.35">
      <c r="A15" s="360" t="s">
        <v>88</v>
      </c>
      <c r="B15" s="45" t="s">
        <v>89</v>
      </c>
      <c r="C15" s="34"/>
      <c r="D15" s="34"/>
    </row>
    <row r="16" spans="1:4" ht="46.5" x14ac:dyDescent="0.35">
      <c r="A16" s="360"/>
      <c r="B16" s="47" t="s">
        <v>90</v>
      </c>
      <c r="C16" s="4"/>
      <c r="D16" s="40" t="s">
        <v>69</v>
      </c>
    </row>
    <row r="17" spans="1:4" ht="15.5" x14ac:dyDescent="0.35">
      <c r="A17" s="360"/>
      <c r="B17" s="48" t="s">
        <v>91</v>
      </c>
      <c r="C17" s="4"/>
      <c r="D17" s="40" t="s">
        <v>69</v>
      </c>
    </row>
    <row r="18" spans="1:4" ht="31" x14ac:dyDescent="0.35">
      <c r="A18" s="360"/>
      <c r="B18" s="47" t="s">
        <v>92</v>
      </c>
      <c r="C18" s="4"/>
      <c r="D18" s="40" t="s">
        <v>69</v>
      </c>
    </row>
    <row r="19" spans="1:4" ht="46.5" x14ac:dyDescent="0.35">
      <c r="A19" s="360"/>
      <c r="B19" s="47" t="s">
        <v>93</v>
      </c>
      <c r="C19" s="4"/>
      <c r="D19" s="40" t="s">
        <v>69</v>
      </c>
    </row>
    <row r="20" spans="1:4" ht="31" x14ac:dyDescent="0.35">
      <c r="A20" s="43" t="s">
        <v>94</v>
      </c>
      <c r="B20" s="47" t="s">
        <v>95</v>
      </c>
      <c r="C20" s="50"/>
      <c r="D20" s="40" t="s">
        <v>72</v>
      </c>
    </row>
    <row r="21" spans="1:4" ht="31" x14ac:dyDescent="0.35">
      <c r="A21" s="43" t="s">
        <v>96</v>
      </c>
      <c r="B21" s="47" t="s">
        <v>97</v>
      </c>
      <c r="C21" s="50"/>
      <c r="D21" s="40" t="s">
        <v>72</v>
      </c>
    </row>
    <row r="22" spans="1:4" ht="15.5" x14ac:dyDescent="0.35">
      <c r="A22" s="357" t="s">
        <v>98</v>
      </c>
      <c r="B22" s="357"/>
      <c r="C22" s="42"/>
      <c r="D22" s="42"/>
    </row>
    <row r="23" spans="1:4" ht="15.5" x14ac:dyDescent="0.35">
      <c r="A23" s="43" t="s">
        <v>74</v>
      </c>
      <c r="B23" s="49" t="s">
        <v>99</v>
      </c>
      <c r="C23" s="4"/>
      <c r="D23" s="40" t="s">
        <v>72</v>
      </c>
    </row>
    <row r="24" spans="1:4" ht="15.5" x14ac:dyDescent="0.35">
      <c r="A24" s="43" t="s">
        <v>76</v>
      </c>
      <c r="B24" s="49" t="s">
        <v>100</v>
      </c>
      <c r="C24" s="4"/>
      <c r="D24" s="40" t="s">
        <v>72</v>
      </c>
    </row>
  </sheetData>
  <sheetProtection algorithmName="SHA-512" hashValue="Mo6TWrI6ZkbcKl5fyQqgPY8mmNnxX/vP3npOmo+JJR9sNWWpslWnkPsMonlcsKEGSYlzHdKqkG7YQ5XP3Von3w==" saltValue="B7SUBTpyFUEpJNnVfBlA8Q==" spinCount="100000" sheet="1" formatCells="0" selectLockedCells="1"/>
  <mergeCells count="7">
    <mergeCell ref="A6:B6"/>
    <mergeCell ref="A4:B4"/>
    <mergeCell ref="A2:B2"/>
    <mergeCell ref="A1:B1"/>
    <mergeCell ref="A22:B22"/>
    <mergeCell ref="A9:A12"/>
    <mergeCell ref="A15:A19"/>
  </mergeCells>
  <dataValidations count="3">
    <dataValidation type="decimal" allowBlank="1" showInputMessage="1" showErrorMessage="1" sqref="C20:C21" xr:uid="{00000000-0002-0000-0200-000000000000}">
      <formula1>0</formula1>
      <formula2>100</formula2>
    </dataValidation>
    <dataValidation type="list" allowBlank="1" showInputMessage="1" showErrorMessage="1" sqref="C3 C23:C24 C16:C19" xr:uid="{00000000-0002-0000-0200-000001000000}">
      <formula1>"Y,N"</formula1>
    </dataValidation>
    <dataValidation type="decimal" allowBlank="1" showInputMessage="1" showErrorMessage="1" sqref="C5 C7:C14" xr:uid="{00000000-0002-0000-0200-000002000000}">
      <formula1>0</formula1>
      <formula2>1000</formula2>
    </dataValidation>
  </dataValidations>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Normal="100" workbookViewId="0">
      <selection activeCell="C6" sqref="C6"/>
    </sheetView>
  </sheetViews>
  <sheetFormatPr defaultColWidth="9.1796875" defaultRowHeight="15.5" x14ac:dyDescent="0.35"/>
  <cols>
    <col min="1" max="1" width="8.26953125" style="259" customWidth="1"/>
    <col min="2" max="2" width="65.7265625" style="7" customWidth="1"/>
    <col min="3" max="4" width="10.7265625" style="7" customWidth="1"/>
    <col min="5" max="5" width="19.26953125" style="7" customWidth="1"/>
    <col min="6" max="6" width="10.7265625" style="7" customWidth="1"/>
    <col min="7" max="7" width="30.7265625" style="7" customWidth="1"/>
    <col min="8" max="8" width="8.7265625" style="7" customWidth="1"/>
    <col min="9" max="9" width="10.7265625" style="7" customWidth="1"/>
    <col min="10" max="11" width="15.7265625" style="7" customWidth="1"/>
    <col min="12" max="12" width="50.7265625" style="7" customWidth="1"/>
    <col min="13" max="16384" width="9.1796875" style="7"/>
  </cols>
  <sheetData>
    <row r="1" spans="1:11" ht="31" x14ac:dyDescent="0.35">
      <c r="A1" s="51"/>
      <c r="B1" s="230" t="s">
        <v>101</v>
      </c>
      <c r="C1" s="37" t="s">
        <v>65</v>
      </c>
      <c r="D1" s="37" t="s">
        <v>66</v>
      </c>
      <c r="E1" s="52" t="s">
        <v>102</v>
      </c>
      <c r="F1" s="37" t="s">
        <v>103</v>
      </c>
      <c r="G1" s="230" t="s">
        <v>104</v>
      </c>
    </row>
    <row r="2" spans="1:11" ht="21" x14ac:dyDescent="0.35">
      <c r="A2" s="370" t="s">
        <v>30</v>
      </c>
      <c r="B2" s="371"/>
      <c r="C2" s="371"/>
      <c r="D2" s="372"/>
      <c r="E2" s="53">
        <v>15</v>
      </c>
      <c r="F2" s="286">
        <f>MIN(SUM(F3,F28,F54,F66), 15)</f>
        <v>0</v>
      </c>
      <c r="G2" s="54" t="s">
        <v>105</v>
      </c>
      <c r="H2" s="368"/>
      <c r="I2" s="369"/>
      <c r="J2" s="369"/>
      <c r="K2" s="369"/>
    </row>
    <row r="3" spans="1:11" x14ac:dyDescent="0.35">
      <c r="A3" s="55" t="s">
        <v>106</v>
      </c>
      <c r="B3" s="387" t="s">
        <v>107</v>
      </c>
      <c r="C3" s="387"/>
      <c r="D3" s="387"/>
      <c r="E3" s="56">
        <v>5</v>
      </c>
      <c r="F3" s="287">
        <f>MIN(SUM(F27,F23,F20,F16,F8),5)</f>
        <v>0</v>
      </c>
      <c r="G3" s="55"/>
      <c r="H3" s="368"/>
      <c r="I3" s="369"/>
      <c r="J3" s="369"/>
      <c r="K3" s="369"/>
    </row>
    <row r="4" spans="1:11" x14ac:dyDescent="0.35">
      <c r="A4" s="57" t="s">
        <v>108</v>
      </c>
      <c r="B4" s="58" t="s">
        <v>109</v>
      </c>
      <c r="C4" s="59"/>
      <c r="D4" s="60"/>
      <c r="E4" s="61"/>
      <c r="F4" s="288"/>
      <c r="G4" s="62"/>
      <c r="H4" s="368"/>
      <c r="I4" s="369"/>
      <c r="J4" s="369"/>
      <c r="K4" s="369"/>
    </row>
    <row r="5" spans="1:11" x14ac:dyDescent="0.35">
      <c r="A5" s="63" t="s">
        <v>110</v>
      </c>
      <c r="B5" s="64" t="s">
        <v>111</v>
      </c>
      <c r="C5" s="65"/>
      <c r="D5" s="66"/>
      <c r="E5" s="67"/>
      <c r="F5" s="289"/>
      <c r="G5" s="68"/>
      <c r="H5" s="368"/>
      <c r="I5" s="369"/>
      <c r="J5" s="369"/>
      <c r="K5" s="369"/>
    </row>
    <row r="6" spans="1:11" ht="31" x14ac:dyDescent="0.35">
      <c r="A6" s="236" t="s">
        <v>74</v>
      </c>
      <c r="B6" s="39" t="s">
        <v>112</v>
      </c>
      <c r="C6" s="1"/>
      <c r="D6" s="40" t="s">
        <v>69</v>
      </c>
      <c r="E6" s="81" t="s">
        <v>113</v>
      </c>
      <c r="F6" s="290">
        <f>IF(C6="Y",1,0)</f>
        <v>0</v>
      </c>
      <c r="G6" s="142"/>
      <c r="H6" s="368"/>
      <c r="I6" s="369"/>
      <c r="J6" s="369"/>
      <c r="K6" s="369"/>
    </row>
    <row r="7" spans="1:11" ht="46.5" x14ac:dyDescent="0.35">
      <c r="A7" s="236" t="s">
        <v>76</v>
      </c>
      <c r="B7" s="39" t="s">
        <v>114</v>
      </c>
      <c r="C7" s="1"/>
      <c r="D7" s="40" t="s">
        <v>69</v>
      </c>
      <c r="E7" s="241" t="s">
        <v>113</v>
      </c>
      <c r="F7" s="290">
        <f>IF((C7="Y")*AND(C6="Y"),1,0)</f>
        <v>0</v>
      </c>
      <c r="G7" s="142"/>
      <c r="H7" s="368"/>
      <c r="I7" s="369"/>
      <c r="J7" s="369"/>
      <c r="K7" s="369"/>
    </row>
    <row r="8" spans="1:11" x14ac:dyDescent="0.35">
      <c r="A8" s="69"/>
      <c r="B8" s="373" t="s">
        <v>115</v>
      </c>
      <c r="C8" s="374"/>
      <c r="D8" s="374"/>
      <c r="E8" s="374"/>
      <c r="F8" s="291">
        <f>MIN((F6+F7),2)</f>
        <v>0</v>
      </c>
      <c r="G8" s="70"/>
      <c r="H8" s="368"/>
      <c r="I8" s="369"/>
      <c r="J8" s="369"/>
      <c r="K8" s="369"/>
    </row>
    <row r="9" spans="1:11" x14ac:dyDescent="0.35">
      <c r="A9" s="71" t="s">
        <v>116</v>
      </c>
      <c r="B9" s="72" t="s">
        <v>117</v>
      </c>
      <c r="C9" s="73"/>
      <c r="D9" s="74"/>
      <c r="E9" s="67"/>
      <c r="F9" s="292"/>
      <c r="G9" s="68"/>
      <c r="H9" s="368"/>
      <c r="I9" s="369"/>
      <c r="J9" s="369"/>
      <c r="K9" s="369"/>
    </row>
    <row r="10" spans="1:11" ht="31" x14ac:dyDescent="0.35">
      <c r="A10" s="383" t="s">
        <v>74</v>
      </c>
      <c r="B10" s="75" t="s">
        <v>118</v>
      </c>
      <c r="C10" s="76"/>
      <c r="D10" s="77"/>
      <c r="E10" s="78"/>
      <c r="F10" s="293"/>
      <c r="G10" s="258"/>
      <c r="H10" s="368"/>
      <c r="I10" s="369"/>
      <c r="J10" s="369"/>
      <c r="K10" s="369"/>
    </row>
    <row r="11" spans="1:11" x14ac:dyDescent="0.35">
      <c r="A11" s="384"/>
      <c r="B11" s="79" t="s">
        <v>119</v>
      </c>
      <c r="C11" s="80" t="s">
        <v>120</v>
      </c>
      <c r="D11" s="81" t="s">
        <v>120</v>
      </c>
      <c r="E11" s="81" t="s">
        <v>120</v>
      </c>
      <c r="F11" s="285" t="s">
        <v>120</v>
      </c>
      <c r="G11" s="258"/>
      <c r="H11" s="368"/>
      <c r="I11" s="369"/>
      <c r="J11" s="369"/>
      <c r="K11" s="369"/>
    </row>
    <row r="12" spans="1:11" x14ac:dyDescent="0.35">
      <c r="A12" s="384"/>
      <c r="B12" s="79" t="s">
        <v>121</v>
      </c>
      <c r="C12" s="80" t="s">
        <v>120</v>
      </c>
      <c r="D12" s="81" t="s">
        <v>120</v>
      </c>
      <c r="E12" s="81" t="s">
        <v>120</v>
      </c>
      <c r="F12" s="285" t="s">
        <v>120</v>
      </c>
      <c r="G12" s="258"/>
      <c r="H12" s="368"/>
      <c r="I12" s="369"/>
      <c r="J12" s="369"/>
      <c r="K12" s="369"/>
    </row>
    <row r="13" spans="1:11" x14ac:dyDescent="0.35">
      <c r="A13" s="384"/>
      <c r="B13" s="79" t="s">
        <v>122</v>
      </c>
      <c r="C13" s="80" t="s">
        <v>120</v>
      </c>
      <c r="D13" s="81" t="s">
        <v>120</v>
      </c>
      <c r="E13" s="81" t="s">
        <v>120</v>
      </c>
      <c r="F13" s="285" t="s">
        <v>120</v>
      </c>
      <c r="G13" s="258"/>
      <c r="H13" s="368"/>
      <c r="I13" s="369"/>
      <c r="J13" s="369"/>
      <c r="K13" s="369"/>
    </row>
    <row r="14" spans="1:11" x14ac:dyDescent="0.35">
      <c r="A14" s="385" t="s">
        <v>76</v>
      </c>
      <c r="B14" s="78" t="s">
        <v>123</v>
      </c>
      <c r="C14" s="80" t="s">
        <v>120</v>
      </c>
      <c r="D14" s="81" t="s">
        <v>120</v>
      </c>
      <c r="E14" s="81" t="s">
        <v>120</v>
      </c>
      <c r="F14" s="285" t="s">
        <v>120</v>
      </c>
      <c r="G14" s="258"/>
      <c r="H14" s="368"/>
      <c r="I14" s="369"/>
      <c r="J14" s="369"/>
      <c r="K14" s="369"/>
    </row>
    <row r="15" spans="1:11" x14ac:dyDescent="0.35">
      <c r="A15" s="385"/>
      <c r="B15" s="77" t="s">
        <v>124</v>
      </c>
      <c r="C15" s="143"/>
      <c r="D15" s="46" t="s">
        <v>78</v>
      </c>
      <c r="E15" s="82" t="s">
        <v>113</v>
      </c>
      <c r="F15" s="294">
        <f>IF((C15&gt;=89.5),1,0)</f>
        <v>0</v>
      </c>
      <c r="G15" s="142"/>
      <c r="H15" s="368"/>
      <c r="I15" s="369"/>
      <c r="J15" s="369"/>
      <c r="K15" s="369"/>
    </row>
    <row r="16" spans="1:11" x14ac:dyDescent="0.35">
      <c r="A16" s="83"/>
      <c r="B16" s="373" t="s">
        <v>125</v>
      </c>
      <c r="C16" s="374"/>
      <c r="D16" s="374"/>
      <c r="E16" s="386"/>
      <c r="F16" s="291">
        <f>F15</f>
        <v>0</v>
      </c>
      <c r="G16" s="84"/>
      <c r="H16" s="368"/>
      <c r="I16" s="369"/>
      <c r="J16" s="369"/>
      <c r="K16" s="369"/>
    </row>
    <row r="17" spans="1:11" x14ac:dyDescent="0.35">
      <c r="A17" s="57" t="s">
        <v>126</v>
      </c>
      <c r="B17" s="85" t="s">
        <v>127</v>
      </c>
      <c r="C17" s="86"/>
      <c r="D17" s="87"/>
      <c r="E17" s="88"/>
      <c r="F17" s="295"/>
      <c r="G17" s="89"/>
      <c r="H17" s="368"/>
      <c r="I17" s="369"/>
      <c r="J17" s="369"/>
      <c r="K17" s="369"/>
    </row>
    <row r="18" spans="1:11" x14ac:dyDescent="0.35">
      <c r="A18" s="63" t="s">
        <v>128</v>
      </c>
      <c r="B18" s="90" t="s">
        <v>129</v>
      </c>
      <c r="C18" s="91"/>
      <c r="D18" s="92"/>
      <c r="E18" s="67"/>
      <c r="F18" s="296"/>
      <c r="G18" s="68"/>
      <c r="H18" s="368"/>
      <c r="I18" s="369"/>
      <c r="J18" s="369"/>
      <c r="K18" s="369"/>
    </row>
    <row r="19" spans="1:11" ht="108.5" x14ac:dyDescent="0.35">
      <c r="A19" s="45"/>
      <c r="B19" s="49" t="s">
        <v>130</v>
      </c>
      <c r="C19" s="1" t="s">
        <v>523</v>
      </c>
      <c r="D19" s="40" t="s">
        <v>69</v>
      </c>
      <c r="E19" s="81" t="s">
        <v>131</v>
      </c>
      <c r="F19" s="290">
        <f>IF(C19="Y",2,0)</f>
        <v>0</v>
      </c>
      <c r="G19" s="142"/>
      <c r="H19" s="368"/>
      <c r="I19" s="369"/>
      <c r="J19" s="369"/>
      <c r="K19" s="369"/>
    </row>
    <row r="20" spans="1:11" x14ac:dyDescent="0.35">
      <c r="A20" s="93"/>
      <c r="B20" s="373" t="s">
        <v>132</v>
      </c>
      <c r="C20" s="374"/>
      <c r="D20" s="374"/>
      <c r="E20" s="374"/>
      <c r="F20" s="291">
        <f>F19</f>
        <v>0</v>
      </c>
      <c r="G20" s="94"/>
      <c r="H20" s="368"/>
      <c r="I20" s="369"/>
      <c r="J20" s="369"/>
      <c r="K20" s="369"/>
    </row>
    <row r="21" spans="1:11" x14ac:dyDescent="0.35">
      <c r="A21" s="63" t="s">
        <v>133</v>
      </c>
      <c r="B21" s="90" t="s">
        <v>134</v>
      </c>
      <c r="C21" s="95"/>
      <c r="D21" s="96"/>
      <c r="E21" s="67"/>
      <c r="F21" s="296"/>
      <c r="G21" s="68"/>
      <c r="H21" s="368"/>
      <c r="I21" s="369"/>
      <c r="J21" s="369"/>
      <c r="K21" s="369"/>
    </row>
    <row r="22" spans="1:11" ht="62" x14ac:dyDescent="0.35">
      <c r="A22" s="236"/>
      <c r="B22" s="97" t="s">
        <v>135</v>
      </c>
      <c r="C22" s="143"/>
      <c r="D22" s="46" t="s">
        <v>78</v>
      </c>
      <c r="E22" s="98" t="s">
        <v>136</v>
      </c>
      <c r="F22" s="297">
        <f>IF(AND(C22&gt;=50, C22&lt;80),0.5,0) + IF(C22&gt;=80,1,0)</f>
        <v>0</v>
      </c>
      <c r="G22" s="144"/>
      <c r="H22" s="368"/>
      <c r="I22" s="369"/>
      <c r="J22" s="369"/>
      <c r="K22" s="369"/>
    </row>
    <row r="23" spans="1:11" x14ac:dyDescent="0.35">
      <c r="A23" s="69"/>
      <c r="B23" s="373" t="s">
        <v>137</v>
      </c>
      <c r="C23" s="374"/>
      <c r="D23" s="374"/>
      <c r="E23" s="374"/>
      <c r="F23" s="298">
        <f>MIN(F22, 1)</f>
        <v>0</v>
      </c>
      <c r="G23" s="69"/>
      <c r="H23" s="368"/>
      <c r="I23" s="369"/>
      <c r="J23" s="369"/>
      <c r="K23" s="369"/>
    </row>
    <row r="24" spans="1:11" x14ac:dyDescent="0.35">
      <c r="A24" s="57" t="s">
        <v>138</v>
      </c>
      <c r="B24" s="85" t="s">
        <v>139</v>
      </c>
      <c r="C24" s="99"/>
      <c r="D24" s="100"/>
      <c r="E24" s="88"/>
      <c r="F24" s="299"/>
      <c r="G24" s="89"/>
      <c r="H24" s="368"/>
      <c r="I24" s="369"/>
      <c r="J24" s="369"/>
      <c r="K24" s="369"/>
    </row>
    <row r="25" spans="1:11" x14ac:dyDescent="0.35">
      <c r="A25" s="63" t="s">
        <v>138</v>
      </c>
      <c r="B25" s="90" t="s">
        <v>140</v>
      </c>
      <c r="C25" s="91"/>
      <c r="D25" s="92"/>
      <c r="E25" s="67"/>
      <c r="F25" s="300"/>
      <c r="G25" s="101"/>
      <c r="H25" s="368"/>
      <c r="I25" s="369"/>
      <c r="J25" s="369"/>
      <c r="K25" s="369"/>
    </row>
    <row r="26" spans="1:11" ht="46.5" x14ac:dyDescent="0.35">
      <c r="A26" s="45"/>
      <c r="B26" s="49" t="s">
        <v>141</v>
      </c>
      <c r="C26" s="1"/>
      <c r="D26" s="40" t="s">
        <v>69</v>
      </c>
      <c r="E26" s="81" t="s">
        <v>131</v>
      </c>
      <c r="F26" s="290">
        <f>IF(C26="Y",2,0)</f>
        <v>0</v>
      </c>
      <c r="G26" s="142"/>
      <c r="H26" s="368"/>
      <c r="I26" s="369"/>
      <c r="J26" s="369"/>
      <c r="K26" s="369"/>
    </row>
    <row r="27" spans="1:11" x14ac:dyDescent="0.35">
      <c r="A27" s="70"/>
      <c r="B27" s="373" t="s">
        <v>142</v>
      </c>
      <c r="C27" s="374"/>
      <c r="D27" s="374"/>
      <c r="E27" s="374"/>
      <c r="F27" s="298">
        <f>F26</f>
        <v>0</v>
      </c>
      <c r="G27" s="94"/>
      <c r="H27" s="368"/>
      <c r="I27" s="369"/>
      <c r="J27" s="369"/>
      <c r="K27" s="369"/>
    </row>
    <row r="28" spans="1:11" x14ac:dyDescent="0.35">
      <c r="A28" s="55" t="s">
        <v>143</v>
      </c>
      <c r="B28" s="388" t="s">
        <v>144</v>
      </c>
      <c r="C28" s="389"/>
      <c r="D28" s="390"/>
      <c r="E28" s="102">
        <v>5</v>
      </c>
      <c r="F28" s="301">
        <f>MIN(SUM(F53,F47,F39,F35),5)</f>
        <v>0</v>
      </c>
      <c r="G28" s="103"/>
      <c r="H28" s="368"/>
      <c r="I28" s="369"/>
      <c r="J28" s="369"/>
      <c r="K28" s="369"/>
    </row>
    <row r="29" spans="1:11" x14ac:dyDescent="0.35">
      <c r="A29" s="104" t="s">
        <v>145</v>
      </c>
      <c r="B29" s="378" t="s">
        <v>146</v>
      </c>
      <c r="C29" s="379"/>
      <c r="D29" s="105"/>
      <c r="E29" s="106"/>
      <c r="F29" s="302"/>
      <c r="G29" s="62"/>
      <c r="H29" s="368"/>
      <c r="I29" s="369"/>
      <c r="J29" s="369"/>
      <c r="K29" s="369"/>
    </row>
    <row r="30" spans="1:11" x14ac:dyDescent="0.35">
      <c r="A30" s="107" t="s">
        <v>147</v>
      </c>
      <c r="B30" s="108" t="s">
        <v>148</v>
      </c>
      <c r="C30" s="108"/>
      <c r="D30" s="109"/>
      <c r="E30" s="67"/>
      <c r="F30" s="303"/>
      <c r="G30" s="110"/>
      <c r="H30" s="368"/>
      <c r="I30" s="369"/>
      <c r="J30" s="369"/>
      <c r="K30" s="369"/>
    </row>
    <row r="31" spans="1:11" ht="31" x14ac:dyDescent="0.35">
      <c r="A31" s="375" t="s">
        <v>74</v>
      </c>
      <c r="B31" s="111" t="s">
        <v>149</v>
      </c>
      <c r="C31" s="112"/>
      <c r="D31" s="113"/>
      <c r="E31" s="113"/>
      <c r="F31" s="304"/>
      <c r="G31" s="142"/>
      <c r="I31" s="114"/>
      <c r="J31" s="115" t="s">
        <v>150</v>
      </c>
      <c r="K31" s="116"/>
    </row>
    <row r="32" spans="1:11" ht="26.5" customHeight="1" x14ac:dyDescent="0.35">
      <c r="A32" s="376"/>
      <c r="B32" s="113" t="s">
        <v>151</v>
      </c>
      <c r="C32" s="145"/>
      <c r="D32" s="46" t="s">
        <v>72</v>
      </c>
      <c r="E32" s="381" t="s">
        <v>152</v>
      </c>
      <c r="F32" s="366">
        <f>MIN(SUM(C32*0.25,C33*0.5),0.5)</f>
        <v>0</v>
      </c>
      <c r="G32" s="142"/>
      <c r="I32" s="117">
        <f>IF(C32&gt;0,C32*0.25,0)</f>
        <v>0</v>
      </c>
      <c r="J32" s="391">
        <f>IF(SUM(I32+I33)&gt;=0.5,"0.5",I32+I33)</f>
        <v>0</v>
      </c>
      <c r="K32" s="392" t="s">
        <v>153</v>
      </c>
    </row>
    <row r="33" spans="1:11" ht="22" customHeight="1" x14ac:dyDescent="0.35">
      <c r="A33" s="380"/>
      <c r="B33" s="113" t="s">
        <v>154</v>
      </c>
      <c r="C33" s="145"/>
      <c r="D33" s="46" t="s">
        <v>72</v>
      </c>
      <c r="E33" s="382"/>
      <c r="F33" s="367"/>
      <c r="G33" s="142"/>
      <c r="I33" s="117">
        <f>IF(C33&gt;0,C33*0.5,0)</f>
        <v>0</v>
      </c>
      <c r="J33" s="391"/>
      <c r="K33" s="393"/>
    </row>
    <row r="34" spans="1:11" ht="31" x14ac:dyDescent="0.35">
      <c r="A34" s="245" t="s">
        <v>76</v>
      </c>
      <c r="B34" s="113" t="s">
        <v>155</v>
      </c>
      <c r="C34" s="145"/>
      <c r="D34" s="46" t="s">
        <v>72</v>
      </c>
      <c r="E34" s="118" t="s">
        <v>156</v>
      </c>
      <c r="F34" s="290">
        <f>IF(I34&gt;=0.5,0.5,I34)</f>
        <v>0</v>
      </c>
      <c r="G34" s="147"/>
      <c r="I34" s="117">
        <f>IF(C34&gt;0,C34*0.25,0)</f>
        <v>0</v>
      </c>
      <c r="J34" s="119">
        <f>IF(I34&gt;=0.5,"0.5",I34)</f>
        <v>0</v>
      </c>
      <c r="K34" s="43" t="s">
        <v>153</v>
      </c>
    </row>
    <row r="35" spans="1:11" x14ac:dyDescent="0.35">
      <c r="A35" s="120"/>
      <c r="B35" s="373" t="s">
        <v>157</v>
      </c>
      <c r="C35" s="374"/>
      <c r="D35" s="374"/>
      <c r="E35" s="374"/>
      <c r="F35" s="305">
        <f>MIN(F32+F34,1)</f>
        <v>0</v>
      </c>
      <c r="G35" s="69"/>
      <c r="H35" s="368"/>
      <c r="I35" s="369"/>
      <c r="J35" s="369"/>
      <c r="K35" s="369"/>
    </row>
    <row r="36" spans="1:11" x14ac:dyDescent="0.35">
      <c r="A36" s="107" t="s">
        <v>158</v>
      </c>
      <c r="B36" s="108" t="s">
        <v>159</v>
      </c>
      <c r="C36" s="108"/>
      <c r="D36" s="108"/>
      <c r="E36" s="67"/>
      <c r="F36" s="306"/>
      <c r="G36" s="68"/>
      <c r="H36" s="368"/>
      <c r="I36" s="369"/>
      <c r="J36" s="369"/>
      <c r="K36" s="369"/>
    </row>
    <row r="37" spans="1:11" ht="31" x14ac:dyDescent="0.35">
      <c r="A37" s="233" t="s">
        <v>74</v>
      </c>
      <c r="B37" s="122" t="s">
        <v>160</v>
      </c>
      <c r="C37" s="1"/>
      <c r="D37" s="40" t="s">
        <v>69</v>
      </c>
      <c r="E37" s="81" t="s">
        <v>113</v>
      </c>
      <c r="F37" s="290">
        <f>IF(C37="Y",1,0)</f>
        <v>0</v>
      </c>
      <c r="G37" s="144"/>
      <c r="H37" s="368"/>
      <c r="I37" s="369"/>
      <c r="J37" s="369"/>
      <c r="K37" s="369"/>
    </row>
    <row r="38" spans="1:11" ht="46.5" x14ac:dyDescent="0.35">
      <c r="A38" s="245" t="s">
        <v>76</v>
      </c>
      <c r="B38" s="123" t="s">
        <v>161</v>
      </c>
      <c r="C38" s="1"/>
      <c r="D38" s="40" t="s">
        <v>69</v>
      </c>
      <c r="E38" s="81" t="s">
        <v>113</v>
      </c>
      <c r="F38" s="290">
        <f>IF(C38="Y",1,0)</f>
        <v>0</v>
      </c>
      <c r="G38" s="146"/>
      <c r="H38" s="368"/>
      <c r="I38" s="369"/>
      <c r="J38" s="369"/>
      <c r="K38" s="369"/>
    </row>
    <row r="39" spans="1:11" x14ac:dyDescent="0.35">
      <c r="A39" s="120"/>
      <c r="B39" s="373" t="s">
        <v>162</v>
      </c>
      <c r="C39" s="374"/>
      <c r="D39" s="374"/>
      <c r="E39" s="374"/>
      <c r="F39" s="291">
        <f>MIN(F37+F38,2)</f>
        <v>0</v>
      </c>
      <c r="G39" s="124"/>
      <c r="H39" s="368"/>
      <c r="I39" s="369"/>
      <c r="J39" s="369"/>
      <c r="K39" s="369"/>
    </row>
    <row r="40" spans="1:11" x14ac:dyDescent="0.35">
      <c r="A40" s="104" t="s">
        <v>163</v>
      </c>
      <c r="B40" s="125" t="s">
        <v>164</v>
      </c>
      <c r="C40" s="126"/>
      <c r="D40" s="105"/>
      <c r="E40" s="106"/>
      <c r="F40" s="302"/>
      <c r="G40" s="62"/>
      <c r="H40" s="368"/>
      <c r="I40" s="369"/>
      <c r="J40" s="369"/>
      <c r="K40" s="369"/>
    </row>
    <row r="41" spans="1:11" ht="31" x14ac:dyDescent="0.35">
      <c r="A41" s="107"/>
      <c r="B41" s="108" t="s">
        <v>165</v>
      </c>
      <c r="C41" s="108"/>
      <c r="D41" s="108"/>
      <c r="E41" s="127"/>
      <c r="F41" s="303"/>
      <c r="G41" s="110"/>
      <c r="H41" s="368"/>
      <c r="I41" s="369"/>
      <c r="J41" s="369"/>
      <c r="K41" s="369"/>
    </row>
    <row r="42" spans="1:11" x14ac:dyDescent="0.35">
      <c r="A42" s="375" t="s">
        <v>74</v>
      </c>
      <c r="B42" s="111" t="s">
        <v>166</v>
      </c>
      <c r="C42" s="112"/>
      <c r="D42" s="113"/>
      <c r="E42" s="128"/>
      <c r="F42" s="307"/>
      <c r="G42" s="142"/>
      <c r="H42" s="368"/>
      <c r="I42" s="369"/>
      <c r="J42" s="369"/>
      <c r="K42" s="369"/>
    </row>
    <row r="43" spans="1:11" x14ac:dyDescent="0.35">
      <c r="A43" s="376"/>
      <c r="B43" s="113" t="s">
        <v>167</v>
      </c>
      <c r="C43" s="1"/>
      <c r="D43" s="40" t="s">
        <v>69</v>
      </c>
      <c r="E43" s="81" t="s">
        <v>168</v>
      </c>
      <c r="F43" s="290">
        <f t="shared" ref="F43:F46" si="0">IF(C43="Y",0.5,0)</f>
        <v>0</v>
      </c>
      <c r="G43" s="146"/>
      <c r="H43" s="368"/>
      <c r="I43" s="369"/>
      <c r="J43" s="369"/>
      <c r="K43" s="369"/>
    </row>
    <row r="44" spans="1:11" x14ac:dyDescent="0.35">
      <c r="A44" s="376"/>
      <c r="B44" s="113" t="s">
        <v>169</v>
      </c>
      <c r="C44" s="1"/>
      <c r="D44" s="40" t="s">
        <v>69</v>
      </c>
      <c r="E44" s="81" t="s">
        <v>168</v>
      </c>
      <c r="F44" s="290">
        <f t="shared" si="0"/>
        <v>0</v>
      </c>
      <c r="G44" s="146"/>
      <c r="H44" s="368"/>
      <c r="I44" s="369"/>
      <c r="J44" s="369"/>
      <c r="K44" s="369"/>
    </row>
    <row r="45" spans="1:11" ht="31" x14ac:dyDescent="0.35">
      <c r="A45" s="231" t="s">
        <v>76</v>
      </c>
      <c r="B45" s="129" t="s">
        <v>170</v>
      </c>
      <c r="C45" s="1"/>
      <c r="D45" s="40" t="s">
        <v>69</v>
      </c>
      <c r="E45" s="81" t="s">
        <v>168</v>
      </c>
      <c r="F45" s="290">
        <f t="shared" si="0"/>
        <v>0</v>
      </c>
      <c r="G45" s="148"/>
      <c r="H45" s="368"/>
      <c r="I45" s="369"/>
      <c r="J45" s="369"/>
      <c r="K45" s="369"/>
    </row>
    <row r="46" spans="1:11" ht="62" x14ac:dyDescent="0.35">
      <c r="A46" s="231" t="s">
        <v>79</v>
      </c>
      <c r="B46" s="129" t="s">
        <v>171</v>
      </c>
      <c r="C46" s="2"/>
      <c r="D46" s="130" t="s">
        <v>69</v>
      </c>
      <c r="E46" s="240" t="s">
        <v>168</v>
      </c>
      <c r="F46" s="308">
        <f t="shared" si="0"/>
        <v>0</v>
      </c>
      <c r="G46" s="146"/>
      <c r="H46" s="368"/>
      <c r="I46" s="369"/>
      <c r="J46" s="369"/>
      <c r="K46" s="369"/>
    </row>
    <row r="47" spans="1:11" x14ac:dyDescent="0.35">
      <c r="A47" s="120"/>
      <c r="B47" s="377" t="s">
        <v>172</v>
      </c>
      <c r="C47" s="377"/>
      <c r="D47" s="377"/>
      <c r="E47" s="377"/>
      <c r="F47" s="305">
        <f>MIN(F43+F44+F45+F46,1)</f>
        <v>0</v>
      </c>
      <c r="G47" s="70"/>
      <c r="H47" s="368"/>
      <c r="I47" s="369"/>
      <c r="J47" s="369"/>
      <c r="K47" s="369"/>
    </row>
    <row r="48" spans="1:11" x14ac:dyDescent="0.35">
      <c r="A48" s="104" t="s">
        <v>173</v>
      </c>
      <c r="B48" s="125" t="s">
        <v>174</v>
      </c>
      <c r="C48" s="126"/>
      <c r="D48" s="105"/>
      <c r="E48" s="106"/>
      <c r="F48" s="302"/>
      <c r="G48" s="62"/>
      <c r="H48" s="368"/>
      <c r="I48" s="369"/>
      <c r="J48" s="369"/>
      <c r="K48" s="369"/>
    </row>
    <row r="49" spans="1:11" ht="31" x14ac:dyDescent="0.35">
      <c r="A49" s="131"/>
      <c r="B49" s="132" t="s">
        <v>175</v>
      </c>
      <c r="C49" s="109"/>
      <c r="D49" s="109"/>
      <c r="E49" s="133"/>
      <c r="F49" s="303"/>
      <c r="G49" s="110"/>
      <c r="H49" s="368"/>
      <c r="I49" s="369"/>
      <c r="J49" s="369"/>
      <c r="K49" s="369"/>
    </row>
    <row r="50" spans="1:11" ht="31" x14ac:dyDescent="0.35">
      <c r="A50" s="245" t="s">
        <v>74</v>
      </c>
      <c r="B50" s="134" t="s">
        <v>176</v>
      </c>
      <c r="C50" s="1"/>
      <c r="D50" s="40" t="s">
        <v>69</v>
      </c>
      <c r="E50" s="81" t="s">
        <v>131</v>
      </c>
      <c r="F50" s="290">
        <f>IF(C50="Y",2,0)</f>
        <v>0</v>
      </c>
      <c r="G50" s="142"/>
      <c r="H50" s="368"/>
      <c r="I50" s="369"/>
      <c r="J50" s="369"/>
      <c r="K50" s="369"/>
    </row>
    <row r="51" spans="1:11" ht="46.5" x14ac:dyDescent="0.35">
      <c r="A51" s="245" t="s">
        <v>76</v>
      </c>
      <c r="B51" s="134" t="s">
        <v>177</v>
      </c>
      <c r="C51" s="1"/>
      <c r="D51" s="40" t="s">
        <v>69</v>
      </c>
      <c r="E51" s="81" t="s">
        <v>113</v>
      </c>
      <c r="F51" s="290">
        <f>IF((C51="Y")*AND(C50="Y"),1,0)</f>
        <v>0</v>
      </c>
      <c r="G51" s="142"/>
      <c r="H51" s="368"/>
      <c r="I51" s="369"/>
      <c r="J51" s="369"/>
      <c r="K51" s="369"/>
    </row>
    <row r="52" spans="1:11" ht="31" x14ac:dyDescent="0.35">
      <c r="A52" s="245" t="s">
        <v>79</v>
      </c>
      <c r="B52" s="123" t="s">
        <v>178</v>
      </c>
      <c r="C52" s="135" t="s">
        <v>179</v>
      </c>
      <c r="D52" s="81" t="s">
        <v>120</v>
      </c>
      <c r="E52" s="81" t="s">
        <v>120</v>
      </c>
      <c r="F52" s="285" t="s">
        <v>120</v>
      </c>
      <c r="G52" s="142"/>
      <c r="H52" s="368"/>
      <c r="I52" s="369"/>
      <c r="J52" s="369"/>
      <c r="K52" s="369"/>
    </row>
    <row r="53" spans="1:11" x14ac:dyDescent="0.35">
      <c r="A53" s="120"/>
      <c r="B53" s="373" t="s">
        <v>180</v>
      </c>
      <c r="C53" s="374"/>
      <c r="D53" s="374"/>
      <c r="E53" s="374"/>
      <c r="F53" s="305">
        <f>MIN((F50+F51),3)</f>
        <v>0</v>
      </c>
      <c r="G53" s="70"/>
      <c r="H53" s="368"/>
      <c r="I53" s="369"/>
      <c r="J53" s="369"/>
      <c r="K53" s="369"/>
    </row>
    <row r="54" spans="1:11" x14ac:dyDescent="0.35">
      <c r="A54" s="55" t="s">
        <v>181</v>
      </c>
      <c r="B54" s="387" t="s">
        <v>182</v>
      </c>
      <c r="C54" s="387"/>
      <c r="D54" s="387"/>
      <c r="E54" s="55">
        <v>5</v>
      </c>
      <c r="F54" s="287">
        <f>MIN(SUM(F65,F60),5)</f>
        <v>0</v>
      </c>
      <c r="G54" s="55"/>
      <c r="H54" s="368"/>
      <c r="I54" s="369"/>
      <c r="J54" s="369"/>
      <c r="K54" s="369"/>
    </row>
    <row r="55" spans="1:11" x14ac:dyDescent="0.35">
      <c r="A55" s="104" t="s">
        <v>183</v>
      </c>
      <c r="B55" s="125" t="s">
        <v>184</v>
      </c>
      <c r="C55" s="126"/>
      <c r="D55" s="105"/>
      <c r="E55" s="106"/>
      <c r="F55" s="309"/>
      <c r="G55" s="62"/>
      <c r="H55" s="368"/>
      <c r="I55" s="369"/>
      <c r="J55" s="369"/>
      <c r="K55" s="369"/>
    </row>
    <row r="56" spans="1:11" ht="31" x14ac:dyDescent="0.35">
      <c r="A56" s="136"/>
      <c r="B56" s="132" t="s">
        <v>185</v>
      </c>
      <c r="C56" s="137"/>
      <c r="D56" s="137"/>
      <c r="E56" s="133"/>
      <c r="F56" s="310"/>
      <c r="G56" s="68"/>
      <c r="H56" s="368"/>
      <c r="I56" s="369"/>
      <c r="J56" s="369"/>
      <c r="K56" s="369"/>
    </row>
    <row r="57" spans="1:11" x14ac:dyDescent="0.35">
      <c r="A57" s="245" t="s">
        <v>74</v>
      </c>
      <c r="B57" s="123" t="s">
        <v>186</v>
      </c>
      <c r="C57" s="1"/>
      <c r="D57" s="46" t="s">
        <v>72</v>
      </c>
      <c r="E57" s="81" t="s">
        <v>113</v>
      </c>
      <c r="F57" s="290">
        <f>IF(C57&gt;5,1,0)</f>
        <v>0</v>
      </c>
      <c r="G57" s="142"/>
      <c r="H57" s="368"/>
      <c r="I57" s="369"/>
      <c r="J57" s="369"/>
      <c r="K57" s="369"/>
    </row>
    <row r="58" spans="1:11" ht="31" x14ac:dyDescent="0.35">
      <c r="A58" s="245" t="s">
        <v>76</v>
      </c>
      <c r="B58" s="123" t="s">
        <v>187</v>
      </c>
      <c r="C58" s="1"/>
      <c r="D58" s="40" t="s">
        <v>69</v>
      </c>
      <c r="E58" s="81" t="s">
        <v>113</v>
      </c>
      <c r="F58" s="290">
        <f t="shared" ref="F58:F59" si="1">IF(C58="Y",1,0)</f>
        <v>0</v>
      </c>
      <c r="G58" s="142"/>
      <c r="H58" s="368"/>
      <c r="I58" s="369"/>
      <c r="J58" s="369"/>
      <c r="K58" s="369"/>
    </row>
    <row r="59" spans="1:11" ht="46.5" x14ac:dyDescent="0.35">
      <c r="A59" s="245" t="s">
        <v>79</v>
      </c>
      <c r="B59" s="123" t="s">
        <v>188</v>
      </c>
      <c r="C59" s="1"/>
      <c r="D59" s="40" t="s">
        <v>69</v>
      </c>
      <c r="E59" s="81" t="s">
        <v>113</v>
      </c>
      <c r="F59" s="290">
        <f t="shared" si="1"/>
        <v>0</v>
      </c>
      <c r="G59" s="142"/>
      <c r="H59" s="368"/>
      <c r="I59" s="369"/>
      <c r="J59" s="369"/>
      <c r="K59" s="369"/>
    </row>
    <row r="60" spans="1:11" x14ac:dyDescent="0.35">
      <c r="A60" s="120"/>
      <c r="B60" s="373" t="s">
        <v>189</v>
      </c>
      <c r="C60" s="374"/>
      <c r="D60" s="374"/>
      <c r="E60" s="374"/>
      <c r="F60" s="305">
        <f>MIN(F57+F58+F59,3)</f>
        <v>0</v>
      </c>
      <c r="G60" s="94"/>
      <c r="H60" s="368"/>
      <c r="I60" s="369"/>
      <c r="J60" s="369"/>
      <c r="K60" s="369"/>
    </row>
    <row r="61" spans="1:11" x14ac:dyDescent="0.35">
      <c r="A61" s="104" t="s">
        <v>190</v>
      </c>
      <c r="B61" s="378" t="s">
        <v>191</v>
      </c>
      <c r="C61" s="379"/>
      <c r="D61" s="105"/>
      <c r="E61" s="106"/>
      <c r="F61" s="309"/>
      <c r="G61" s="62"/>
      <c r="H61" s="368"/>
      <c r="I61" s="369"/>
      <c r="J61" s="369"/>
      <c r="K61" s="369"/>
    </row>
    <row r="62" spans="1:11" ht="46.5" x14ac:dyDescent="0.35">
      <c r="A62" s="138"/>
      <c r="B62" s="108" t="s">
        <v>192</v>
      </c>
      <c r="C62" s="139"/>
      <c r="D62" s="139"/>
      <c r="E62" s="121"/>
      <c r="F62" s="310"/>
      <c r="G62" s="68"/>
      <c r="H62" s="368"/>
      <c r="I62" s="369"/>
      <c r="J62" s="369"/>
      <c r="K62" s="369"/>
    </row>
    <row r="63" spans="1:11" ht="62" x14ac:dyDescent="0.35">
      <c r="A63" s="245" t="s">
        <v>74</v>
      </c>
      <c r="B63" s="113" t="s">
        <v>193</v>
      </c>
      <c r="C63" s="1"/>
      <c r="D63" s="40" t="s">
        <v>69</v>
      </c>
      <c r="E63" s="81" t="s">
        <v>131</v>
      </c>
      <c r="F63" s="290">
        <f t="shared" ref="F63:F64" si="2">IF(C63="Y",2,0)</f>
        <v>0</v>
      </c>
      <c r="G63" s="142"/>
      <c r="H63" s="368"/>
      <c r="I63" s="369"/>
      <c r="J63" s="369"/>
      <c r="K63" s="369"/>
    </row>
    <row r="64" spans="1:11" ht="62" x14ac:dyDescent="0.35">
      <c r="A64" s="245" t="s">
        <v>76</v>
      </c>
      <c r="B64" s="113" t="s">
        <v>194</v>
      </c>
      <c r="C64" s="1"/>
      <c r="D64" s="40" t="s">
        <v>69</v>
      </c>
      <c r="E64" s="81" t="s">
        <v>131</v>
      </c>
      <c r="F64" s="290">
        <f t="shared" si="2"/>
        <v>0</v>
      </c>
      <c r="G64" s="142"/>
      <c r="H64" s="368"/>
      <c r="I64" s="369"/>
      <c r="J64" s="369"/>
      <c r="K64" s="369"/>
    </row>
    <row r="65" spans="1:11" x14ac:dyDescent="0.35">
      <c r="A65" s="120"/>
      <c r="B65" s="373" t="s">
        <v>195</v>
      </c>
      <c r="C65" s="374"/>
      <c r="D65" s="374"/>
      <c r="E65" s="374"/>
      <c r="F65" s="305">
        <f>MIN(F63+F64,4)</f>
        <v>0</v>
      </c>
      <c r="G65" s="70"/>
      <c r="H65" s="368"/>
      <c r="I65" s="369"/>
      <c r="J65" s="369"/>
      <c r="K65" s="369"/>
    </row>
    <row r="66" spans="1:11" x14ac:dyDescent="0.35">
      <c r="A66" s="55"/>
      <c r="B66" s="387" t="s">
        <v>196</v>
      </c>
      <c r="C66" s="387"/>
      <c r="D66" s="387"/>
      <c r="E66" s="56">
        <v>2</v>
      </c>
      <c r="F66" s="287">
        <f>MIN(F68+F69,2)</f>
        <v>0</v>
      </c>
      <c r="G66" s="55"/>
      <c r="H66" s="368"/>
      <c r="I66" s="369"/>
      <c r="J66" s="369"/>
      <c r="K66" s="369"/>
    </row>
    <row r="67" spans="1:11" ht="93" x14ac:dyDescent="0.35">
      <c r="A67" s="107"/>
      <c r="B67" s="140" t="s">
        <v>197</v>
      </c>
      <c r="C67" s="121"/>
      <c r="D67" s="121"/>
      <c r="E67" s="121" t="s">
        <v>198</v>
      </c>
      <c r="F67" s="311"/>
      <c r="G67" s="95" t="s">
        <v>199</v>
      </c>
      <c r="H67" s="368"/>
      <c r="I67" s="369"/>
      <c r="J67" s="369"/>
      <c r="K67" s="369"/>
    </row>
    <row r="68" spans="1:11" ht="136.5" customHeight="1" x14ac:dyDescent="0.35">
      <c r="A68" s="361"/>
      <c r="B68" s="363" t="s">
        <v>527</v>
      </c>
      <c r="C68" s="149"/>
      <c r="D68" s="141" t="s">
        <v>72</v>
      </c>
      <c r="E68" s="365" t="s">
        <v>200</v>
      </c>
      <c r="F68" s="290">
        <f>C68</f>
        <v>0</v>
      </c>
      <c r="G68" s="150" t="s">
        <v>201</v>
      </c>
      <c r="H68" s="368"/>
      <c r="I68" s="369"/>
      <c r="J68" s="369"/>
      <c r="K68" s="369"/>
    </row>
    <row r="69" spans="1:11" ht="176.5" customHeight="1" x14ac:dyDescent="0.35">
      <c r="A69" s="362"/>
      <c r="B69" s="364"/>
      <c r="C69" s="149"/>
      <c r="D69" s="141" t="s">
        <v>72</v>
      </c>
      <c r="E69" s="365"/>
      <c r="F69" s="290">
        <f>C69</f>
        <v>0</v>
      </c>
      <c r="G69" s="150" t="s">
        <v>202</v>
      </c>
      <c r="H69" s="368"/>
      <c r="I69" s="369"/>
      <c r="J69" s="369"/>
      <c r="K69" s="369"/>
    </row>
  </sheetData>
  <sheetProtection algorithmName="SHA-512" hashValue="6d54zSyQnHHzV3Qa27hx0puOowHGnTQvAAmKuZ02nYKpCgBh36Pu4cxggrZux/9aZFE1o94FYnUUU5fGZ0r5Dg==" saltValue="0w4snjazwoGjx+Hf1RkFCQ==" spinCount="100000" sheet="1" formatCells="0" selectLockedCells="1"/>
  <mergeCells count="93">
    <mergeCell ref="H68:K68"/>
    <mergeCell ref="H69:K69"/>
    <mergeCell ref="H63:K63"/>
    <mergeCell ref="H64:K64"/>
    <mergeCell ref="H65:K65"/>
    <mergeCell ref="H66:K66"/>
    <mergeCell ref="H67:K67"/>
    <mergeCell ref="H58:K58"/>
    <mergeCell ref="H59:K59"/>
    <mergeCell ref="H60:K60"/>
    <mergeCell ref="H61:K61"/>
    <mergeCell ref="H62:K62"/>
    <mergeCell ref="H53:K53"/>
    <mergeCell ref="H54:K54"/>
    <mergeCell ref="H55:K55"/>
    <mergeCell ref="H56:K56"/>
    <mergeCell ref="H57:K57"/>
    <mergeCell ref="H48:K48"/>
    <mergeCell ref="H49:K49"/>
    <mergeCell ref="H50:K50"/>
    <mergeCell ref="H51:K51"/>
    <mergeCell ref="H52:K52"/>
    <mergeCell ref="H27:K27"/>
    <mergeCell ref="H28:K28"/>
    <mergeCell ref="H29:K29"/>
    <mergeCell ref="H30:K30"/>
    <mergeCell ref="H35:K35"/>
    <mergeCell ref="J32:J33"/>
    <mergeCell ref="K32:K33"/>
    <mergeCell ref="H22:K22"/>
    <mergeCell ref="H23:K23"/>
    <mergeCell ref="H24:K24"/>
    <mergeCell ref="H25:K25"/>
    <mergeCell ref="H26:K26"/>
    <mergeCell ref="H17:K17"/>
    <mergeCell ref="H18:K18"/>
    <mergeCell ref="H19:K19"/>
    <mergeCell ref="H20:K20"/>
    <mergeCell ref="H21:K21"/>
    <mergeCell ref="H12:K12"/>
    <mergeCell ref="H13:K13"/>
    <mergeCell ref="H14:K14"/>
    <mergeCell ref="H15:K15"/>
    <mergeCell ref="H16:K16"/>
    <mergeCell ref="H7:K7"/>
    <mergeCell ref="H8:K8"/>
    <mergeCell ref="H9:K9"/>
    <mergeCell ref="H10:K10"/>
    <mergeCell ref="H11:K11"/>
    <mergeCell ref="H2:K2"/>
    <mergeCell ref="H3:K3"/>
    <mergeCell ref="H4:K4"/>
    <mergeCell ref="H5:K5"/>
    <mergeCell ref="H6:K6"/>
    <mergeCell ref="B28:D28"/>
    <mergeCell ref="B54:D54"/>
    <mergeCell ref="B66:D66"/>
    <mergeCell ref="B8:E8"/>
    <mergeCell ref="B60:E60"/>
    <mergeCell ref="B61:C61"/>
    <mergeCell ref="B65:E65"/>
    <mergeCell ref="A2:D2"/>
    <mergeCell ref="B39:E39"/>
    <mergeCell ref="A42:A44"/>
    <mergeCell ref="B47:E47"/>
    <mergeCell ref="B53:E53"/>
    <mergeCell ref="B27:E27"/>
    <mergeCell ref="B29:C29"/>
    <mergeCell ref="A31:A33"/>
    <mergeCell ref="E32:E33"/>
    <mergeCell ref="B35:E35"/>
    <mergeCell ref="A10:A13"/>
    <mergeCell ref="A14:A15"/>
    <mergeCell ref="B16:E16"/>
    <mergeCell ref="B20:E20"/>
    <mergeCell ref="B3:D3"/>
    <mergeCell ref="B23:E23"/>
    <mergeCell ref="A68:A69"/>
    <mergeCell ref="B68:B69"/>
    <mergeCell ref="E68:E69"/>
    <mergeCell ref="F32:F33"/>
    <mergeCell ref="H36:K36"/>
    <mergeCell ref="H37:K37"/>
    <mergeCell ref="H38:K38"/>
    <mergeCell ref="H39:K39"/>
    <mergeCell ref="H40:K40"/>
    <mergeCell ref="H41:K41"/>
    <mergeCell ref="H42:K42"/>
    <mergeCell ref="H43:K43"/>
    <mergeCell ref="H44:K44"/>
    <mergeCell ref="H45:K45"/>
    <mergeCell ref="H46:K46"/>
    <mergeCell ref="H47:K47"/>
  </mergeCells>
  <dataValidations count="8">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50:C51 C19 C43:C46 C37:C38 C63:C64 C58:C59 C6:C7 C26" xr:uid="{00000000-0002-0000-0300-000005000000}">
      <formula1>"Y,N"</formula1>
    </dataValidation>
    <dataValidation type="decimal" allowBlank="1" showInputMessage="1" showErrorMessage="1" sqref="C15 C22"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4"/>
  <sheetViews>
    <sheetView showGridLines="0" zoomScaleNormal="100" workbookViewId="0">
      <selection activeCell="E15" sqref="E15"/>
    </sheetView>
  </sheetViews>
  <sheetFormatPr defaultColWidth="9.1796875" defaultRowHeight="14.5" x14ac:dyDescent="0.35"/>
  <cols>
    <col min="1" max="1" width="8.26953125" style="7" customWidth="1"/>
    <col min="2" max="2" width="22.26953125" style="7" customWidth="1"/>
    <col min="3" max="3" width="34" style="7" customWidth="1"/>
    <col min="4" max="4" width="21.1796875" style="7" customWidth="1"/>
    <col min="5" max="5" width="10.7265625" style="262" customWidth="1"/>
    <col min="6" max="6" width="16.1796875" style="253" customWidth="1"/>
    <col min="7" max="7" width="18.1796875" style="7" customWidth="1"/>
    <col min="8" max="8" width="10.7265625" style="7" customWidth="1"/>
    <col min="9" max="9" width="30.7265625" style="7" customWidth="1"/>
    <col min="10" max="11" width="50.7265625" style="7" customWidth="1"/>
    <col min="12" max="12" width="15.54296875" style="7" customWidth="1"/>
    <col min="13" max="13" width="17.26953125" style="7" customWidth="1"/>
    <col min="14" max="16384" width="9.1796875" style="7"/>
  </cols>
  <sheetData>
    <row r="1" spans="1:9" ht="31" x14ac:dyDescent="0.35">
      <c r="A1" s="51"/>
      <c r="B1" s="461" t="s">
        <v>203</v>
      </c>
      <c r="C1" s="462"/>
      <c r="D1" s="463"/>
      <c r="E1" s="37" t="s">
        <v>65</v>
      </c>
      <c r="F1" s="37" t="s">
        <v>66</v>
      </c>
      <c r="G1" s="52" t="s">
        <v>102</v>
      </c>
      <c r="H1" s="37" t="s">
        <v>103</v>
      </c>
      <c r="I1" s="230" t="s">
        <v>104</v>
      </c>
    </row>
    <row r="2" spans="1:9" ht="21" x14ac:dyDescent="0.35">
      <c r="A2" s="472" t="s">
        <v>31</v>
      </c>
      <c r="B2" s="473"/>
      <c r="C2" s="473"/>
      <c r="D2" s="473"/>
      <c r="E2" s="473"/>
      <c r="F2" s="474"/>
      <c r="G2" s="151">
        <v>15</v>
      </c>
      <c r="H2" s="312">
        <f>MIN(SUM(H3,H31,H70,H81),15)</f>
        <v>0</v>
      </c>
      <c r="I2" s="152" t="s">
        <v>105</v>
      </c>
    </row>
    <row r="3" spans="1:9" ht="15.5" x14ac:dyDescent="0.35">
      <c r="A3" s="153" t="s">
        <v>204</v>
      </c>
      <c r="B3" s="464" t="s">
        <v>205</v>
      </c>
      <c r="C3" s="465"/>
      <c r="D3" s="465"/>
      <c r="E3" s="465"/>
      <c r="F3" s="465"/>
      <c r="G3" s="154">
        <v>5</v>
      </c>
      <c r="H3" s="313">
        <f>MIN(SUM(H17,H26,H30),5)</f>
        <v>0</v>
      </c>
      <c r="I3" s="155"/>
    </row>
    <row r="4" spans="1:9" ht="15.5" x14ac:dyDescent="0.35">
      <c r="A4" s="156" t="s">
        <v>206</v>
      </c>
      <c r="B4" s="415" t="s">
        <v>207</v>
      </c>
      <c r="C4" s="415"/>
      <c r="D4" s="416"/>
      <c r="E4" s="157"/>
      <c r="F4" s="156"/>
      <c r="G4" s="156"/>
      <c r="H4" s="314"/>
      <c r="I4" s="156"/>
    </row>
    <row r="5" spans="1:9" ht="15.5" x14ac:dyDescent="0.35">
      <c r="A5" s="239"/>
      <c r="B5" s="417" t="s">
        <v>500</v>
      </c>
      <c r="C5" s="417"/>
      <c r="D5" s="417"/>
      <c r="E5" s="243"/>
      <c r="F5" s="235"/>
      <c r="G5" s="239"/>
      <c r="H5" s="315"/>
      <c r="I5" s="189"/>
    </row>
    <row r="6" spans="1:9" ht="16" thickBot="1" x14ac:dyDescent="0.4">
      <c r="A6" s="345" t="s">
        <v>522</v>
      </c>
      <c r="B6" s="418" t="s">
        <v>208</v>
      </c>
      <c r="C6" s="419"/>
      <c r="D6" s="420"/>
      <c r="E6" s="159"/>
      <c r="F6" s="158"/>
      <c r="G6" s="158"/>
      <c r="H6" s="316"/>
      <c r="I6" s="158"/>
    </row>
    <row r="7" spans="1:9" ht="15.5" x14ac:dyDescent="0.35">
      <c r="A7" s="397"/>
      <c r="B7" s="432" t="s">
        <v>209</v>
      </c>
      <c r="C7" s="433"/>
      <c r="D7" s="448"/>
      <c r="E7" s="395"/>
      <c r="F7" s="397"/>
      <c r="G7" s="397"/>
      <c r="H7" s="367"/>
      <c r="I7" s="394"/>
    </row>
    <row r="8" spans="1:9" ht="15.5" x14ac:dyDescent="0.35">
      <c r="A8" s="397"/>
      <c r="B8" s="459" t="s">
        <v>210</v>
      </c>
      <c r="C8" s="160" t="s">
        <v>211</v>
      </c>
      <c r="D8" s="449"/>
      <c r="E8" s="395"/>
      <c r="F8" s="397"/>
      <c r="G8" s="397"/>
      <c r="H8" s="367"/>
      <c r="I8" s="394"/>
    </row>
    <row r="9" spans="1:9" ht="15.5" x14ac:dyDescent="0.35">
      <c r="A9" s="397"/>
      <c r="B9" s="459"/>
      <c r="C9" s="160" t="s">
        <v>212</v>
      </c>
      <c r="D9" s="449"/>
      <c r="E9" s="395"/>
      <c r="F9" s="397"/>
      <c r="G9" s="397"/>
      <c r="H9" s="367"/>
      <c r="I9" s="394"/>
    </row>
    <row r="10" spans="1:9" ht="15.5" x14ac:dyDescent="0.35">
      <c r="A10" s="397"/>
      <c r="B10" s="459" t="s">
        <v>213</v>
      </c>
      <c r="C10" s="160" t="s">
        <v>214</v>
      </c>
      <c r="D10" s="449"/>
      <c r="E10" s="395"/>
      <c r="F10" s="397"/>
      <c r="G10" s="397"/>
      <c r="H10" s="367"/>
      <c r="I10" s="394"/>
    </row>
    <row r="11" spans="1:9" ht="15.5" x14ac:dyDescent="0.35">
      <c r="A11" s="397"/>
      <c r="B11" s="459"/>
      <c r="C11" s="160" t="s">
        <v>215</v>
      </c>
      <c r="D11" s="449"/>
      <c r="E11" s="395"/>
      <c r="F11" s="397"/>
      <c r="G11" s="397"/>
      <c r="H11" s="367"/>
      <c r="I11" s="394"/>
    </row>
    <row r="12" spans="1:9" ht="15.5" x14ac:dyDescent="0.35">
      <c r="A12" s="397"/>
      <c r="B12" s="459"/>
      <c r="C12" s="160" t="s">
        <v>216</v>
      </c>
      <c r="D12" s="449"/>
      <c r="E12" s="395"/>
      <c r="F12" s="397"/>
      <c r="G12" s="397"/>
      <c r="H12" s="367"/>
      <c r="I12" s="394"/>
    </row>
    <row r="13" spans="1:9" ht="15.5" x14ac:dyDescent="0.35">
      <c r="A13" s="397"/>
      <c r="B13" s="459"/>
      <c r="C13" s="160" t="s">
        <v>217</v>
      </c>
      <c r="D13" s="449"/>
      <c r="E13" s="395"/>
      <c r="F13" s="397"/>
      <c r="G13" s="397"/>
      <c r="H13" s="367"/>
      <c r="I13" s="394"/>
    </row>
    <row r="14" spans="1:9" ht="16" thickBot="1" x14ac:dyDescent="0.4">
      <c r="A14" s="397"/>
      <c r="B14" s="460"/>
      <c r="C14" s="161" t="s">
        <v>218</v>
      </c>
      <c r="D14" s="449"/>
      <c r="E14" s="395"/>
      <c r="F14" s="397"/>
      <c r="G14" s="397"/>
      <c r="H14" s="367"/>
      <c r="I14" s="394"/>
    </row>
    <row r="15" spans="1:9" ht="98.5" customHeight="1" x14ac:dyDescent="0.35">
      <c r="A15" s="239"/>
      <c r="B15" s="421" t="s">
        <v>219</v>
      </c>
      <c r="C15" s="417"/>
      <c r="D15" s="417"/>
      <c r="E15" s="188"/>
      <c r="F15" s="180" t="s">
        <v>69</v>
      </c>
      <c r="G15" s="237" t="s">
        <v>220</v>
      </c>
      <c r="H15" s="317">
        <f>IF(E15="Y", 3, 0)</f>
        <v>0</v>
      </c>
      <c r="I15" s="244"/>
    </row>
    <row r="16" spans="1:9" ht="60.75" customHeight="1" x14ac:dyDescent="0.35">
      <c r="A16" s="239"/>
      <c r="B16" s="447" t="s">
        <v>521</v>
      </c>
      <c r="C16" s="447"/>
      <c r="D16" s="447"/>
      <c r="E16" s="243"/>
      <c r="F16" s="235"/>
      <c r="G16" s="239"/>
      <c r="H16" s="285"/>
      <c r="I16" s="189"/>
    </row>
    <row r="17" spans="1:9" ht="15.5" x14ac:dyDescent="0.35">
      <c r="A17" s="162"/>
      <c r="B17" s="408" t="s">
        <v>221</v>
      </c>
      <c r="C17" s="409"/>
      <c r="D17" s="409"/>
      <c r="E17" s="409"/>
      <c r="F17" s="409"/>
      <c r="G17" s="410"/>
      <c r="H17" s="318">
        <f>H15</f>
        <v>0</v>
      </c>
      <c r="I17" s="163"/>
    </row>
    <row r="18" spans="1:9" ht="15.75" customHeight="1" x14ac:dyDescent="0.35">
      <c r="A18" s="345" t="s">
        <v>520</v>
      </c>
      <c r="B18" s="418" t="s">
        <v>222</v>
      </c>
      <c r="C18" s="419"/>
      <c r="D18" s="420"/>
      <c r="E18" s="159"/>
      <c r="F18" s="158"/>
      <c r="G18" s="158"/>
      <c r="H18" s="316"/>
      <c r="I18" s="158"/>
    </row>
    <row r="19" spans="1:9" ht="84.75" customHeight="1" x14ac:dyDescent="0.35">
      <c r="A19" s="344" t="s">
        <v>519</v>
      </c>
      <c r="B19" s="414" t="s">
        <v>516</v>
      </c>
      <c r="C19" s="414"/>
      <c r="D19" s="414"/>
      <c r="E19" s="188"/>
      <c r="F19" s="164" t="s">
        <v>224</v>
      </c>
      <c r="G19" s="236" t="s">
        <v>168</v>
      </c>
      <c r="H19" s="181">
        <f>IF(ISNUMBER(E19), 0.5, 0)</f>
        <v>0</v>
      </c>
      <c r="I19" s="189"/>
    </row>
    <row r="20" spans="1:9" ht="64.5" customHeight="1" thickBot="1" x14ac:dyDescent="0.4">
      <c r="A20" s="342"/>
      <c r="B20" s="414" t="s">
        <v>518</v>
      </c>
      <c r="C20" s="414"/>
      <c r="D20" s="414"/>
      <c r="E20" s="188"/>
      <c r="F20" s="164" t="s">
        <v>78</v>
      </c>
      <c r="G20" s="341" t="s">
        <v>517</v>
      </c>
      <c r="H20" s="181">
        <f>IF(E20&gt;=30,2,0)+IF(AND(E20&gt;=10,E20&lt;30),1,0)</f>
        <v>0</v>
      </c>
      <c r="I20" s="189"/>
    </row>
    <row r="21" spans="1:9" ht="31" x14ac:dyDescent="0.35">
      <c r="A21" s="397"/>
      <c r="B21" s="165"/>
      <c r="C21" s="166" t="s">
        <v>227</v>
      </c>
      <c r="D21" s="167"/>
      <c r="E21" s="395"/>
      <c r="F21" s="397"/>
      <c r="G21" s="397"/>
      <c r="H21" s="367"/>
      <c r="I21" s="394"/>
    </row>
    <row r="22" spans="1:9" ht="15.5" x14ac:dyDescent="0.35">
      <c r="A22" s="397"/>
      <c r="B22" s="168" t="s">
        <v>228</v>
      </c>
      <c r="C22" s="169">
        <v>1000</v>
      </c>
      <c r="D22" s="170"/>
      <c r="E22" s="395"/>
      <c r="F22" s="397"/>
      <c r="G22" s="397"/>
      <c r="H22" s="367"/>
      <c r="I22" s="394"/>
    </row>
    <row r="23" spans="1:9" ht="15.5" x14ac:dyDescent="0.35">
      <c r="A23" s="397"/>
      <c r="B23" s="168" t="s">
        <v>229</v>
      </c>
      <c r="C23" s="343">
        <v>1300</v>
      </c>
      <c r="D23" s="170"/>
      <c r="E23" s="395"/>
      <c r="F23" s="397"/>
      <c r="G23" s="397"/>
      <c r="H23" s="367"/>
      <c r="I23" s="394"/>
    </row>
    <row r="24" spans="1:9" ht="16" thickBot="1" x14ac:dyDescent="0.4">
      <c r="A24" s="397"/>
      <c r="B24" s="171" t="s">
        <v>230</v>
      </c>
      <c r="C24" s="172">
        <v>2500</v>
      </c>
      <c r="D24" s="170"/>
      <c r="E24" s="395"/>
      <c r="F24" s="397"/>
      <c r="G24" s="397"/>
      <c r="H24" s="367"/>
      <c r="I24" s="394"/>
    </row>
    <row r="25" spans="1:9" ht="15.5" x14ac:dyDescent="0.35">
      <c r="A25" s="398"/>
      <c r="B25" s="446" t="s">
        <v>515</v>
      </c>
      <c r="C25" s="446"/>
      <c r="D25" s="446"/>
      <c r="E25" s="396"/>
      <c r="F25" s="398"/>
      <c r="G25" s="398"/>
      <c r="H25" s="366"/>
      <c r="I25" s="394"/>
    </row>
    <row r="26" spans="1:9" ht="15.5" x14ac:dyDescent="0.35">
      <c r="A26" s="162"/>
      <c r="B26" s="408" t="s">
        <v>231</v>
      </c>
      <c r="C26" s="409"/>
      <c r="D26" s="409"/>
      <c r="E26" s="409"/>
      <c r="F26" s="409"/>
      <c r="G26" s="410"/>
      <c r="H26" s="318">
        <f>SUM(H19:H20)</f>
        <v>0</v>
      </c>
      <c r="I26" s="163"/>
    </row>
    <row r="27" spans="1:9" ht="15.5" x14ac:dyDescent="0.35">
      <c r="A27" s="156" t="s">
        <v>232</v>
      </c>
      <c r="B27" s="415" t="s">
        <v>233</v>
      </c>
      <c r="C27" s="415"/>
      <c r="D27" s="416"/>
      <c r="E27" s="157"/>
      <c r="F27" s="156"/>
      <c r="G27" s="156"/>
      <c r="H27" s="314"/>
      <c r="I27" s="156"/>
    </row>
    <row r="28" spans="1:9" ht="47.25" customHeight="1" x14ac:dyDescent="0.35">
      <c r="A28" s="239" t="s">
        <v>223</v>
      </c>
      <c r="B28" s="421" t="s">
        <v>234</v>
      </c>
      <c r="C28" s="421"/>
      <c r="D28" s="421"/>
      <c r="E28" s="188"/>
      <c r="F28" s="180" t="s">
        <v>69</v>
      </c>
      <c r="G28" s="236" t="s">
        <v>113</v>
      </c>
      <c r="H28" s="181">
        <f>IF(E28="Y",1,0)</f>
        <v>0</v>
      </c>
      <c r="I28" s="190"/>
    </row>
    <row r="29" spans="1:9" ht="18.75" customHeight="1" x14ac:dyDescent="0.35">
      <c r="A29" s="239" t="s">
        <v>76</v>
      </c>
      <c r="B29" s="414" t="s">
        <v>514</v>
      </c>
      <c r="C29" s="414"/>
      <c r="D29" s="414"/>
      <c r="E29" s="187" t="s">
        <v>120</v>
      </c>
      <c r="F29" s="115" t="s">
        <v>120</v>
      </c>
      <c r="G29" s="43" t="s">
        <v>120</v>
      </c>
      <c r="H29" s="319" t="s">
        <v>120</v>
      </c>
      <c r="I29" s="190"/>
    </row>
    <row r="30" spans="1:9" ht="15.5" x14ac:dyDescent="0.35">
      <c r="A30" s="162"/>
      <c r="B30" s="408" t="s">
        <v>235</v>
      </c>
      <c r="C30" s="409"/>
      <c r="D30" s="409"/>
      <c r="E30" s="409"/>
      <c r="F30" s="409"/>
      <c r="G30" s="410"/>
      <c r="H30" s="318">
        <f>H28</f>
        <v>0</v>
      </c>
      <c r="I30" s="163"/>
    </row>
    <row r="31" spans="1:9" ht="15.5" x14ac:dyDescent="0.35">
      <c r="A31" s="153" t="s">
        <v>236</v>
      </c>
      <c r="B31" s="464" t="s">
        <v>237</v>
      </c>
      <c r="C31" s="465"/>
      <c r="D31" s="465"/>
      <c r="E31" s="465"/>
      <c r="F31" s="465"/>
      <c r="G31" s="154">
        <v>5</v>
      </c>
      <c r="H31" s="320">
        <f>MIN(SUM(H58,H63,H69),5)</f>
        <v>0</v>
      </c>
      <c r="I31" s="155"/>
    </row>
    <row r="32" spans="1:9" ht="15.75" customHeight="1" x14ac:dyDescent="0.35">
      <c r="A32" s="156" t="s">
        <v>238</v>
      </c>
      <c r="B32" s="415" t="s">
        <v>239</v>
      </c>
      <c r="C32" s="415"/>
      <c r="D32" s="416"/>
      <c r="E32" s="157"/>
      <c r="F32" s="156"/>
      <c r="G32" s="156"/>
      <c r="H32" s="314"/>
      <c r="I32" s="156"/>
    </row>
    <row r="33" spans="1:13" ht="31.5" customHeight="1" x14ac:dyDescent="0.35">
      <c r="A33" s="173"/>
      <c r="B33" s="475" t="s">
        <v>240</v>
      </c>
      <c r="C33" s="475"/>
      <c r="D33" s="475"/>
      <c r="E33" s="174"/>
      <c r="F33" s="175"/>
      <c r="G33" s="176"/>
      <c r="H33" s="321"/>
      <c r="I33" s="173"/>
    </row>
    <row r="34" spans="1:13" ht="16" thickBot="1" x14ac:dyDescent="0.4">
      <c r="A34" s="438" t="s">
        <v>74</v>
      </c>
      <c r="B34" s="439" t="s">
        <v>241</v>
      </c>
      <c r="C34" s="440"/>
      <c r="D34" s="427"/>
      <c r="E34" s="243"/>
      <c r="F34" s="177"/>
      <c r="G34" s="34"/>
      <c r="H34" s="293"/>
      <c r="I34" s="45"/>
    </row>
    <row r="35" spans="1:13" ht="15.5" x14ac:dyDescent="0.35">
      <c r="A35" s="454"/>
      <c r="B35" s="165"/>
      <c r="C35" s="166" t="s">
        <v>242</v>
      </c>
      <c r="D35" s="451"/>
      <c r="E35" s="435"/>
      <c r="F35" s="437" t="s">
        <v>72</v>
      </c>
      <c r="G35" s="438" t="s">
        <v>113</v>
      </c>
      <c r="H35" s="402">
        <f>IF(ISBLANK(E35),0,IF(E35&lt;=0.35,1,0))</f>
        <v>0</v>
      </c>
      <c r="I35" s="399"/>
    </row>
    <row r="36" spans="1:13" ht="15.5" x14ac:dyDescent="0.35">
      <c r="A36" s="454"/>
      <c r="B36" s="168" t="s">
        <v>228</v>
      </c>
      <c r="C36" s="169" t="s">
        <v>243</v>
      </c>
      <c r="D36" s="451"/>
      <c r="E36" s="436"/>
      <c r="F36" s="437"/>
      <c r="G36" s="438"/>
      <c r="H36" s="403"/>
      <c r="I36" s="400"/>
    </row>
    <row r="37" spans="1:13" ht="15.5" x14ac:dyDescent="0.35">
      <c r="A37" s="454"/>
      <c r="B37" s="168" t="s">
        <v>229</v>
      </c>
      <c r="C37" s="169" t="s">
        <v>244</v>
      </c>
      <c r="D37" s="451"/>
      <c r="E37" s="436"/>
      <c r="F37" s="437"/>
      <c r="G37" s="438"/>
      <c r="H37" s="403"/>
      <c r="I37" s="400"/>
    </row>
    <row r="38" spans="1:13" ht="16" thickBot="1" x14ac:dyDescent="0.4">
      <c r="A38" s="454"/>
      <c r="B38" s="171" t="s">
        <v>230</v>
      </c>
      <c r="C38" s="172" t="s">
        <v>244</v>
      </c>
      <c r="D38" s="451"/>
      <c r="E38" s="436"/>
      <c r="F38" s="437"/>
      <c r="G38" s="438"/>
      <c r="H38" s="403"/>
      <c r="I38" s="400"/>
    </row>
    <row r="39" spans="1:13" ht="67.5" customHeight="1" thickBot="1" x14ac:dyDescent="0.4">
      <c r="A39" s="422" t="s">
        <v>225</v>
      </c>
      <c r="B39" s="421" t="s">
        <v>245</v>
      </c>
      <c r="C39" s="421"/>
      <c r="D39" s="427"/>
      <c r="E39" s="456"/>
      <c r="F39" s="411"/>
      <c r="G39" s="411"/>
      <c r="H39" s="402"/>
      <c r="I39" s="405"/>
      <c r="K39" s="260"/>
      <c r="L39" s="250"/>
      <c r="M39" s="250"/>
    </row>
    <row r="40" spans="1:13" ht="31.5" customHeight="1" x14ac:dyDescent="0.35">
      <c r="A40" s="455"/>
      <c r="B40" s="165"/>
      <c r="C40" s="178" t="s">
        <v>246</v>
      </c>
      <c r="D40" s="452"/>
      <c r="E40" s="457"/>
      <c r="F40" s="412"/>
      <c r="G40" s="412"/>
      <c r="H40" s="403"/>
      <c r="I40" s="406"/>
      <c r="K40" s="260"/>
      <c r="L40" s="250"/>
      <c r="M40" s="250"/>
    </row>
    <row r="41" spans="1:13" ht="15.75" customHeight="1" x14ac:dyDescent="0.35">
      <c r="A41" s="455"/>
      <c r="B41" s="168" t="s">
        <v>228</v>
      </c>
      <c r="C41" s="169" t="s">
        <v>247</v>
      </c>
      <c r="D41" s="452"/>
      <c r="E41" s="457"/>
      <c r="F41" s="412"/>
      <c r="G41" s="412"/>
      <c r="H41" s="403"/>
      <c r="I41" s="406"/>
      <c r="K41" s="260"/>
      <c r="L41" s="250"/>
      <c r="M41" s="250"/>
    </row>
    <row r="42" spans="1:13" ht="15.75" customHeight="1" thickBot="1" x14ac:dyDescent="0.4">
      <c r="A42" s="455"/>
      <c r="B42" s="171" t="s">
        <v>229</v>
      </c>
      <c r="C42" s="179" t="s">
        <v>248</v>
      </c>
      <c r="D42" s="453"/>
      <c r="E42" s="458"/>
      <c r="F42" s="413"/>
      <c r="G42" s="413"/>
      <c r="H42" s="404"/>
      <c r="I42" s="407"/>
      <c r="K42" s="260"/>
      <c r="L42" s="250"/>
      <c r="M42" s="250"/>
    </row>
    <row r="43" spans="1:13" ht="15.75" customHeight="1" x14ac:dyDescent="0.35">
      <c r="A43" s="423"/>
      <c r="B43" s="428" t="s">
        <v>249</v>
      </c>
      <c r="C43" s="428"/>
      <c r="D43" s="421"/>
      <c r="E43" s="188"/>
      <c r="F43" s="180" t="s">
        <v>78</v>
      </c>
      <c r="G43" s="422" t="s">
        <v>113</v>
      </c>
      <c r="H43" s="402">
        <f>IF(SUM(E43:E47)&gt;=50, 1, 0)</f>
        <v>0</v>
      </c>
      <c r="I43" s="399"/>
      <c r="K43" s="260"/>
      <c r="L43" s="250"/>
      <c r="M43" s="250"/>
    </row>
    <row r="44" spans="1:13" ht="15.5" x14ac:dyDescent="0.35">
      <c r="A44" s="423"/>
      <c r="B44" s="421" t="s">
        <v>250</v>
      </c>
      <c r="C44" s="421"/>
      <c r="D44" s="421"/>
      <c r="E44" s="188"/>
      <c r="F44" s="180" t="s">
        <v>78</v>
      </c>
      <c r="G44" s="423"/>
      <c r="H44" s="403"/>
      <c r="I44" s="400"/>
      <c r="K44" s="260"/>
      <c r="L44" s="261"/>
      <c r="M44" s="262"/>
    </row>
    <row r="45" spans="1:13" ht="15.75" customHeight="1" x14ac:dyDescent="0.35">
      <c r="A45" s="423"/>
      <c r="B45" s="421" t="s">
        <v>251</v>
      </c>
      <c r="C45" s="421"/>
      <c r="D45" s="421"/>
      <c r="E45" s="188"/>
      <c r="F45" s="180" t="s">
        <v>78</v>
      </c>
      <c r="G45" s="423"/>
      <c r="H45" s="403"/>
      <c r="I45" s="400"/>
    </row>
    <row r="46" spans="1:13" ht="15.75" customHeight="1" x14ac:dyDescent="0.35">
      <c r="A46" s="423"/>
      <c r="B46" s="421" t="s">
        <v>252</v>
      </c>
      <c r="C46" s="421"/>
      <c r="D46" s="421"/>
      <c r="E46" s="188"/>
      <c r="F46" s="180" t="s">
        <v>78</v>
      </c>
      <c r="G46" s="423"/>
      <c r="H46" s="403"/>
      <c r="I46" s="400"/>
    </row>
    <row r="47" spans="1:13" ht="47.25" customHeight="1" x14ac:dyDescent="0.35">
      <c r="A47" s="424"/>
      <c r="B47" s="421" t="s">
        <v>253</v>
      </c>
      <c r="C47" s="421"/>
      <c r="D47" s="421"/>
      <c r="E47" s="188"/>
      <c r="F47" s="180" t="s">
        <v>78</v>
      </c>
      <c r="G47" s="424"/>
      <c r="H47" s="404"/>
      <c r="I47" s="401"/>
    </row>
    <row r="48" spans="1:13" ht="47.25" customHeight="1" x14ac:dyDescent="0.35">
      <c r="A48" s="422" t="s">
        <v>79</v>
      </c>
      <c r="B48" s="421" t="s">
        <v>254</v>
      </c>
      <c r="C48" s="421"/>
      <c r="D48" s="421"/>
      <c r="E48" s="243"/>
      <c r="F48" s="180"/>
      <c r="G48"/>
      <c r="H48" s="181"/>
      <c r="I48" s="142"/>
    </row>
    <row r="49" spans="1:9" ht="33" customHeight="1" x14ac:dyDescent="0.35">
      <c r="A49" s="424"/>
      <c r="B49" s="443" t="s">
        <v>255</v>
      </c>
      <c r="C49" s="443"/>
      <c r="D49" s="443"/>
      <c r="E49" s="188"/>
      <c r="F49" s="180" t="s">
        <v>72</v>
      </c>
      <c r="G49" s="81" t="s">
        <v>256</v>
      </c>
      <c r="H49" s="181">
        <f>IF(ISBLANK(E49), ,LEFT(E49,1)*0.25)</f>
        <v>0</v>
      </c>
      <c r="I49" s="142"/>
    </row>
    <row r="50" spans="1:9" ht="82" customHeight="1" x14ac:dyDescent="0.35">
      <c r="A50" s="422" t="s">
        <v>84</v>
      </c>
      <c r="B50" s="468" t="s">
        <v>510</v>
      </c>
      <c r="C50" s="414"/>
      <c r="D50" s="469"/>
      <c r="E50" s="243"/>
      <c r="F50" s="180"/>
      <c r="G50" s="182" t="s">
        <v>257</v>
      </c>
      <c r="H50" s="323"/>
      <c r="I50" s="213"/>
    </row>
    <row r="51" spans="1:9" ht="15.5" x14ac:dyDescent="0.35">
      <c r="A51" s="423"/>
      <c r="B51" s="470" t="s">
        <v>511</v>
      </c>
      <c r="C51" s="470"/>
      <c r="D51" s="470"/>
      <c r="E51" s="188"/>
      <c r="F51" s="180" t="s">
        <v>72</v>
      </c>
      <c r="G51" s="236" t="s">
        <v>120</v>
      </c>
      <c r="H51" s="293"/>
      <c r="I51" s="142"/>
    </row>
    <row r="52" spans="1:9" ht="15.5" x14ac:dyDescent="0.35">
      <c r="A52" s="423"/>
      <c r="B52" s="414" t="s">
        <v>512</v>
      </c>
      <c r="C52" s="414"/>
      <c r="D52" s="414"/>
      <c r="E52" s="188"/>
      <c r="F52" s="180" t="s">
        <v>78</v>
      </c>
      <c r="G52" s="429" t="s">
        <v>258</v>
      </c>
      <c r="H52" s="402">
        <f>IF(AND(E52&gt;=20,E53="Y"),0.5,0)</f>
        <v>0</v>
      </c>
      <c r="I52" s="142"/>
    </row>
    <row r="53" spans="1:9" ht="18" customHeight="1" x14ac:dyDescent="0.35">
      <c r="A53" s="423"/>
      <c r="B53" s="414" t="s">
        <v>513</v>
      </c>
      <c r="C53" s="414"/>
      <c r="D53" s="414"/>
      <c r="E53" s="188"/>
      <c r="F53" s="180" t="s">
        <v>69</v>
      </c>
      <c r="G53" s="431"/>
      <c r="H53" s="404"/>
      <c r="I53" s="142"/>
    </row>
    <row r="54" spans="1:9" ht="15.5" x14ac:dyDescent="0.35">
      <c r="A54" s="423"/>
      <c r="B54" s="421" t="s">
        <v>259</v>
      </c>
      <c r="C54" s="421"/>
      <c r="D54" s="421"/>
      <c r="E54" s="188"/>
      <c r="F54" s="164" t="s">
        <v>78</v>
      </c>
      <c r="G54" s="429" t="s">
        <v>258</v>
      </c>
      <c r="H54" s="402">
        <f>IF(OR(AND(E54&lt;=10,E55="Y"),AND(E56&gt;=50,E57="Y")),0.5,0)</f>
        <v>0</v>
      </c>
      <c r="I54" s="142"/>
    </row>
    <row r="55" spans="1:9" ht="15.75" customHeight="1" x14ac:dyDescent="0.35">
      <c r="A55" s="423"/>
      <c r="B55" s="421" t="s">
        <v>260</v>
      </c>
      <c r="C55" s="421"/>
      <c r="D55" s="421"/>
      <c r="E55" s="188"/>
      <c r="F55" s="180" t="s">
        <v>69</v>
      </c>
      <c r="G55" s="430"/>
      <c r="H55" s="403"/>
      <c r="I55" s="142"/>
    </row>
    <row r="56" spans="1:9" ht="15.75" customHeight="1" x14ac:dyDescent="0.35">
      <c r="A56" s="423"/>
      <c r="B56" s="421" t="s">
        <v>261</v>
      </c>
      <c r="C56" s="421"/>
      <c r="D56" s="421"/>
      <c r="E56" s="188"/>
      <c r="F56" s="164" t="s">
        <v>78</v>
      </c>
      <c r="G56" s="430"/>
      <c r="H56" s="403"/>
      <c r="I56" s="142"/>
    </row>
    <row r="57" spans="1:9" ht="15.75" customHeight="1" x14ac:dyDescent="0.35">
      <c r="A57" s="424"/>
      <c r="B57" s="421" t="s">
        <v>262</v>
      </c>
      <c r="C57" s="421"/>
      <c r="D57" s="421"/>
      <c r="E57" s="188"/>
      <c r="F57" s="180" t="s">
        <v>69</v>
      </c>
      <c r="G57" s="431"/>
      <c r="H57" s="404"/>
      <c r="I57" s="142"/>
    </row>
    <row r="58" spans="1:9" ht="15.5" x14ac:dyDescent="0.35">
      <c r="A58" s="162"/>
      <c r="B58" s="408" t="s">
        <v>263</v>
      </c>
      <c r="C58" s="409"/>
      <c r="D58" s="409"/>
      <c r="E58" s="409"/>
      <c r="F58" s="409"/>
      <c r="G58" s="410"/>
      <c r="H58" s="318">
        <f>SUM(H52:H57,H49,H43,H35)</f>
        <v>0</v>
      </c>
      <c r="I58" s="163"/>
    </row>
    <row r="59" spans="1:9" ht="15.75" customHeight="1" x14ac:dyDescent="0.35">
      <c r="A59" s="183" t="s">
        <v>264</v>
      </c>
      <c r="B59" s="450" t="s">
        <v>265</v>
      </c>
      <c r="C59" s="415"/>
      <c r="D59" s="416"/>
      <c r="E59" s="157"/>
      <c r="F59" s="156"/>
      <c r="G59" s="156"/>
      <c r="H59" s="314"/>
      <c r="I59" s="156"/>
    </row>
    <row r="60" spans="1:9" ht="34" customHeight="1" x14ac:dyDescent="0.35">
      <c r="A60" s="434" t="s">
        <v>74</v>
      </c>
      <c r="B60" s="439" t="s">
        <v>266</v>
      </c>
      <c r="C60" s="440"/>
      <c r="D60" s="427"/>
      <c r="E60" s="188"/>
      <c r="F60" s="164" t="s">
        <v>267</v>
      </c>
      <c r="G60" s="429" t="s">
        <v>113</v>
      </c>
      <c r="H60" s="444">
        <f>IF(AND(E60="Cost",E61&gt;=60),1,0) + IF(AND(E60="Area",E61&gt;=80),1,0)</f>
        <v>0</v>
      </c>
      <c r="I60" s="142"/>
    </row>
    <row r="61" spans="1:9" ht="31" customHeight="1" x14ac:dyDescent="0.35">
      <c r="A61" s="434"/>
      <c r="B61" s="441"/>
      <c r="C61" s="428"/>
      <c r="D61" s="442"/>
      <c r="E61" s="188"/>
      <c r="F61" s="164" t="s">
        <v>78</v>
      </c>
      <c r="G61" s="431"/>
      <c r="H61" s="445"/>
      <c r="I61" s="142"/>
    </row>
    <row r="62" spans="1:9" ht="48" customHeight="1" x14ac:dyDescent="0.35">
      <c r="A62" s="239" t="s">
        <v>76</v>
      </c>
      <c r="B62" s="426" t="s">
        <v>268</v>
      </c>
      <c r="C62" s="421"/>
      <c r="D62" s="421"/>
      <c r="E62" s="188"/>
      <c r="F62" s="164" t="s">
        <v>78</v>
      </c>
      <c r="G62" s="81" t="s">
        <v>113</v>
      </c>
      <c r="H62" s="324">
        <f>IF(E62&gt;=60,1,0)</f>
        <v>0</v>
      </c>
      <c r="I62" s="142"/>
    </row>
    <row r="63" spans="1:9" ht="15.75" customHeight="1" x14ac:dyDescent="0.35">
      <c r="A63" s="184"/>
      <c r="B63" s="408" t="s">
        <v>269</v>
      </c>
      <c r="C63" s="409"/>
      <c r="D63" s="409"/>
      <c r="E63" s="409"/>
      <c r="F63" s="409"/>
      <c r="G63" s="410"/>
      <c r="H63" s="318">
        <f>SUM(H60:H62)</f>
        <v>0</v>
      </c>
      <c r="I63" s="163"/>
    </row>
    <row r="64" spans="1:9" ht="15.5" x14ac:dyDescent="0.35">
      <c r="A64" s="156" t="s">
        <v>270</v>
      </c>
      <c r="B64" s="415" t="s">
        <v>271</v>
      </c>
      <c r="C64" s="415"/>
      <c r="D64" s="416"/>
      <c r="E64" s="157"/>
      <c r="F64" s="156"/>
      <c r="G64" s="156"/>
      <c r="H64" s="314"/>
      <c r="I64" s="156"/>
    </row>
    <row r="65" spans="1:9" ht="33" customHeight="1" x14ac:dyDescent="0.35">
      <c r="A65" s="239"/>
      <c r="B65" s="426" t="s">
        <v>272</v>
      </c>
      <c r="C65" s="421"/>
      <c r="D65" s="421"/>
      <c r="E65" s="243"/>
      <c r="F65" s="164"/>
      <c r="G65" s="81"/>
      <c r="H65" s="181"/>
      <c r="I65" s="142"/>
    </row>
    <row r="66" spans="1:9" ht="15.5" x14ac:dyDescent="0.35">
      <c r="A66" s="239" t="s">
        <v>74</v>
      </c>
      <c r="B66" s="426" t="s">
        <v>273</v>
      </c>
      <c r="C66" s="421"/>
      <c r="D66" s="421"/>
      <c r="E66" s="188"/>
      <c r="F66" s="164" t="s">
        <v>69</v>
      </c>
      <c r="G66" s="81" t="s">
        <v>113</v>
      </c>
      <c r="H66" s="181">
        <f>IF(E66="Y",1,0)</f>
        <v>0</v>
      </c>
      <c r="I66" s="142"/>
    </row>
    <row r="67" spans="1:9" ht="47.25" customHeight="1" x14ac:dyDescent="0.35">
      <c r="A67" s="239" t="s">
        <v>225</v>
      </c>
      <c r="B67" s="426" t="s">
        <v>274</v>
      </c>
      <c r="C67" s="421"/>
      <c r="D67" s="421"/>
      <c r="E67" s="188"/>
      <c r="F67" s="164" t="s">
        <v>78</v>
      </c>
      <c r="G67" s="81" t="s">
        <v>113</v>
      </c>
      <c r="H67" s="290">
        <f>IF(E67&gt;=40,1,0)</f>
        <v>0</v>
      </c>
      <c r="I67" s="142"/>
    </row>
    <row r="68" spans="1:9" ht="51.65" customHeight="1" x14ac:dyDescent="0.35">
      <c r="A68" s="239" t="s">
        <v>275</v>
      </c>
      <c r="B68" s="426" t="s">
        <v>276</v>
      </c>
      <c r="C68" s="421"/>
      <c r="D68" s="421"/>
      <c r="E68" s="188"/>
      <c r="F68" s="164" t="s">
        <v>69</v>
      </c>
      <c r="G68" s="81" t="s">
        <v>113</v>
      </c>
      <c r="H68" s="181">
        <f>IF(E68="Y",1,0)</f>
        <v>0</v>
      </c>
      <c r="I68" s="142"/>
    </row>
    <row r="69" spans="1:9" ht="15.5" x14ac:dyDescent="0.35">
      <c r="A69" s="184"/>
      <c r="B69" s="408" t="s">
        <v>277</v>
      </c>
      <c r="C69" s="409"/>
      <c r="D69" s="409"/>
      <c r="E69" s="409"/>
      <c r="F69" s="409"/>
      <c r="G69" s="410"/>
      <c r="H69" s="318">
        <f>SUM(H66:H68)</f>
        <v>0</v>
      </c>
      <c r="I69" s="163"/>
    </row>
    <row r="70" spans="1:9" ht="15.65" customHeight="1" x14ac:dyDescent="0.35">
      <c r="A70" s="153" t="s">
        <v>278</v>
      </c>
      <c r="B70" s="464" t="s">
        <v>279</v>
      </c>
      <c r="C70" s="465"/>
      <c r="D70" s="465"/>
      <c r="E70" s="465"/>
      <c r="F70" s="465"/>
      <c r="G70" s="185">
        <v>5</v>
      </c>
      <c r="H70" s="320">
        <f>MIN(SUM(H73,H77,H80),5)</f>
        <v>0</v>
      </c>
      <c r="I70" s="155"/>
    </row>
    <row r="71" spans="1:9" ht="19" customHeight="1" x14ac:dyDescent="0.35">
      <c r="A71" s="156" t="s">
        <v>280</v>
      </c>
      <c r="B71" s="415" t="s">
        <v>281</v>
      </c>
      <c r="C71" s="415"/>
      <c r="D71" s="416"/>
      <c r="E71" s="157"/>
      <c r="F71" s="156"/>
      <c r="G71" s="156"/>
      <c r="H71" s="314"/>
      <c r="I71" s="156"/>
    </row>
    <row r="72" spans="1:9" ht="98.5" customHeight="1" x14ac:dyDescent="0.35">
      <c r="A72" s="186"/>
      <c r="B72" s="426" t="s">
        <v>282</v>
      </c>
      <c r="C72" s="421"/>
      <c r="D72" s="421"/>
      <c r="E72" s="188"/>
      <c r="F72" s="164" t="s">
        <v>78</v>
      </c>
      <c r="G72" s="81" t="s">
        <v>283</v>
      </c>
      <c r="H72" s="290">
        <f>IF(E72=100,3,IF(E72&gt;=70,2,IF(E72&gt;=50,1,0)))</f>
        <v>0</v>
      </c>
      <c r="I72" s="142"/>
    </row>
    <row r="73" spans="1:9" ht="15.5" x14ac:dyDescent="0.35">
      <c r="A73" s="162"/>
      <c r="B73" s="408" t="s">
        <v>284</v>
      </c>
      <c r="C73" s="409"/>
      <c r="D73" s="409"/>
      <c r="E73" s="409"/>
      <c r="F73" s="409"/>
      <c r="G73" s="410"/>
      <c r="H73" s="318">
        <f>H72</f>
        <v>0</v>
      </c>
      <c r="I73" s="163"/>
    </row>
    <row r="74" spans="1:9" ht="16.5" customHeight="1" x14ac:dyDescent="0.35">
      <c r="A74" s="156" t="s">
        <v>285</v>
      </c>
      <c r="B74" s="415" t="s">
        <v>286</v>
      </c>
      <c r="C74" s="415"/>
      <c r="D74" s="416"/>
      <c r="E74" s="157"/>
      <c r="F74" s="156"/>
      <c r="G74" s="156"/>
      <c r="H74" s="314"/>
      <c r="I74" s="156"/>
    </row>
    <row r="75" spans="1:9" ht="48.75" customHeight="1" x14ac:dyDescent="0.35">
      <c r="A75" s="239" t="s">
        <v>74</v>
      </c>
      <c r="B75" s="425" t="s">
        <v>509</v>
      </c>
      <c r="C75" s="414"/>
      <c r="D75" s="414"/>
      <c r="E75" s="188"/>
      <c r="F75" s="164" t="s">
        <v>78</v>
      </c>
      <c r="G75" s="81" t="s">
        <v>113</v>
      </c>
      <c r="H75" s="290">
        <f>IF(E75&gt;=80,1,0)</f>
        <v>0</v>
      </c>
      <c r="I75" s="150"/>
    </row>
    <row r="76" spans="1:9" ht="50.5" customHeight="1" x14ac:dyDescent="0.35">
      <c r="A76" s="239" t="s">
        <v>225</v>
      </c>
      <c r="B76" s="426" t="s">
        <v>287</v>
      </c>
      <c r="C76" s="421"/>
      <c r="D76" s="421"/>
      <c r="E76" s="188"/>
      <c r="F76" s="164" t="s">
        <v>78</v>
      </c>
      <c r="G76" s="81" t="s">
        <v>113</v>
      </c>
      <c r="H76" s="290">
        <f>IF(E76&gt;=80,1,0)</f>
        <v>0</v>
      </c>
      <c r="I76" s="150"/>
    </row>
    <row r="77" spans="1:9" ht="15.5" x14ac:dyDescent="0.35">
      <c r="A77" s="162"/>
      <c r="B77" s="408" t="s">
        <v>288</v>
      </c>
      <c r="C77" s="409"/>
      <c r="D77" s="409"/>
      <c r="E77" s="409"/>
      <c r="F77" s="409"/>
      <c r="G77" s="410"/>
      <c r="H77" s="318">
        <f>SUM(H75:H76)</f>
        <v>0</v>
      </c>
      <c r="I77" s="163"/>
    </row>
    <row r="78" spans="1:9" ht="15.5" x14ac:dyDescent="0.35">
      <c r="A78" s="156" t="s">
        <v>289</v>
      </c>
      <c r="B78" s="415" t="s">
        <v>290</v>
      </c>
      <c r="C78" s="415"/>
      <c r="D78" s="416"/>
      <c r="E78" s="157"/>
      <c r="F78" s="156"/>
      <c r="G78" s="156"/>
      <c r="H78" s="314"/>
      <c r="I78" s="156"/>
    </row>
    <row r="79" spans="1:9" ht="100" customHeight="1" x14ac:dyDescent="0.35">
      <c r="A79" s="239"/>
      <c r="B79" s="471" t="s">
        <v>291</v>
      </c>
      <c r="C79" s="471"/>
      <c r="D79" s="471"/>
      <c r="E79" s="187" t="s">
        <v>120</v>
      </c>
      <c r="F79" s="115" t="s">
        <v>120</v>
      </c>
      <c r="G79" s="43" t="s">
        <v>120</v>
      </c>
      <c r="H79" s="319" t="s">
        <v>120</v>
      </c>
      <c r="I79" s="8"/>
    </row>
    <row r="80" spans="1:9" ht="15.5" x14ac:dyDescent="0.35">
      <c r="A80" s="162"/>
      <c r="B80" s="408" t="s">
        <v>292</v>
      </c>
      <c r="C80" s="409"/>
      <c r="D80" s="409"/>
      <c r="E80" s="409"/>
      <c r="F80" s="409"/>
      <c r="G80" s="410"/>
      <c r="H80" s="318">
        <f>0</f>
        <v>0</v>
      </c>
      <c r="I80" s="163"/>
    </row>
    <row r="81" spans="1:9" s="263" customFormat="1" ht="18.649999999999999" customHeight="1" x14ac:dyDescent="0.35">
      <c r="A81" s="153"/>
      <c r="B81" s="464" t="s">
        <v>293</v>
      </c>
      <c r="C81" s="465"/>
      <c r="D81" s="465"/>
      <c r="E81" s="465"/>
      <c r="F81" s="465"/>
      <c r="G81" s="185">
        <v>2</v>
      </c>
      <c r="H81" s="320">
        <f>SUM(H83:H84)</f>
        <v>0</v>
      </c>
      <c r="I81" s="155"/>
    </row>
    <row r="82" spans="1:9" ht="65.150000000000006" customHeight="1" x14ac:dyDescent="0.35">
      <c r="A82" s="156"/>
      <c r="B82" s="467" t="s">
        <v>294</v>
      </c>
      <c r="C82" s="467"/>
      <c r="D82" s="467"/>
      <c r="E82" s="157"/>
      <c r="F82" s="156"/>
      <c r="G82" s="157" t="s">
        <v>198</v>
      </c>
      <c r="H82" s="314"/>
      <c r="I82" s="234" t="s">
        <v>199</v>
      </c>
    </row>
    <row r="83" spans="1:9" ht="183" customHeight="1" x14ac:dyDescent="0.35">
      <c r="A83" s="239"/>
      <c r="B83" s="466" t="s">
        <v>508</v>
      </c>
      <c r="C83" s="466"/>
      <c r="D83" s="466"/>
      <c r="E83" s="188"/>
      <c r="F83" s="141" t="s">
        <v>72</v>
      </c>
      <c r="G83" s="365" t="s">
        <v>200</v>
      </c>
      <c r="H83" s="290">
        <f>E83</f>
        <v>0</v>
      </c>
      <c r="I83" s="150" t="s">
        <v>201</v>
      </c>
    </row>
    <row r="84" spans="1:9" ht="183" customHeight="1" x14ac:dyDescent="0.35">
      <c r="A84" s="34"/>
      <c r="B84" s="466"/>
      <c r="C84" s="466"/>
      <c r="D84" s="466"/>
      <c r="E84" s="188"/>
      <c r="F84" s="141" t="s">
        <v>72</v>
      </c>
      <c r="G84" s="365"/>
      <c r="H84" s="290">
        <f>E84</f>
        <v>0</v>
      </c>
      <c r="I84" s="150" t="s">
        <v>202</v>
      </c>
    </row>
  </sheetData>
  <sheetProtection algorithmName="SHA-512" hashValue="e1mvQJ0cfVUHqaPhhHVaTpLf9ocVabsGbWzQRoVTF6Hi9qFfqJx0C7RBSjvo8ja9daHZNmp1g+KGYCU6vmFO3g==" saltValue="pVAGkuF+PHhymeo65FxDSg==" spinCount="100000" sheet="1" formatCells="0" selectLockedCells="1"/>
  <mergeCells count="106">
    <mergeCell ref="B64:D64"/>
    <mergeCell ref="B66:D66"/>
    <mergeCell ref="B57:D57"/>
    <mergeCell ref="B48:D48"/>
    <mergeCell ref="B45:D45"/>
    <mergeCell ref="B46:D46"/>
    <mergeCell ref="B47:D47"/>
    <mergeCell ref="B27:D27"/>
    <mergeCell ref="B28:D28"/>
    <mergeCell ref="B32:D32"/>
    <mergeCell ref="B33:D33"/>
    <mergeCell ref="B52:D52"/>
    <mergeCell ref="B53:D53"/>
    <mergeCell ref="B54:D54"/>
    <mergeCell ref="B65:D65"/>
    <mergeCell ref="B29:D29"/>
    <mergeCell ref="B1:D1"/>
    <mergeCell ref="B3:F3"/>
    <mergeCell ref="B31:F31"/>
    <mergeCell ref="B70:F70"/>
    <mergeCell ref="G83:G84"/>
    <mergeCell ref="B83:D84"/>
    <mergeCell ref="B17:G17"/>
    <mergeCell ref="B26:G26"/>
    <mergeCell ref="B30:G30"/>
    <mergeCell ref="B58:G58"/>
    <mergeCell ref="B63:G63"/>
    <mergeCell ref="B69:G69"/>
    <mergeCell ref="B82:D82"/>
    <mergeCell ref="B71:D71"/>
    <mergeCell ref="B72:D72"/>
    <mergeCell ref="B50:D50"/>
    <mergeCell ref="B51:D51"/>
    <mergeCell ref="B55:D55"/>
    <mergeCell ref="B56:D56"/>
    <mergeCell ref="B81:F81"/>
    <mergeCell ref="B76:D76"/>
    <mergeCell ref="B78:D78"/>
    <mergeCell ref="B79:D79"/>
    <mergeCell ref="A2:F2"/>
    <mergeCell ref="B25:D25"/>
    <mergeCell ref="B16:D16"/>
    <mergeCell ref="A7:A14"/>
    <mergeCell ref="D7:D14"/>
    <mergeCell ref="B59:D59"/>
    <mergeCell ref="E7:E14"/>
    <mergeCell ref="F7:F14"/>
    <mergeCell ref="D35:D38"/>
    <mergeCell ref="A21:A25"/>
    <mergeCell ref="D40:D42"/>
    <mergeCell ref="A34:A38"/>
    <mergeCell ref="A39:A47"/>
    <mergeCell ref="E39:E42"/>
    <mergeCell ref="F39:F42"/>
    <mergeCell ref="A48:A49"/>
    <mergeCell ref="A50:A57"/>
    <mergeCell ref="B10:B14"/>
    <mergeCell ref="B8:B9"/>
    <mergeCell ref="A60:A61"/>
    <mergeCell ref="E35:E38"/>
    <mergeCell ref="F35:F38"/>
    <mergeCell ref="G35:G38"/>
    <mergeCell ref="H35:H38"/>
    <mergeCell ref="G60:G61"/>
    <mergeCell ref="B60:D61"/>
    <mergeCell ref="B49:D49"/>
    <mergeCell ref="B34:D34"/>
    <mergeCell ref="H43:H47"/>
    <mergeCell ref="H60:H61"/>
    <mergeCell ref="H52:H53"/>
    <mergeCell ref="H54:H57"/>
    <mergeCell ref="B80:G80"/>
    <mergeCell ref="G39:G42"/>
    <mergeCell ref="B19:D19"/>
    <mergeCell ref="B4:D4"/>
    <mergeCell ref="B5:D5"/>
    <mergeCell ref="B6:D6"/>
    <mergeCell ref="B15:D15"/>
    <mergeCell ref="G43:G47"/>
    <mergeCell ref="B75:D75"/>
    <mergeCell ref="B67:D67"/>
    <mergeCell ref="B68:D68"/>
    <mergeCell ref="B62:D62"/>
    <mergeCell ref="B74:D74"/>
    <mergeCell ref="B18:D18"/>
    <mergeCell ref="B39:D39"/>
    <mergeCell ref="B43:D43"/>
    <mergeCell ref="B44:D44"/>
    <mergeCell ref="G54:G57"/>
    <mergeCell ref="G52:G53"/>
    <mergeCell ref="B73:G73"/>
    <mergeCell ref="B77:G77"/>
    <mergeCell ref="G7:G14"/>
    <mergeCell ref="B7:C7"/>
    <mergeCell ref="B20:D20"/>
    <mergeCell ref="H7:H14"/>
    <mergeCell ref="I7:I14"/>
    <mergeCell ref="E21:E25"/>
    <mergeCell ref="F21:F25"/>
    <mergeCell ref="G21:G25"/>
    <mergeCell ref="I43:I47"/>
    <mergeCell ref="H39:H42"/>
    <mergeCell ref="I39:I42"/>
    <mergeCell ref="I35:I38"/>
    <mergeCell ref="H21:H25"/>
    <mergeCell ref="I21:I25"/>
  </mergeCells>
  <dataValidations count="8">
    <dataValidation type="decimal" allowBlank="1" showErrorMessage="1" error="Please enter 0.5 or 1 or 1.5 or 2." prompt="Please Enter 0 or 1 or 1.5 or 2." sqref="H83 H75:H76" xr:uid="{00000000-0002-0000-0400-000000000000}">
      <formula1>0</formula1>
      <formula2>2</formula2>
    </dataValidation>
    <dataValidation allowBlank="1" showInputMessage="1" showErrorMessage="1" prompt="Please list down short description of your innovation." sqref="I75:I76 I83:I84" xr:uid="{00000000-0002-0000-0400-000001000000}"/>
    <dataValidation allowBlank="1" showErrorMessage="1" sqref="H84" xr:uid="{00000000-0002-0000-0400-000002000000}"/>
    <dataValidation type="list" allowBlank="1" showInputMessage="1" showErrorMessage="1" sqref="E15 E66 E68 E53 E57 E55 E28" xr:uid="{00000000-0002-0000-0400-000003000000}">
      <formula1>"Y,N"</formula1>
    </dataValidation>
    <dataValidation type="decimal" allowBlank="1" showInputMessage="1" showErrorMessage="1" sqref="E20 E35:E38 E43:E47 E61:E62 E67 E72 E75:E76 E56 E52 E54" xr:uid="{00000000-0002-0000-0400-000004000000}">
      <formula1>0</formula1>
      <formula2>100</formula2>
    </dataValidation>
    <dataValidation type="list" allowBlank="1" showInputMessage="1" showErrorMessage="1" sqref="E60" xr:uid="{00000000-0002-0000-0400-000006000000}">
      <formula1>"Cost,Area"</formula1>
    </dataValidation>
    <dataValidation type="list" showErrorMessage="1" error="Please enter 0.5 or 1 or 1.5 or 2." prompt="Please Enter 0.5 or 1 or 1.5 or 2." sqref="E83:E84" xr:uid="{00000000-0002-0000-0400-000007000000}">
      <formula1>"0, 0.5, 1.0, 1.5, 2.0"</formula1>
    </dataValidation>
    <dataValidation type="list" allowBlank="1" showInputMessage="1" showErrorMessage="1" sqref="E49" xr:uid="{47A946B5-A937-4DB1-8990-FD0D35061349}">
      <formula1>"2 ticks, 3 ticks, 4 ticks"</formula1>
    </dataValidation>
  </dataValidations>
  <pageMargins left="0.7" right="0.7" top="0.75" bottom="0.75" header="0.3" footer="0.3"/>
  <pageSetup paperSize="9" scale="50" orientation="portrait" r:id="rId1"/>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7F86C-39C3-4E78-B07A-8BEA1924B927}">
  <dimension ref="A1:I96"/>
  <sheetViews>
    <sheetView zoomScaleNormal="100" workbookViewId="0">
      <selection activeCell="E6" sqref="E6"/>
    </sheetView>
  </sheetViews>
  <sheetFormatPr defaultColWidth="9.1796875" defaultRowHeight="14.5" x14ac:dyDescent="0.35"/>
  <cols>
    <col min="1" max="1" width="8.26953125" style="7" customWidth="1"/>
    <col min="2" max="2" width="22.26953125" style="7" customWidth="1"/>
    <col min="3" max="3" width="46.453125" style="7" customWidth="1"/>
    <col min="4" max="4" width="10.54296875" style="7" customWidth="1"/>
    <col min="5" max="5" width="10.7265625" style="262" customWidth="1"/>
    <col min="6" max="6" width="16.1796875" style="253" customWidth="1"/>
    <col min="7" max="7" width="18.1796875" style="7" customWidth="1"/>
    <col min="8" max="8" width="10.7265625" style="265" customWidth="1"/>
    <col min="9" max="9" width="30.7265625" style="7" customWidth="1"/>
    <col min="10" max="11" width="50.7265625" style="7" customWidth="1"/>
    <col min="12" max="12" width="15.54296875" style="7" customWidth="1"/>
    <col min="13" max="13" width="17.26953125" style="7" customWidth="1"/>
    <col min="14" max="16384" width="9.1796875" style="7"/>
  </cols>
  <sheetData>
    <row r="1" spans="1:9" ht="31" x14ac:dyDescent="0.35">
      <c r="A1" s="254"/>
      <c r="B1" s="479" t="s">
        <v>295</v>
      </c>
      <c r="C1" s="480"/>
      <c r="D1" s="481"/>
      <c r="E1" s="256" t="s">
        <v>65</v>
      </c>
      <c r="F1" s="256" t="s">
        <v>66</v>
      </c>
      <c r="G1" s="257" t="s">
        <v>102</v>
      </c>
      <c r="H1" s="256" t="s">
        <v>103</v>
      </c>
      <c r="I1" s="255" t="s">
        <v>104</v>
      </c>
    </row>
    <row r="2" spans="1:9" ht="21" x14ac:dyDescent="0.35">
      <c r="A2" s="482" t="s">
        <v>296</v>
      </c>
      <c r="B2" s="483"/>
      <c r="C2" s="483"/>
      <c r="D2" s="483"/>
      <c r="E2" s="483"/>
      <c r="F2" s="484"/>
      <c r="G2" s="191">
        <v>15</v>
      </c>
      <c r="H2" s="325">
        <f>MIN(SUM(H3,H45,H70,H93),15)</f>
        <v>0</v>
      </c>
      <c r="I2" s="192" t="s">
        <v>105</v>
      </c>
    </row>
    <row r="3" spans="1:9" ht="14.5" customHeight="1" x14ac:dyDescent="0.35">
      <c r="A3" s="193" t="s">
        <v>297</v>
      </c>
      <c r="B3" s="485" t="s">
        <v>298</v>
      </c>
      <c r="C3" s="486"/>
      <c r="D3" s="486"/>
      <c r="E3" s="486"/>
      <c r="F3" s="486"/>
      <c r="G3" s="194">
        <v>5</v>
      </c>
      <c r="H3" s="326">
        <f>MIN(SUM(H8,H12,H22,H35,H40,H44), 5)</f>
        <v>0</v>
      </c>
      <c r="I3" s="195"/>
    </row>
    <row r="4" spans="1:9" ht="15.5" x14ac:dyDescent="0.35">
      <c r="A4" s="196" t="s">
        <v>299</v>
      </c>
      <c r="B4" s="487" t="s">
        <v>300</v>
      </c>
      <c r="C4" s="487"/>
      <c r="D4" s="488"/>
      <c r="E4" s="197"/>
      <c r="F4" s="196"/>
      <c r="G4" s="196"/>
      <c r="H4" s="327"/>
      <c r="I4" s="196"/>
    </row>
    <row r="5" spans="1:9" ht="15.5" x14ac:dyDescent="0.35">
      <c r="A5" s="198" t="s">
        <v>301</v>
      </c>
      <c r="B5" s="489" t="s">
        <v>302</v>
      </c>
      <c r="C5" s="489"/>
      <c r="D5" s="489"/>
      <c r="E5" s="199"/>
      <c r="F5" s="198"/>
      <c r="G5" s="200"/>
      <c r="H5" s="328"/>
      <c r="I5" s="200"/>
    </row>
    <row r="6" spans="1:9" ht="80.25" customHeight="1" x14ac:dyDescent="0.35">
      <c r="A6" s="236" t="s">
        <v>223</v>
      </c>
      <c r="B6" s="471" t="s">
        <v>501</v>
      </c>
      <c r="C6" s="471"/>
      <c r="D6" s="471"/>
      <c r="E6" s="188"/>
      <c r="F6" s="180" t="s">
        <v>69</v>
      </c>
      <c r="G6" s="236" t="s">
        <v>258</v>
      </c>
      <c r="H6" s="181">
        <f>IF(E6="Y",0.5,0)</f>
        <v>0</v>
      </c>
      <c r="I6" s="212"/>
    </row>
    <row r="7" spans="1:9" ht="50.15" customHeight="1" x14ac:dyDescent="0.35">
      <c r="A7" s="236" t="s">
        <v>225</v>
      </c>
      <c r="B7" s="471" t="s">
        <v>502</v>
      </c>
      <c r="C7" s="471"/>
      <c r="D7" s="471"/>
      <c r="E7" s="188"/>
      <c r="F7" s="180" t="s">
        <v>69</v>
      </c>
      <c r="G7" s="236" t="s">
        <v>258</v>
      </c>
      <c r="H7" s="181">
        <f>IF(E7="Y",0.5,0)</f>
        <v>0</v>
      </c>
      <c r="I7" s="212"/>
    </row>
    <row r="8" spans="1:9" ht="15.5" x14ac:dyDescent="0.35">
      <c r="A8" s="476" t="s">
        <v>303</v>
      </c>
      <c r="B8" s="476"/>
      <c r="C8" s="476"/>
      <c r="D8" s="476"/>
      <c r="E8" s="476"/>
      <c r="F8" s="476"/>
      <c r="G8" s="476"/>
      <c r="H8" s="329">
        <f>SUM(H6:H7)</f>
        <v>0</v>
      </c>
      <c r="I8" s="201"/>
    </row>
    <row r="9" spans="1:9" ht="15.5" x14ac:dyDescent="0.35">
      <c r="A9" s="198" t="s">
        <v>304</v>
      </c>
      <c r="B9" s="477" t="s">
        <v>305</v>
      </c>
      <c r="C9" s="477"/>
      <c r="D9" s="477"/>
      <c r="E9" s="199"/>
      <c r="F9" s="198"/>
      <c r="G9" s="200"/>
      <c r="H9" s="328"/>
      <c r="I9" s="200"/>
    </row>
    <row r="10" spans="1:9" ht="128.5" customHeight="1" x14ac:dyDescent="0.35">
      <c r="A10" s="236" t="s">
        <v>74</v>
      </c>
      <c r="B10" s="426" t="s">
        <v>306</v>
      </c>
      <c r="C10" s="421"/>
      <c r="D10" s="478"/>
      <c r="E10" s="188"/>
      <c r="F10" s="180" t="s">
        <v>78</v>
      </c>
      <c r="G10" s="81" t="s">
        <v>307</v>
      </c>
      <c r="H10" s="181">
        <f>IF(E10=100,1,IF(E10&gt;=50,0.5,0))</f>
        <v>0</v>
      </c>
      <c r="I10" s="212"/>
    </row>
    <row r="11" spans="1:9" ht="81" customHeight="1" x14ac:dyDescent="0.35">
      <c r="A11" s="236" t="s">
        <v>76</v>
      </c>
      <c r="B11" s="421" t="s">
        <v>308</v>
      </c>
      <c r="C11" s="421"/>
      <c r="D11" s="421"/>
      <c r="E11" s="188"/>
      <c r="F11" s="180" t="s">
        <v>78</v>
      </c>
      <c r="G11" s="81" t="s">
        <v>307</v>
      </c>
      <c r="H11" s="181">
        <f>IF(E11&gt;=90,1,IF(E11&gt;=50,0.5,0))</f>
        <v>0</v>
      </c>
      <c r="I11" s="212"/>
    </row>
    <row r="12" spans="1:9" ht="15.5" x14ac:dyDescent="0.35">
      <c r="A12" s="476" t="s">
        <v>309</v>
      </c>
      <c r="B12" s="476"/>
      <c r="C12" s="476"/>
      <c r="D12" s="476"/>
      <c r="E12" s="476"/>
      <c r="F12" s="476"/>
      <c r="G12" s="476"/>
      <c r="H12" s="329">
        <f>SUM(H10:H11)</f>
        <v>0</v>
      </c>
      <c r="I12" s="201"/>
    </row>
    <row r="13" spans="1:9" ht="15.75" customHeight="1" x14ac:dyDescent="0.35">
      <c r="A13" s="196" t="s">
        <v>310</v>
      </c>
      <c r="B13" s="497" t="s">
        <v>311</v>
      </c>
      <c r="C13" s="497"/>
      <c r="D13" s="498"/>
      <c r="E13" s="197"/>
      <c r="F13" s="196"/>
      <c r="G13" s="196"/>
      <c r="H13" s="327"/>
      <c r="I13" s="196"/>
    </row>
    <row r="14" spans="1:9" ht="80.150000000000006" customHeight="1" thickBot="1" x14ac:dyDescent="0.4">
      <c r="A14" s="499"/>
      <c r="B14" s="439" t="s">
        <v>312</v>
      </c>
      <c r="C14" s="440"/>
      <c r="D14" s="478"/>
      <c r="E14" s="243"/>
      <c r="F14" s="235"/>
      <c r="G14" s="45"/>
      <c r="H14" s="181"/>
      <c r="I14" s="264"/>
    </row>
    <row r="15" spans="1:9" ht="15.5" x14ac:dyDescent="0.35">
      <c r="A15" s="500"/>
      <c r="B15" s="502" t="s">
        <v>313</v>
      </c>
      <c r="C15" s="503"/>
      <c r="D15" s="504"/>
      <c r="E15" s="505"/>
      <c r="F15" s="437"/>
      <c r="G15" s="434"/>
      <c r="H15" s="366"/>
      <c r="I15" s="490"/>
    </row>
    <row r="16" spans="1:9" ht="15" customHeight="1" x14ac:dyDescent="0.35">
      <c r="A16" s="500"/>
      <c r="B16" s="493" t="s">
        <v>314</v>
      </c>
      <c r="C16" s="494"/>
      <c r="D16" s="452"/>
      <c r="E16" s="505"/>
      <c r="F16" s="437"/>
      <c r="G16" s="434"/>
      <c r="H16" s="366"/>
      <c r="I16" s="491"/>
    </row>
    <row r="17" spans="1:9" ht="55" x14ac:dyDescent="0.35">
      <c r="A17" s="500"/>
      <c r="B17" s="202" t="s">
        <v>315</v>
      </c>
      <c r="C17" s="203" t="s">
        <v>316</v>
      </c>
      <c r="D17" s="452"/>
      <c r="E17" s="505"/>
      <c r="F17" s="437"/>
      <c r="G17" s="434"/>
      <c r="H17" s="366"/>
      <c r="I17" s="491"/>
    </row>
    <row r="18" spans="1:9" ht="43" customHeight="1" x14ac:dyDescent="0.35">
      <c r="A18" s="500"/>
      <c r="B18" s="204" t="s">
        <v>317</v>
      </c>
      <c r="C18" s="203" t="s">
        <v>318</v>
      </c>
      <c r="D18" s="452"/>
      <c r="E18" s="505"/>
      <c r="F18" s="437"/>
      <c r="G18" s="434"/>
      <c r="H18" s="366"/>
      <c r="I18" s="491"/>
    </row>
    <row r="19" spans="1:9" ht="67" customHeight="1" thickBot="1" x14ac:dyDescent="0.4">
      <c r="A19" s="500"/>
      <c r="B19" s="495" t="s">
        <v>319</v>
      </c>
      <c r="C19" s="496"/>
      <c r="D19" s="453"/>
      <c r="E19" s="505"/>
      <c r="F19" s="437"/>
      <c r="G19" s="434"/>
      <c r="H19" s="366"/>
      <c r="I19" s="492"/>
    </row>
    <row r="20" spans="1:9" ht="30" customHeight="1" x14ac:dyDescent="0.35">
      <c r="A20" s="500"/>
      <c r="B20" s="506" t="s">
        <v>503</v>
      </c>
      <c r="C20" s="507"/>
      <c r="D20" s="508"/>
      <c r="E20" s="188"/>
      <c r="F20" s="180" t="s">
        <v>320</v>
      </c>
      <c r="G20" s="365" t="s">
        <v>321</v>
      </c>
      <c r="H20" s="402">
        <f>IF(AND(E20="A",E21&gt;=60),1,0)+IF(AND(E20="B",E21&gt;=80),0.5,0)</f>
        <v>0</v>
      </c>
      <c r="I20" s="511"/>
    </row>
    <row r="21" spans="1:9" ht="28.5" customHeight="1" x14ac:dyDescent="0.35">
      <c r="A21" s="501"/>
      <c r="B21" s="441"/>
      <c r="C21" s="428"/>
      <c r="D21" s="442"/>
      <c r="E21" s="188"/>
      <c r="F21" s="180" t="s">
        <v>78</v>
      </c>
      <c r="G21" s="365"/>
      <c r="H21" s="404"/>
      <c r="I21" s="512"/>
    </row>
    <row r="22" spans="1:9" ht="15.5" x14ac:dyDescent="0.35">
      <c r="A22" s="476" t="s">
        <v>322</v>
      </c>
      <c r="B22" s="476"/>
      <c r="C22" s="476"/>
      <c r="D22" s="476"/>
      <c r="E22" s="476"/>
      <c r="F22" s="476"/>
      <c r="G22" s="476"/>
      <c r="H22" s="329">
        <f>H20</f>
        <v>0</v>
      </c>
      <c r="I22" s="201"/>
    </row>
    <row r="23" spans="1:9" ht="15.5" x14ac:dyDescent="0.35">
      <c r="A23" s="196" t="s">
        <v>323</v>
      </c>
      <c r="B23" s="497" t="s">
        <v>324</v>
      </c>
      <c r="C23" s="497"/>
      <c r="D23" s="497"/>
      <c r="E23" s="197"/>
      <c r="F23" s="205"/>
      <c r="G23" s="196"/>
      <c r="H23" s="327"/>
      <c r="I23" s="196"/>
    </row>
    <row r="24" spans="1:9" ht="15.75" customHeight="1" x14ac:dyDescent="0.35">
      <c r="A24" s="198" t="s">
        <v>325</v>
      </c>
      <c r="B24" s="477" t="s">
        <v>326</v>
      </c>
      <c r="C24" s="477"/>
      <c r="D24" s="477"/>
      <c r="E24" s="199"/>
      <c r="F24" s="206"/>
      <c r="G24" s="200"/>
      <c r="H24" s="328"/>
      <c r="I24" s="200"/>
    </row>
    <row r="25" spans="1:9" ht="136.5" customHeight="1" x14ac:dyDescent="0.35">
      <c r="A25" s="422" t="s">
        <v>223</v>
      </c>
      <c r="B25" s="443" t="s">
        <v>327</v>
      </c>
      <c r="C25" s="443"/>
      <c r="D25" s="443"/>
      <c r="E25" s="243"/>
      <c r="F25" s="207"/>
      <c r="G25" s="236"/>
      <c r="H25" s="181"/>
      <c r="I25" s="189"/>
    </row>
    <row r="26" spans="1:9" ht="15.5" x14ac:dyDescent="0.35">
      <c r="A26" s="423"/>
      <c r="B26" s="509" t="s">
        <v>504</v>
      </c>
      <c r="C26" s="443"/>
      <c r="D26" s="510"/>
      <c r="E26" s="188"/>
      <c r="F26" s="207" t="s">
        <v>69</v>
      </c>
      <c r="G26" s="429" t="s">
        <v>307</v>
      </c>
      <c r="H26" s="402">
        <f>IF(AND(E26="Y",E27="Y",E28&gt;=90),1,IF(AND(E26="Y",E27="Y",E28&gt;=50),0.5,0))</f>
        <v>0</v>
      </c>
      <c r="I26" s="189"/>
    </row>
    <row r="27" spans="1:9" ht="47.5" customHeight="1" x14ac:dyDescent="0.35">
      <c r="A27" s="423"/>
      <c r="B27" s="509" t="s">
        <v>505</v>
      </c>
      <c r="C27" s="443"/>
      <c r="D27" s="510"/>
      <c r="E27" s="188"/>
      <c r="F27" s="207" t="s">
        <v>69</v>
      </c>
      <c r="G27" s="423"/>
      <c r="H27" s="403"/>
      <c r="I27" s="189"/>
    </row>
    <row r="28" spans="1:9" ht="48" customHeight="1" x14ac:dyDescent="0.35">
      <c r="A28" s="424"/>
      <c r="B28" s="509" t="s">
        <v>328</v>
      </c>
      <c r="C28" s="443"/>
      <c r="D28" s="510"/>
      <c r="E28" s="188"/>
      <c r="F28" s="207" t="s">
        <v>78</v>
      </c>
      <c r="G28" s="424"/>
      <c r="H28" s="404"/>
      <c r="I28" s="189"/>
    </row>
    <row r="29" spans="1:9" ht="15.5" x14ac:dyDescent="0.35">
      <c r="A29" s="422" t="s">
        <v>225</v>
      </c>
      <c r="B29" s="513" t="s">
        <v>329</v>
      </c>
      <c r="C29" s="514"/>
      <c r="D29" s="515"/>
      <c r="E29" s="243"/>
      <c r="F29" s="207"/>
      <c r="G29" s="238"/>
      <c r="H29" s="322"/>
      <c r="I29" s="189"/>
    </row>
    <row r="30" spans="1:9" ht="15.5" x14ac:dyDescent="0.35">
      <c r="A30" s="423"/>
      <c r="B30" s="516" t="s">
        <v>528</v>
      </c>
      <c r="C30" s="514"/>
      <c r="D30" s="515"/>
      <c r="E30" s="188"/>
      <c r="F30" s="164" t="s">
        <v>72</v>
      </c>
      <c r="G30" s="236" t="s">
        <v>113</v>
      </c>
      <c r="H30" s="181">
        <f>IF(ISBLANK(E30),0,IF(AND(E30&lt;=0.5,E30&gt;=-0.5),1,0))</f>
        <v>0</v>
      </c>
      <c r="I30" s="189"/>
    </row>
    <row r="31" spans="1:9" ht="36" customHeight="1" x14ac:dyDescent="0.35">
      <c r="A31" s="423"/>
      <c r="B31" s="516" t="s">
        <v>330</v>
      </c>
      <c r="C31" s="514"/>
      <c r="D31" s="515"/>
      <c r="E31" s="188"/>
      <c r="F31" s="164" t="s">
        <v>78</v>
      </c>
      <c r="G31" s="236" t="s">
        <v>113</v>
      </c>
      <c r="H31" s="181">
        <f>IF(E31&gt;=70,1,0)</f>
        <v>0</v>
      </c>
      <c r="I31" s="189"/>
    </row>
    <row r="32" spans="1:9" ht="15.5" x14ac:dyDescent="0.35">
      <c r="A32" s="423"/>
      <c r="B32" s="517" t="s">
        <v>331</v>
      </c>
      <c r="C32" s="517"/>
      <c r="D32" s="517"/>
      <c r="E32" s="208"/>
      <c r="F32" s="164"/>
      <c r="G32" s="236"/>
      <c r="H32" s="181"/>
      <c r="I32" s="189"/>
    </row>
    <row r="33" spans="1:9" ht="46.5" x14ac:dyDescent="0.35">
      <c r="A33" s="423"/>
      <c r="B33" s="518" t="s">
        <v>332</v>
      </c>
      <c r="C33" s="518"/>
      <c r="D33" s="518"/>
      <c r="E33" s="188"/>
      <c r="F33" s="164" t="s">
        <v>78</v>
      </c>
      <c r="G33" s="81" t="s">
        <v>333</v>
      </c>
      <c r="H33" s="181">
        <f>MIN(ROUNDDOWN(E33*0.01,1),0.5)</f>
        <v>0</v>
      </c>
      <c r="I33" s="189"/>
    </row>
    <row r="34" spans="1:9" ht="228" customHeight="1" x14ac:dyDescent="0.35">
      <c r="A34" s="424"/>
      <c r="B34" s="519" t="s">
        <v>334</v>
      </c>
      <c r="C34" s="519"/>
      <c r="D34" s="519"/>
      <c r="E34" s="188"/>
      <c r="F34" s="164" t="s">
        <v>78</v>
      </c>
      <c r="G34" s="81" t="s">
        <v>307</v>
      </c>
      <c r="H34" s="181">
        <f>IF(E34&gt;=70,1,IF(E34&gt;=50,0.5,0))</f>
        <v>0</v>
      </c>
      <c r="I34" s="189"/>
    </row>
    <row r="35" spans="1:9" ht="15.5" x14ac:dyDescent="0.35">
      <c r="A35" s="476" t="s">
        <v>335</v>
      </c>
      <c r="B35" s="476"/>
      <c r="C35" s="476"/>
      <c r="D35" s="476"/>
      <c r="E35" s="476"/>
      <c r="F35" s="476"/>
      <c r="G35" s="476"/>
      <c r="H35" s="329">
        <f>SUM(H26,MAX(H30,H31,MIN(SUM(H33:H34),1)))</f>
        <v>0</v>
      </c>
      <c r="I35" s="201"/>
    </row>
    <row r="36" spans="1:9" ht="15.75" customHeight="1" x14ac:dyDescent="0.35">
      <c r="A36" s="198" t="s">
        <v>336</v>
      </c>
      <c r="B36" s="520" t="s">
        <v>337</v>
      </c>
      <c r="C36" s="520"/>
      <c r="D36" s="520"/>
      <c r="E36" s="199"/>
      <c r="F36" s="198"/>
      <c r="G36" s="200"/>
      <c r="H36" s="328"/>
      <c r="I36" s="200"/>
    </row>
    <row r="37" spans="1:9" ht="81" customHeight="1" x14ac:dyDescent="0.35">
      <c r="A37" s="43" t="s">
        <v>74</v>
      </c>
      <c r="B37" s="471" t="s">
        <v>338</v>
      </c>
      <c r="C37" s="471"/>
      <c r="D37" s="471"/>
      <c r="E37" s="188"/>
      <c r="F37" s="164" t="s">
        <v>320</v>
      </c>
      <c r="G37" s="81" t="s">
        <v>226</v>
      </c>
      <c r="H37" s="181">
        <f>IF(E37="A",1,IF(E37="B",2,0))</f>
        <v>0</v>
      </c>
      <c r="I37" s="189"/>
    </row>
    <row r="38" spans="1:9" ht="33.65" customHeight="1" x14ac:dyDescent="0.35">
      <c r="A38" s="43" t="s">
        <v>76</v>
      </c>
      <c r="B38" s="471" t="s">
        <v>339</v>
      </c>
      <c r="C38" s="471"/>
      <c r="D38" s="471"/>
      <c r="E38" s="188"/>
      <c r="F38" s="164" t="s">
        <v>69</v>
      </c>
      <c r="G38" s="81" t="s">
        <v>258</v>
      </c>
      <c r="H38" s="181">
        <f>IF(E38="Y",0.5,0)</f>
        <v>0</v>
      </c>
      <c r="I38" s="189"/>
    </row>
    <row r="39" spans="1:9" ht="63" customHeight="1" x14ac:dyDescent="0.35">
      <c r="A39" s="43" t="s">
        <v>79</v>
      </c>
      <c r="B39" s="471" t="s">
        <v>340</v>
      </c>
      <c r="C39" s="471"/>
      <c r="D39" s="471"/>
      <c r="E39" s="188"/>
      <c r="F39" s="164" t="s">
        <v>320</v>
      </c>
      <c r="G39" s="81" t="s">
        <v>307</v>
      </c>
      <c r="H39" s="181">
        <f>IF(E39="A",0.5,IF(E39="B",1,0))</f>
        <v>0</v>
      </c>
      <c r="I39" s="189"/>
    </row>
    <row r="40" spans="1:9" ht="15.5" x14ac:dyDescent="0.35">
      <c r="A40" s="476" t="s">
        <v>341</v>
      </c>
      <c r="B40" s="476"/>
      <c r="C40" s="476"/>
      <c r="D40" s="476"/>
      <c r="E40" s="476"/>
      <c r="F40" s="476"/>
      <c r="G40" s="476"/>
      <c r="H40" s="329">
        <f>SUM(H37:H39)</f>
        <v>0</v>
      </c>
      <c r="I40" s="201"/>
    </row>
    <row r="41" spans="1:9" ht="15.75" customHeight="1" x14ac:dyDescent="0.35">
      <c r="A41" s="198" t="s">
        <v>342</v>
      </c>
      <c r="B41" s="520" t="s">
        <v>343</v>
      </c>
      <c r="C41" s="520"/>
      <c r="D41" s="520"/>
      <c r="E41" s="199"/>
      <c r="F41" s="198"/>
      <c r="G41" s="200"/>
      <c r="H41" s="328"/>
      <c r="I41" s="200"/>
    </row>
    <row r="42" spans="1:9" ht="17.5" customHeight="1" x14ac:dyDescent="0.35">
      <c r="A42" s="43" t="s">
        <v>74</v>
      </c>
      <c r="B42" s="521" t="s">
        <v>344</v>
      </c>
      <c r="C42" s="521"/>
      <c r="D42" s="521"/>
      <c r="E42" s="188"/>
      <c r="F42" s="164" t="s">
        <v>69</v>
      </c>
      <c r="G42" s="81" t="s">
        <v>258</v>
      </c>
      <c r="H42" s="181">
        <f>IF(E42="Y",0.5,0)</f>
        <v>0</v>
      </c>
      <c r="I42" s="189"/>
    </row>
    <row r="43" spans="1:9" ht="64.5" customHeight="1" x14ac:dyDescent="0.35">
      <c r="A43" s="43" t="s">
        <v>76</v>
      </c>
      <c r="B43" s="471" t="s">
        <v>345</v>
      </c>
      <c r="C43" s="471"/>
      <c r="D43" s="471"/>
      <c r="E43" s="188"/>
      <c r="F43" s="164" t="s">
        <v>69</v>
      </c>
      <c r="G43" s="81" t="s">
        <v>113</v>
      </c>
      <c r="H43" s="181">
        <f>IF(E43="Y",1,0)</f>
        <v>0</v>
      </c>
      <c r="I43" s="189"/>
    </row>
    <row r="44" spans="1:9" ht="15.5" x14ac:dyDescent="0.35">
      <c r="A44" s="476" t="s">
        <v>346</v>
      </c>
      <c r="B44" s="476"/>
      <c r="C44" s="476"/>
      <c r="D44" s="476"/>
      <c r="E44" s="476"/>
      <c r="F44" s="476"/>
      <c r="G44" s="476"/>
      <c r="H44" s="329">
        <f>SUM(H42:H43)</f>
        <v>0</v>
      </c>
      <c r="I44" s="201"/>
    </row>
    <row r="45" spans="1:9" ht="15.5" x14ac:dyDescent="0.35">
      <c r="A45" s="193" t="s">
        <v>347</v>
      </c>
      <c r="B45" s="522" t="s">
        <v>348</v>
      </c>
      <c r="C45" s="522"/>
      <c r="D45" s="522"/>
      <c r="E45" s="522"/>
      <c r="F45" s="522"/>
      <c r="G45" s="193">
        <v>5</v>
      </c>
      <c r="H45" s="330">
        <f>MIN(SUM(H52,H58,H62,H69),5)</f>
        <v>0</v>
      </c>
      <c r="I45" s="209"/>
    </row>
    <row r="46" spans="1:9" ht="15.5" x14ac:dyDescent="0.35">
      <c r="A46" s="196" t="s">
        <v>349</v>
      </c>
      <c r="B46" s="523" t="s">
        <v>350</v>
      </c>
      <c r="C46" s="524"/>
      <c r="D46" s="524"/>
      <c r="E46" s="197"/>
      <c r="F46" s="196"/>
      <c r="G46" s="196">
        <v>5</v>
      </c>
      <c r="H46" s="327"/>
      <c r="I46" s="196"/>
    </row>
    <row r="47" spans="1:9" ht="48.65" customHeight="1" x14ac:dyDescent="0.35">
      <c r="A47" s="210"/>
      <c r="B47" s="466" t="s">
        <v>351</v>
      </c>
      <c r="C47" s="466"/>
      <c r="D47" s="466"/>
      <c r="E47" s="243"/>
      <c r="F47" s="164"/>
      <c r="G47" s="81"/>
      <c r="H47" s="181"/>
      <c r="I47" s="189"/>
    </row>
    <row r="48" spans="1:9" ht="15.75" customHeight="1" x14ac:dyDescent="0.35">
      <c r="A48" s="43" t="s">
        <v>74</v>
      </c>
      <c r="B48" s="471" t="s">
        <v>352</v>
      </c>
      <c r="C48" s="471"/>
      <c r="D48" s="471"/>
      <c r="E48" s="188"/>
      <c r="F48" s="164" t="s">
        <v>69</v>
      </c>
      <c r="G48" s="81" t="s">
        <v>113</v>
      </c>
      <c r="H48" s="181">
        <f>IF(E48="Y",1,0)</f>
        <v>0</v>
      </c>
      <c r="I48" s="189"/>
    </row>
    <row r="49" spans="1:9" ht="32.15" customHeight="1" x14ac:dyDescent="0.35">
      <c r="A49" s="43" t="s">
        <v>76</v>
      </c>
      <c r="B49" s="471" t="s">
        <v>353</v>
      </c>
      <c r="C49" s="471"/>
      <c r="D49" s="471"/>
      <c r="E49" s="188"/>
      <c r="F49" s="164" t="s">
        <v>69</v>
      </c>
      <c r="G49" s="81" t="s">
        <v>258</v>
      </c>
      <c r="H49" s="181">
        <f t="shared" ref="H49:H51" si="0">IF(E49="Y",0.5,0)</f>
        <v>0</v>
      </c>
      <c r="I49" s="189"/>
    </row>
    <row r="50" spans="1:9" ht="32.15" customHeight="1" x14ac:dyDescent="0.35">
      <c r="A50" s="43" t="s">
        <v>79</v>
      </c>
      <c r="B50" s="471" t="s">
        <v>354</v>
      </c>
      <c r="C50" s="471"/>
      <c r="D50" s="471"/>
      <c r="E50" s="188"/>
      <c r="F50" s="164" t="s">
        <v>69</v>
      </c>
      <c r="G50" s="81" t="s">
        <v>258</v>
      </c>
      <c r="H50" s="181">
        <f t="shared" si="0"/>
        <v>0</v>
      </c>
      <c r="I50" s="189"/>
    </row>
    <row r="51" spans="1:9" ht="31.5" customHeight="1" x14ac:dyDescent="0.35">
      <c r="A51" s="43" t="s">
        <v>84</v>
      </c>
      <c r="B51" s="471" t="s">
        <v>355</v>
      </c>
      <c r="C51" s="471" t="s">
        <v>242</v>
      </c>
      <c r="D51" s="471"/>
      <c r="E51" s="188"/>
      <c r="F51" s="164" t="s">
        <v>69</v>
      </c>
      <c r="G51" s="81" t="s">
        <v>258</v>
      </c>
      <c r="H51" s="181">
        <f t="shared" si="0"/>
        <v>0</v>
      </c>
      <c r="I51" s="189"/>
    </row>
    <row r="52" spans="1:9" ht="15.5" x14ac:dyDescent="0.35">
      <c r="A52" s="476" t="s">
        <v>356</v>
      </c>
      <c r="B52" s="476"/>
      <c r="C52" s="476"/>
      <c r="D52" s="476"/>
      <c r="E52" s="476"/>
      <c r="F52" s="476"/>
      <c r="G52" s="476"/>
      <c r="H52" s="329">
        <f>SUM(H48:H51)</f>
        <v>0</v>
      </c>
      <c r="I52" s="201"/>
    </row>
    <row r="53" spans="1:9" ht="15.5" x14ac:dyDescent="0.35">
      <c r="A53" s="196" t="s">
        <v>357</v>
      </c>
      <c r="B53" s="523" t="s">
        <v>358</v>
      </c>
      <c r="C53" s="524"/>
      <c r="D53" s="524"/>
      <c r="E53" s="197"/>
      <c r="F53" s="196"/>
      <c r="G53" s="196"/>
      <c r="H53" s="327"/>
      <c r="I53" s="196"/>
    </row>
    <row r="54" spans="1:9" ht="32.15" customHeight="1" x14ac:dyDescent="0.35">
      <c r="A54" s="43"/>
      <c r="B54" s="471" t="s">
        <v>359</v>
      </c>
      <c r="C54" s="471"/>
      <c r="D54" s="471"/>
      <c r="E54" s="243"/>
      <c r="F54" s="180"/>
      <c r="G54" s="236"/>
      <c r="H54" s="181"/>
      <c r="I54" s="142"/>
    </row>
    <row r="55" spans="1:9" ht="99.65" customHeight="1" x14ac:dyDescent="0.35">
      <c r="A55" s="43" t="s">
        <v>74</v>
      </c>
      <c r="B55" s="471" t="s">
        <v>526</v>
      </c>
      <c r="C55" s="471"/>
      <c r="D55" s="471"/>
      <c r="E55" s="188"/>
      <c r="F55" s="164" t="s">
        <v>320</v>
      </c>
      <c r="G55" s="81" t="s">
        <v>307</v>
      </c>
      <c r="H55" s="181">
        <f>IF(E55="A",0.5,IF(E55="B",1,0))</f>
        <v>0</v>
      </c>
      <c r="I55" s="142"/>
    </row>
    <row r="56" spans="1:9" ht="64.5" customHeight="1" x14ac:dyDescent="0.35">
      <c r="A56" s="43" t="s">
        <v>76</v>
      </c>
      <c r="B56" s="471" t="s">
        <v>360</v>
      </c>
      <c r="C56" s="471"/>
      <c r="D56" s="471"/>
      <c r="E56" s="188"/>
      <c r="F56" s="180" t="s">
        <v>69</v>
      </c>
      <c r="G56" s="236" t="s">
        <v>258</v>
      </c>
      <c r="H56" s="181">
        <f t="shared" ref="H56" si="1">IF(E56="Y",0.5,0)</f>
        <v>0</v>
      </c>
      <c r="I56" s="142"/>
    </row>
    <row r="57" spans="1:9" ht="65.150000000000006" customHeight="1" x14ac:dyDescent="0.35">
      <c r="A57" s="43" t="s">
        <v>79</v>
      </c>
      <c r="B57" s="471" t="s">
        <v>361</v>
      </c>
      <c r="C57" s="471" t="s">
        <v>246</v>
      </c>
      <c r="D57" s="471"/>
      <c r="E57" s="188"/>
      <c r="F57" s="180" t="s">
        <v>320</v>
      </c>
      <c r="G57" s="81" t="s">
        <v>226</v>
      </c>
      <c r="H57" s="181">
        <f>IF(E57="A",1,IF(E57="B",2,0))</f>
        <v>0</v>
      </c>
      <c r="I57" s="142"/>
    </row>
    <row r="58" spans="1:9" ht="15.5" x14ac:dyDescent="0.35">
      <c r="A58" s="476" t="s">
        <v>362</v>
      </c>
      <c r="B58" s="476"/>
      <c r="C58" s="476"/>
      <c r="D58" s="476"/>
      <c r="E58" s="476"/>
      <c r="F58" s="476"/>
      <c r="G58" s="476"/>
      <c r="H58" s="329">
        <f>SUM(H55:H57)</f>
        <v>0</v>
      </c>
      <c r="I58" s="201"/>
    </row>
    <row r="59" spans="1:9" ht="15.5" x14ac:dyDescent="0.35">
      <c r="A59" s="196" t="s">
        <v>363</v>
      </c>
      <c r="B59" s="523" t="s">
        <v>364</v>
      </c>
      <c r="C59" s="524" t="s">
        <v>248</v>
      </c>
      <c r="D59" s="524"/>
      <c r="E59" s="197"/>
      <c r="F59" s="196"/>
      <c r="G59" s="196"/>
      <c r="H59" s="327"/>
      <c r="I59" s="196"/>
    </row>
    <row r="60" spans="1:9" ht="15.75" customHeight="1" x14ac:dyDescent="0.35">
      <c r="A60" s="198" t="s">
        <v>365</v>
      </c>
      <c r="B60" s="520" t="s">
        <v>366</v>
      </c>
      <c r="C60" s="520"/>
      <c r="D60" s="520"/>
      <c r="E60" s="199"/>
      <c r="F60" s="198"/>
      <c r="G60" s="200"/>
      <c r="H60" s="328"/>
      <c r="I60" s="200"/>
    </row>
    <row r="61" spans="1:9" ht="97.5" customHeight="1" x14ac:dyDescent="0.35">
      <c r="A61" s="43"/>
      <c r="B61" s="471" t="s">
        <v>367</v>
      </c>
      <c r="C61" s="471"/>
      <c r="D61" s="471"/>
      <c r="E61" s="188"/>
      <c r="F61" s="180" t="s">
        <v>69</v>
      </c>
      <c r="G61" s="81" t="s">
        <v>258</v>
      </c>
      <c r="H61" s="181">
        <f t="shared" ref="H61" si="2">IF(E61="Y",0.5,0)</f>
        <v>0</v>
      </c>
      <c r="I61" s="142"/>
    </row>
    <row r="62" spans="1:9" ht="15.5" x14ac:dyDescent="0.35">
      <c r="A62" s="476" t="s">
        <v>368</v>
      </c>
      <c r="B62" s="476"/>
      <c r="C62" s="476"/>
      <c r="D62" s="476"/>
      <c r="E62" s="476"/>
      <c r="F62" s="476"/>
      <c r="G62" s="476"/>
      <c r="H62" s="329">
        <f>H61</f>
        <v>0</v>
      </c>
      <c r="I62" s="201"/>
    </row>
    <row r="63" spans="1:9" ht="15.75" customHeight="1" x14ac:dyDescent="0.35">
      <c r="A63" s="198" t="s">
        <v>369</v>
      </c>
      <c r="B63" s="520" t="s">
        <v>370</v>
      </c>
      <c r="C63" s="520"/>
      <c r="D63" s="520"/>
      <c r="E63" s="199"/>
      <c r="F63" s="198" t="s">
        <v>78</v>
      </c>
      <c r="G63" s="200"/>
      <c r="H63" s="328"/>
      <c r="I63" s="200"/>
    </row>
    <row r="64" spans="1:9" ht="15.5" x14ac:dyDescent="0.35">
      <c r="A64" s="43"/>
      <c r="B64" s="471" t="s">
        <v>371</v>
      </c>
      <c r="C64" s="525"/>
      <c r="D64" s="525"/>
      <c r="E64" s="243"/>
      <c r="F64" s="180"/>
      <c r="G64" s="81"/>
      <c r="H64" s="181"/>
      <c r="I64" s="142"/>
    </row>
    <row r="65" spans="1:9" ht="33.65" customHeight="1" x14ac:dyDescent="0.35">
      <c r="A65" s="43" t="s">
        <v>74</v>
      </c>
      <c r="B65" s="471" t="s">
        <v>372</v>
      </c>
      <c r="C65" s="525"/>
      <c r="D65" s="525"/>
      <c r="E65" s="243" t="s">
        <v>120</v>
      </c>
      <c r="F65" s="180" t="s">
        <v>120</v>
      </c>
      <c r="G65" s="81" t="s">
        <v>120</v>
      </c>
      <c r="H65" s="181" t="s">
        <v>120</v>
      </c>
      <c r="I65" s="142"/>
    </row>
    <row r="66" spans="1:9" ht="80.150000000000006" customHeight="1" x14ac:dyDescent="0.35">
      <c r="A66" s="43" t="s">
        <v>76</v>
      </c>
      <c r="B66" s="471" t="s">
        <v>506</v>
      </c>
      <c r="C66" s="525"/>
      <c r="D66" s="525"/>
      <c r="E66" s="188"/>
      <c r="F66" s="180" t="s">
        <v>69</v>
      </c>
      <c r="G66" s="81" t="s">
        <v>258</v>
      </c>
      <c r="H66" s="181">
        <f t="shared" ref="H66:H67" si="3">IF(E66="Y",0.5,0)</f>
        <v>0</v>
      </c>
      <c r="I66" s="142"/>
    </row>
    <row r="67" spans="1:9" ht="34" customHeight="1" x14ac:dyDescent="0.35">
      <c r="A67" s="43" t="s">
        <v>79</v>
      </c>
      <c r="B67" s="471" t="s">
        <v>373</v>
      </c>
      <c r="C67" s="525"/>
      <c r="D67" s="525"/>
      <c r="E67" s="188"/>
      <c r="F67" s="180" t="s">
        <v>69</v>
      </c>
      <c r="G67" s="81" t="s">
        <v>258</v>
      </c>
      <c r="H67" s="181">
        <f t="shared" si="3"/>
        <v>0</v>
      </c>
      <c r="I67" s="142"/>
    </row>
    <row r="68" spans="1:9" ht="49" customHeight="1" x14ac:dyDescent="0.35">
      <c r="A68" s="43" t="s">
        <v>84</v>
      </c>
      <c r="B68" s="471" t="s">
        <v>374</v>
      </c>
      <c r="C68" s="525"/>
      <c r="D68" s="525"/>
      <c r="E68" s="188"/>
      <c r="F68" s="180" t="s">
        <v>69</v>
      </c>
      <c r="G68" s="81" t="s">
        <v>113</v>
      </c>
      <c r="H68" s="181">
        <f>IF(E68="Y",1,0)</f>
        <v>0</v>
      </c>
      <c r="I68" s="142"/>
    </row>
    <row r="69" spans="1:9" ht="15.5" x14ac:dyDescent="0.35">
      <c r="A69" s="476" t="s">
        <v>375</v>
      </c>
      <c r="B69" s="476"/>
      <c r="C69" s="476"/>
      <c r="D69" s="476"/>
      <c r="E69" s="476"/>
      <c r="F69" s="476"/>
      <c r="G69" s="476"/>
      <c r="H69" s="329">
        <f>SUM(H66:H68)</f>
        <v>0</v>
      </c>
      <c r="I69" s="201"/>
    </row>
    <row r="70" spans="1:9" ht="15.5" x14ac:dyDescent="0.35">
      <c r="A70" s="193" t="s">
        <v>376</v>
      </c>
      <c r="B70" s="522" t="s">
        <v>377</v>
      </c>
      <c r="C70" s="522"/>
      <c r="D70" s="522"/>
      <c r="E70" s="522"/>
      <c r="F70" s="522" t="s">
        <v>72</v>
      </c>
      <c r="G70" s="193">
        <v>5</v>
      </c>
      <c r="H70" s="330">
        <f>MIN(SUM(H73,H79,H82,H86,H92),5)</f>
        <v>0</v>
      </c>
      <c r="I70" s="209"/>
    </row>
    <row r="71" spans="1:9" ht="15.5" x14ac:dyDescent="0.35">
      <c r="A71" s="196" t="s">
        <v>378</v>
      </c>
      <c r="B71" s="523" t="s">
        <v>379</v>
      </c>
      <c r="C71" s="524"/>
      <c r="D71" s="524"/>
      <c r="E71" s="197"/>
      <c r="F71" s="196" t="s">
        <v>72</v>
      </c>
      <c r="G71" s="196" t="s">
        <v>120</v>
      </c>
      <c r="H71" s="327"/>
      <c r="I71" s="196"/>
    </row>
    <row r="72" spans="1:9" ht="50.25" customHeight="1" x14ac:dyDescent="0.35">
      <c r="A72" s="43"/>
      <c r="B72" s="525" t="s">
        <v>380</v>
      </c>
      <c r="C72" s="525"/>
      <c r="D72" s="525"/>
      <c r="E72" s="188"/>
      <c r="F72" s="180" t="s">
        <v>320</v>
      </c>
      <c r="G72" s="81" t="s">
        <v>226</v>
      </c>
      <c r="H72" s="181">
        <f>IF(E72="A",1,IF(E72="B",2,0))</f>
        <v>0</v>
      </c>
      <c r="I72" s="142"/>
    </row>
    <row r="73" spans="1:9" ht="15.5" x14ac:dyDescent="0.35">
      <c r="A73" s="476" t="s">
        <v>381</v>
      </c>
      <c r="B73" s="476"/>
      <c r="C73" s="476"/>
      <c r="D73" s="476"/>
      <c r="E73" s="476"/>
      <c r="F73" s="476"/>
      <c r="G73" s="476"/>
      <c r="H73" s="329">
        <f>H72</f>
        <v>0</v>
      </c>
      <c r="I73" s="201"/>
    </row>
    <row r="74" spans="1:9" ht="15.5" x14ac:dyDescent="0.35">
      <c r="A74" s="196" t="s">
        <v>382</v>
      </c>
      <c r="B74" s="523" t="s">
        <v>383</v>
      </c>
      <c r="C74" s="524"/>
      <c r="D74" s="524"/>
      <c r="E74" s="197"/>
      <c r="F74" s="196"/>
      <c r="G74" s="196"/>
      <c r="H74" s="327"/>
      <c r="I74" s="196"/>
    </row>
    <row r="75" spans="1:9" ht="15.75" customHeight="1" x14ac:dyDescent="0.35">
      <c r="A75" s="198" t="s">
        <v>384</v>
      </c>
      <c r="B75" s="520" t="s">
        <v>385</v>
      </c>
      <c r="C75" s="520"/>
      <c r="D75" s="520"/>
      <c r="E75" s="199"/>
      <c r="F75" s="198"/>
      <c r="G75" s="200"/>
      <c r="H75" s="328"/>
      <c r="I75" s="200"/>
    </row>
    <row r="76" spans="1:9" ht="79.5" customHeight="1" x14ac:dyDescent="0.35">
      <c r="A76" s="43"/>
      <c r="B76" s="471" t="s">
        <v>386</v>
      </c>
      <c r="C76" s="471"/>
      <c r="D76" s="471"/>
      <c r="E76" s="243"/>
      <c r="F76" s="180"/>
      <c r="G76" s="182"/>
      <c r="H76" s="324"/>
      <c r="I76" s="213"/>
    </row>
    <row r="77" spans="1:9" ht="51" customHeight="1" x14ac:dyDescent="0.35">
      <c r="A77" s="43" t="s">
        <v>74</v>
      </c>
      <c r="B77" s="471" t="s">
        <v>387</v>
      </c>
      <c r="C77" s="471"/>
      <c r="D77" s="471"/>
      <c r="E77" s="188"/>
      <c r="F77" s="180" t="s">
        <v>69</v>
      </c>
      <c r="G77" s="81" t="s">
        <v>168</v>
      </c>
      <c r="H77" s="181">
        <f>IF(E77="Y",0.5,0)</f>
        <v>0</v>
      </c>
      <c r="I77" s="213"/>
    </row>
    <row r="78" spans="1:9" ht="48.75" customHeight="1" x14ac:dyDescent="0.35">
      <c r="A78" s="43" t="s">
        <v>76</v>
      </c>
      <c r="B78" s="471" t="s">
        <v>388</v>
      </c>
      <c r="C78" s="471"/>
      <c r="D78" s="471"/>
      <c r="E78" s="188"/>
      <c r="F78" s="180" t="s">
        <v>69</v>
      </c>
      <c r="G78" s="81" t="s">
        <v>113</v>
      </c>
      <c r="H78" s="181">
        <f t="shared" ref="H78" si="4">IF(E78="Y",1,0)</f>
        <v>0</v>
      </c>
      <c r="I78" s="213"/>
    </row>
    <row r="79" spans="1:9" ht="15.5" x14ac:dyDescent="0.35">
      <c r="A79" s="476" t="s">
        <v>389</v>
      </c>
      <c r="B79" s="476"/>
      <c r="C79" s="476"/>
      <c r="D79" s="476"/>
      <c r="E79" s="476"/>
      <c r="F79" s="476"/>
      <c r="G79" s="476"/>
      <c r="H79" s="329">
        <f>SUM(H77:H78)</f>
        <v>0</v>
      </c>
      <c r="I79" s="201"/>
    </row>
    <row r="80" spans="1:9" ht="15.75" customHeight="1" x14ac:dyDescent="0.35">
      <c r="A80" s="198" t="s">
        <v>390</v>
      </c>
      <c r="B80" s="520" t="s">
        <v>391</v>
      </c>
      <c r="C80" s="520"/>
      <c r="D80" s="520"/>
      <c r="E80" s="199"/>
      <c r="F80" s="198"/>
      <c r="G80" s="200"/>
      <c r="H80" s="328"/>
      <c r="I80" s="200"/>
    </row>
    <row r="81" spans="1:9" ht="80.5" customHeight="1" x14ac:dyDescent="0.35">
      <c r="A81" s="43"/>
      <c r="B81" s="471" t="s">
        <v>507</v>
      </c>
      <c r="C81" s="471"/>
      <c r="D81" s="471"/>
      <c r="E81" s="188"/>
      <c r="F81" s="180" t="s">
        <v>69</v>
      </c>
      <c r="G81" s="81" t="s">
        <v>113</v>
      </c>
      <c r="H81" s="181">
        <f>IF(E81="Y",1,0)</f>
        <v>0</v>
      </c>
      <c r="I81" s="213"/>
    </row>
    <row r="82" spans="1:9" ht="15.5" x14ac:dyDescent="0.35">
      <c r="A82" s="476" t="s">
        <v>392</v>
      </c>
      <c r="B82" s="476"/>
      <c r="C82" s="476"/>
      <c r="D82" s="476"/>
      <c r="E82" s="476"/>
      <c r="F82" s="476"/>
      <c r="G82" s="476"/>
      <c r="H82" s="329">
        <f>SUM(H80:H81)</f>
        <v>0</v>
      </c>
      <c r="I82" s="201"/>
    </row>
    <row r="83" spans="1:9" ht="15.5" x14ac:dyDescent="0.35">
      <c r="A83" s="196" t="s">
        <v>393</v>
      </c>
      <c r="B83" s="523" t="s">
        <v>394</v>
      </c>
      <c r="C83" s="524"/>
      <c r="D83" s="524"/>
      <c r="E83" s="197"/>
      <c r="F83" s="196"/>
      <c r="G83" s="196"/>
      <c r="H83" s="327"/>
      <c r="I83" s="196"/>
    </row>
    <row r="84" spans="1:9" ht="15.75" customHeight="1" x14ac:dyDescent="0.35">
      <c r="A84" s="198" t="s">
        <v>395</v>
      </c>
      <c r="B84" s="520" t="s">
        <v>396</v>
      </c>
      <c r="C84" s="520"/>
      <c r="D84" s="520"/>
      <c r="E84" s="199"/>
      <c r="F84" s="198"/>
      <c r="G84" s="200"/>
      <c r="H84" s="328"/>
      <c r="I84" s="200"/>
    </row>
    <row r="85" spans="1:9" ht="65.25" customHeight="1" x14ac:dyDescent="0.35">
      <c r="A85" s="239" t="s">
        <v>74</v>
      </c>
      <c r="B85" s="471" t="s">
        <v>397</v>
      </c>
      <c r="C85" s="471"/>
      <c r="D85" s="471"/>
      <c r="E85" s="80" t="s">
        <v>120</v>
      </c>
      <c r="F85" s="164" t="s">
        <v>120</v>
      </c>
      <c r="G85" s="81" t="s">
        <v>120</v>
      </c>
      <c r="H85" s="290" t="s">
        <v>120</v>
      </c>
      <c r="I85" s="142"/>
    </row>
    <row r="86" spans="1:9" ht="15.5" x14ac:dyDescent="0.35">
      <c r="A86" s="476" t="s">
        <v>398</v>
      </c>
      <c r="B86" s="476"/>
      <c r="C86" s="476"/>
      <c r="D86" s="476"/>
      <c r="E86" s="476"/>
      <c r="F86" s="476"/>
      <c r="G86" s="476"/>
      <c r="H86" s="329">
        <v>0</v>
      </c>
      <c r="I86" s="201"/>
    </row>
    <row r="87" spans="1:9" ht="15.75" customHeight="1" x14ac:dyDescent="0.35">
      <c r="A87" s="198" t="s">
        <v>399</v>
      </c>
      <c r="B87" s="520" t="s">
        <v>400</v>
      </c>
      <c r="C87" s="520"/>
      <c r="D87" s="520"/>
      <c r="E87" s="199"/>
      <c r="F87" s="198"/>
      <c r="G87" s="200"/>
      <c r="H87" s="328"/>
      <c r="I87" s="200"/>
    </row>
    <row r="88" spans="1:9" ht="34.5" customHeight="1" x14ac:dyDescent="0.35">
      <c r="A88" s="239"/>
      <c r="B88" s="471" t="s">
        <v>401</v>
      </c>
      <c r="C88" s="471"/>
      <c r="D88" s="471"/>
      <c r="E88" s="243"/>
      <c r="F88" s="164"/>
      <c r="G88" s="81"/>
      <c r="H88" s="290"/>
      <c r="I88" s="142"/>
    </row>
    <row r="89" spans="1:9" ht="92.25" customHeight="1" x14ac:dyDescent="0.35">
      <c r="A89" s="236" t="s">
        <v>74</v>
      </c>
      <c r="B89" s="471" t="s">
        <v>402</v>
      </c>
      <c r="C89" s="471"/>
      <c r="D89" s="471"/>
      <c r="E89" s="188"/>
      <c r="F89" s="164" t="s">
        <v>69</v>
      </c>
      <c r="G89" s="81" t="s">
        <v>258</v>
      </c>
      <c r="H89" s="181">
        <f t="shared" ref="H89:H91" si="5">IF(E89="Y",0.5,0)</f>
        <v>0</v>
      </c>
      <c r="I89" s="142"/>
    </row>
    <row r="90" spans="1:9" ht="15.5" x14ac:dyDescent="0.35">
      <c r="A90" s="239" t="s">
        <v>76</v>
      </c>
      <c r="B90" s="471" t="s">
        <v>403</v>
      </c>
      <c r="C90" s="471"/>
      <c r="D90" s="471"/>
      <c r="E90" s="188"/>
      <c r="F90" s="164" t="s">
        <v>69</v>
      </c>
      <c r="G90" s="81" t="s">
        <v>258</v>
      </c>
      <c r="H90" s="181">
        <f t="shared" si="5"/>
        <v>0</v>
      </c>
      <c r="I90" s="142"/>
    </row>
    <row r="91" spans="1:9" ht="15.5" x14ac:dyDescent="0.35">
      <c r="A91" s="239" t="s">
        <v>79</v>
      </c>
      <c r="B91" s="471" t="s">
        <v>404</v>
      </c>
      <c r="C91" s="471"/>
      <c r="D91" s="471"/>
      <c r="E91" s="188"/>
      <c r="F91" s="164" t="s">
        <v>69</v>
      </c>
      <c r="G91" s="81" t="s">
        <v>258</v>
      </c>
      <c r="H91" s="181">
        <f t="shared" si="5"/>
        <v>0</v>
      </c>
      <c r="I91" s="142"/>
    </row>
    <row r="92" spans="1:9" ht="15.5" x14ac:dyDescent="0.35">
      <c r="A92" s="476" t="s">
        <v>405</v>
      </c>
      <c r="B92" s="476"/>
      <c r="C92" s="476"/>
      <c r="D92" s="476"/>
      <c r="E92" s="476"/>
      <c r="F92" s="476"/>
      <c r="G92" s="476"/>
      <c r="H92" s="329">
        <f>SUM(H89:H91)</f>
        <v>0</v>
      </c>
      <c r="I92" s="201"/>
    </row>
    <row r="93" spans="1:9" ht="15.5" x14ac:dyDescent="0.35">
      <c r="A93" s="193"/>
      <c r="B93" s="522" t="s">
        <v>293</v>
      </c>
      <c r="C93" s="522"/>
      <c r="D93" s="522"/>
      <c r="E93" s="522"/>
      <c r="F93" s="522"/>
      <c r="G93" s="193">
        <v>2</v>
      </c>
      <c r="H93" s="330">
        <f>MIN(SUM(H95:H96),2)</f>
        <v>0</v>
      </c>
      <c r="I93" s="209"/>
    </row>
    <row r="94" spans="1:9" ht="62" x14ac:dyDescent="0.35">
      <c r="A94" s="198"/>
      <c r="B94" s="526" t="s">
        <v>406</v>
      </c>
      <c r="C94" s="526"/>
      <c r="D94" s="526"/>
      <c r="E94" s="211"/>
      <c r="F94" s="198"/>
      <c r="G94" s="211" t="s">
        <v>198</v>
      </c>
      <c r="H94" s="328"/>
      <c r="I94" s="242" t="s">
        <v>199</v>
      </c>
    </row>
    <row r="95" spans="1:9" ht="120.75" customHeight="1" x14ac:dyDescent="0.35">
      <c r="A95" s="239"/>
      <c r="B95" s="471" t="s">
        <v>407</v>
      </c>
      <c r="C95" s="471"/>
      <c r="D95" s="471"/>
      <c r="E95" s="188"/>
      <c r="F95" s="141" t="s">
        <v>72</v>
      </c>
      <c r="G95" s="365" t="s">
        <v>408</v>
      </c>
      <c r="H95" s="290">
        <f>E95</f>
        <v>0</v>
      </c>
      <c r="I95" s="150" t="s">
        <v>201</v>
      </c>
    </row>
    <row r="96" spans="1:9" ht="120.75" customHeight="1" x14ac:dyDescent="0.35">
      <c r="A96" s="34"/>
      <c r="B96" s="471"/>
      <c r="C96" s="471"/>
      <c r="D96" s="471"/>
      <c r="E96" s="188"/>
      <c r="F96" s="141" t="s">
        <v>72</v>
      </c>
      <c r="G96" s="365"/>
      <c r="H96" s="290">
        <f>E96</f>
        <v>0</v>
      </c>
      <c r="I96" s="150" t="s">
        <v>202</v>
      </c>
    </row>
  </sheetData>
  <sheetProtection algorithmName="SHA-512" hashValue="HCliQa9qq2QCxZ0Y/L0w+ZMdrKJD/mKtV9L07mFBQENxs7QudxvdNQKsXg7ycaNMQ9csuMbVPhSWgsDJsW3lfw==" saltValue="7JPjO7nSd5y3GNPhWlHvPg==" spinCount="100000" sheet="1" formatCells="0" selectLockedCells="1"/>
  <mergeCells count="107">
    <mergeCell ref="B95:D96"/>
    <mergeCell ref="G95:G96"/>
    <mergeCell ref="B89:D89"/>
    <mergeCell ref="B90:D90"/>
    <mergeCell ref="B91:D91"/>
    <mergeCell ref="A92:G92"/>
    <mergeCell ref="B93:F93"/>
    <mergeCell ref="B94:D94"/>
    <mergeCell ref="B83:D83"/>
    <mergeCell ref="B84:D84"/>
    <mergeCell ref="B85:D85"/>
    <mergeCell ref="A86:G86"/>
    <mergeCell ref="B87:D87"/>
    <mergeCell ref="B88:D88"/>
    <mergeCell ref="B77:D77"/>
    <mergeCell ref="B78:D78"/>
    <mergeCell ref="A79:G79"/>
    <mergeCell ref="B80:D80"/>
    <mergeCell ref="B81:D81"/>
    <mergeCell ref="A82:G82"/>
    <mergeCell ref="B71:D71"/>
    <mergeCell ref="B72:D72"/>
    <mergeCell ref="A73:G73"/>
    <mergeCell ref="B74:D74"/>
    <mergeCell ref="B75:D75"/>
    <mergeCell ref="B76:D76"/>
    <mergeCell ref="B65:D65"/>
    <mergeCell ref="B66:D66"/>
    <mergeCell ref="B67:D67"/>
    <mergeCell ref="B68:D68"/>
    <mergeCell ref="A69:G69"/>
    <mergeCell ref="B70:F70"/>
    <mergeCell ref="B59:D59"/>
    <mergeCell ref="B60:D60"/>
    <mergeCell ref="B61:D61"/>
    <mergeCell ref="A62:G62"/>
    <mergeCell ref="B63:D63"/>
    <mergeCell ref="B64:D64"/>
    <mergeCell ref="B53:D53"/>
    <mergeCell ref="B54:D54"/>
    <mergeCell ref="B55:D55"/>
    <mergeCell ref="B56:D56"/>
    <mergeCell ref="B57:D57"/>
    <mergeCell ref="A58:G58"/>
    <mergeCell ref="B47:D47"/>
    <mergeCell ref="B48:D48"/>
    <mergeCell ref="B49:D49"/>
    <mergeCell ref="B50:D50"/>
    <mergeCell ref="B51:D51"/>
    <mergeCell ref="A52:G52"/>
    <mergeCell ref="B41:D41"/>
    <mergeCell ref="B42:D42"/>
    <mergeCell ref="B43:D43"/>
    <mergeCell ref="A44:G44"/>
    <mergeCell ref="B45:F45"/>
    <mergeCell ref="B46:D46"/>
    <mergeCell ref="A35:G35"/>
    <mergeCell ref="B36:D36"/>
    <mergeCell ref="B37:D37"/>
    <mergeCell ref="B38:D38"/>
    <mergeCell ref="B39:D39"/>
    <mergeCell ref="A40:G40"/>
    <mergeCell ref="A29:A34"/>
    <mergeCell ref="B29:D29"/>
    <mergeCell ref="B30:D30"/>
    <mergeCell ref="B31:D31"/>
    <mergeCell ref="B32:D32"/>
    <mergeCell ref="B33:D33"/>
    <mergeCell ref="B34:D34"/>
    <mergeCell ref="A25:A28"/>
    <mergeCell ref="B25:D25"/>
    <mergeCell ref="B26:D26"/>
    <mergeCell ref="G26:G28"/>
    <mergeCell ref="H26:H28"/>
    <mergeCell ref="B27:D27"/>
    <mergeCell ref="B28:D28"/>
    <mergeCell ref="G20:G21"/>
    <mergeCell ref="H20:H21"/>
    <mergeCell ref="I20:I21"/>
    <mergeCell ref="A22:G22"/>
    <mergeCell ref="B23:D23"/>
    <mergeCell ref="B24:D24"/>
    <mergeCell ref="F15:F19"/>
    <mergeCell ref="G15:G19"/>
    <mergeCell ref="H15:H19"/>
    <mergeCell ref="I15:I19"/>
    <mergeCell ref="B16:C16"/>
    <mergeCell ref="B19:C19"/>
    <mergeCell ref="B13:D13"/>
    <mergeCell ref="A14:A21"/>
    <mergeCell ref="B14:D14"/>
    <mergeCell ref="B15:C15"/>
    <mergeCell ref="D15:D19"/>
    <mergeCell ref="E15:E19"/>
    <mergeCell ref="B20:D21"/>
    <mergeCell ref="B7:D7"/>
    <mergeCell ref="A8:G8"/>
    <mergeCell ref="B9:D9"/>
    <mergeCell ref="B10:D10"/>
    <mergeCell ref="B11:D11"/>
    <mergeCell ref="A12:G12"/>
    <mergeCell ref="B1:D1"/>
    <mergeCell ref="A2:F2"/>
    <mergeCell ref="B3:F3"/>
    <mergeCell ref="B4:D4"/>
    <mergeCell ref="B5:D5"/>
    <mergeCell ref="B6:D6"/>
  </mergeCells>
  <dataValidations count="8">
    <dataValidation allowBlank="1" showErrorMessage="1" sqref="H96" xr:uid="{925C7A6C-13A5-4D0E-AB81-C57BDBEA1BEF}"/>
    <dataValidation allowBlank="1" showInputMessage="1" showErrorMessage="1" prompt="Please list down short description of your innovation." sqref="I95:I96" xr:uid="{33F6CBD8-9913-47A3-92E2-7ACE0875410B}"/>
    <dataValidation type="decimal" allowBlank="1" showErrorMessage="1" error="Please enter 0.5 or 1 or 1.5 or 2." prompt="Please Enter 0 or 1 or 1.5 or 2." sqref="H95" xr:uid="{E47EA4F4-ADF9-4BBD-9B68-8D77A5B84461}">
      <formula1>0</formula1>
      <formula2>2</formula2>
    </dataValidation>
    <dataValidation type="list" allowBlank="1" showInputMessage="1" showErrorMessage="1" sqref="E6:E7 E42:E43 E38 E48:E51 E26:E27 E61 E66:E68 E77:E78 E81 E89:E91 E56" xr:uid="{583F99AA-12E2-42B6-9F16-40A208E6D18F}">
      <formula1>"Y,N"</formula1>
    </dataValidation>
    <dataValidation type="decimal" allowBlank="1" showInputMessage="1" showErrorMessage="1" sqref="E10:E11 E21 E31 E28:E29 E33:E34" xr:uid="{0578BA00-F34F-4990-A310-29028A1BB817}">
      <formula1>0</formula1>
      <formula2>100</formula2>
    </dataValidation>
    <dataValidation type="list" allowBlank="1" showInputMessage="1" showErrorMessage="1" sqref="E20 E72 E39 E57 E55 E37" xr:uid="{BCC5EB75-EBE3-4776-9C00-320D7CEB449E}">
      <formula1>"A,B"</formula1>
    </dataValidation>
    <dataValidation type="decimal" allowBlank="1" showInputMessage="1" showErrorMessage="1" sqref="E30" xr:uid="{A7678015-3E70-4F1F-A02B-398731EB0A24}">
      <formula1>-1000</formula1>
      <formula2>1000</formula2>
    </dataValidation>
    <dataValidation type="list" showErrorMessage="1" error="Please enter 0.5 or 1 or 1.5 or 2." prompt="Please Enter 0.5 or 1 or 1.5 or 2." sqref="E95:E96" xr:uid="{19A9C725-785D-41F3-9842-3AEE458E4AB4}">
      <formula1>"0, 0.5, 1.0, 1.5, 2.0"</formula1>
    </dataValidation>
  </dataValidations>
  <pageMargins left="0.7" right="0.7" top="0.75" bottom="0.75" header="0.3" footer="0.3"/>
  <pageSetup paperSize="9" scale="50" orientation="portrait" r:id="rId1"/>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7DC8E-3330-4106-9091-137A28BCA5DE}">
  <dimension ref="A1:G64"/>
  <sheetViews>
    <sheetView zoomScaleNormal="100" workbookViewId="0">
      <selection activeCell="C5" sqref="C5"/>
    </sheetView>
  </sheetViews>
  <sheetFormatPr defaultColWidth="8.7265625" defaultRowHeight="15.5" x14ac:dyDescent="0.35"/>
  <cols>
    <col min="1" max="1" width="8.26953125" style="259" customWidth="1"/>
    <col min="2" max="2" width="73.81640625" style="7" customWidth="1"/>
    <col min="3" max="4" width="10.7265625" style="7" customWidth="1"/>
    <col min="5" max="5" width="19" style="7" customWidth="1"/>
    <col min="6" max="6" width="10.7265625" style="7" customWidth="1"/>
    <col min="7" max="7" width="30.7265625" style="7" customWidth="1"/>
    <col min="8" max="9" width="50.7265625" style="7" customWidth="1"/>
    <col min="10" max="10" width="15.54296875" style="7" customWidth="1"/>
    <col min="11" max="11" width="17.26953125" style="7" customWidth="1"/>
    <col min="12" max="16384" width="8.7265625" style="7"/>
  </cols>
  <sheetData>
    <row r="1" spans="1:7" ht="31" x14ac:dyDescent="0.35">
      <c r="A1" s="51"/>
      <c r="B1" s="230" t="s">
        <v>409</v>
      </c>
      <c r="C1" s="37" t="s">
        <v>65</v>
      </c>
      <c r="D1" s="37" t="s">
        <v>66</v>
      </c>
      <c r="E1" s="52" t="s">
        <v>410</v>
      </c>
      <c r="F1" s="37" t="s">
        <v>103</v>
      </c>
      <c r="G1" s="230" t="s">
        <v>104</v>
      </c>
    </row>
    <row r="2" spans="1:7" ht="21" x14ac:dyDescent="0.35">
      <c r="A2" s="528" t="s">
        <v>33</v>
      </c>
      <c r="B2" s="528"/>
      <c r="C2" s="528"/>
      <c r="D2" s="528"/>
      <c r="E2" s="214">
        <v>15</v>
      </c>
      <c r="F2" s="331">
        <f>MIN(SUM(F3,F21,F35,F61),15)</f>
        <v>0</v>
      </c>
      <c r="G2" s="215" t="s">
        <v>105</v>
      </c>
    </row>
    <row r="3" spans="1:7" x14ac:dyDescent="0.35">
      <c r="A3" s="216" t="s">
        <v>411</v>
      </c>
      <c r="B3" s="529" t="s">
        <v>56</v>
      </c>
      <c r="C3" s="529"/>
      <c r="D3" s="529"/>
      <c r="E3" s="217">
        <v>5</v>
      </c>
      <c r="F3" s="332">
        <f>MIN(SUM(F20,F10), 5)</f>
        <v>0</v>
      </c>
      <c r="G3" s="216"/>
    </row>
    <row r="4" spans="1:7" x14ac:dyDescent="0.35">
      <c r="A4" s="218" t="s">
        <v>412</v>
      </c>
      <c r="B4" s="219" t="s">
        <v>413</v>
      </c>
      <c r="C4" s="219"/>
      <c r="D4" s="220"/>
      <c r="E4" s="221"/>
      <c r="F4" s="333"/>
      <c r="G4" s="221"/>
    </row>
    <row r="5" spans="1:7" ht="31" x14ac:dyDescent="0.35">
      <c r="A5" s="236" t="s">
        <v>74</v>
      </c>
      <c r="B5" s="39" t="s">
        <v>414</v>
      </c>
      <c r="C5" s="3"/>
      <c r="D5" s="40" t="s">
        <v>69</v>
      </c>
      <c r="E5" s="81" t="s">
        <v>113</v>
      </c>
      <c r="F5" s="334">
        <f>IF(C5="Y",1,0)</f>
        <v>0</v>
      </c>
      <c r="G5" s="227"/>
    </row>
    <row r="6" spans="1:7" ht="31" x14ac:dyDescent="0.35">
      <c r="A6" s="438" t="s">
        <v>76</v>
      </c>
      <c r="B6" s="39" t="s">
        <v>415</v>
      </c>
      <c r="C6" s="222"/>
      <c r="D6" s="40"/>
      <c r="E6" s="81"/>
      <c r="F6" s="334"/>
      <c r="G6" s="142"/>
    </row>
    <row r="7" spans="1:7" x14ac:dyDescent="0.35">
      <c r="A7" s="438"/>
      <c r="B7" s="39" t="s">
        <v>416</v>
      </c>
      <c r="C7" s="3"/>
      <c r="D7" s="40" t="s">
        <v>69</v>
      </c>
      <c r="E7" s="81" t="s">
        <v>113</v>
      </c>
      <c r="F7" s="334">
        <f t="shared" ref="F7:F8" si="0">IF(C7="Y",1,0)</f>
        <v>0</v>
      </c>
      <c r="G7" s="142"/>
    </row>
    <row r="8" spans="1:7" ht="31" x14ac:dyDescent="0.35">
      <c r="A8" s="438"/>
      <c r="B8" s="39" t="s">
        <v>417</v>
      </c>
      <c r="C8" s="3"/>
      <c r="D8" s="40" t="s">
        <v>69</v>
      </c>
      <c r="E8" s="81" t="s">
        <v>113</v>
      </c>
      <c r="F8" s="334">
        <f t="shared" si="0"/>
        <v>0</v>
      </c>
      <c r="G8" s="142"/>
    </row>
    <row r="9" spans="1:7" ht="46.5" x14ac:dyDescent="0.35">
      <c r="A9" s="236" t="s">
        <v>79</v>
      </c>
      <c r="B9" s="39" t="s">
        <v>418</v>
      </c>
      <c r="C9" s="3"/>
      <c r="D9" s="40" t="s">
        <v>69</v>
      </c>
      <c r="E9" s="81" t="s">
        <v>113</v>
      </c>
      <c r="F9" s="334">
        <f>IF(C9="Y",1,0)</f>
        <v>0</v>
      </c>
      <c r="G9" s="142"/>
    </row>
    <row r="10" spans="1:7" x14ac:dyDescent="0.35">
      <c r="A10" s="223"/>
      <c r="B10" s="530" t="s">
        <v>419</v>
      </c>
      <c r="C10" s="530"/>
      <c r="D10" s="530"/>
      <c r="E10" s="530"/>
      <c r="F10" s="336">
        <f>SUM(F5:F9)</f>
        <v>0</v>
      </c>
      <c r="G10" s="224"/>
    </row>
    <row r="11" spans="1:7" x14ac:dyDescent="0.35">
      <c r="A11" s="218" t="s">
        <v>420</v>
      </c>
      <c r="B11" s="219" t="s">
        <v>421</v>
      </c>
      <c r="C11" s="219"/>
      <c r="D11" s="220"/>
      <c r="E11" s="221"/>
      <c r="F11" s="333"/>
      <c r="G11" s="221"/>
    </row>
    <row r="12" spans="1:7" ht="46.5" x14ac:dyDescent="0.35">
      <c r="A12" s="236"/>
      <c r="B12" s="340" t="s">
        <v>422</v>
      </c>
      <c r="C12" s="40"/>
      <c r="D12" s="40"/>
      <c r="E12" s="164"/>
      <c r="F12" s="334"/>
      <c r="G12" s="142"/>
    </row>
    <row r="13" spans="1:7" ht="31" x14ac:dyDescent="0.35">
      <c r="A13" s="383" t="s">
        <v>74</v>
      </c>
      <c r="B13" s="39" t="s">
        <v>423</v>
      </c>
      <c r="C13" s="222"/>
      <c r="D13" s="40"/>
      <c r="E13" s="81"/>
      <c r="F13" s="334"/>
      <c r="G13" s="142"/>
    </row>
    <row r="14" spans="1:7" ht="31" x14ac:dyDescent="0.35">
      <c r="A14" s="384"/>
      <c r="B14" s="47" t="s">
        <v>424</v>
      </c>
      <c r="C14" s="3"/>
      <c r="D14" s="40" t="s">
        <v>69</v>
      </c>
      <c r="E14" s="225" t="s">
        <v>168</v>
      </c>
      <c r="F14" s="334">
        <f>IF(C14="Y",0.5,0)</f>
        <v>0</v>
      </c>
      <c r="G14" s="142"/>
    </row>
    <row r="15" spans="1:7" ht="31" x14ac:dyDescent="0.35">
      <c r="A15" s="527"/>
      <c r="B15" s="39" t="s">
        <v>425</v>
      </c>
      <c r="C15" s="3"/>
      <c r="D15" s="40" t="s">
        <v>69</v>
      </c>
      <c r="E15" s="225" t="s">
        <v>168</v>
      </c>
      <c r="F15" s="334">
        <f>IF(C15="Y",0.5,0)</f>
        <v>0</v>
      </c>
      <c r="G15" s="142"/>
    </row>
    <row r="16" spans="1:7" x14ac:dyDescent="0.35">
      <c r="A16" s="383" t="s">
        <v>76</v>
      </c>
      <c r="B16" s="77" t="s">
        <v>426</v>
      </c>
      <c r="C16" s="222"/>
      <c r="D16" s="40"/>
      <c r="E16" s="81"/>
      <c r="F16" s="334"/>
      <c r="G16" s="142"/>
    </row>
    <row r="17" spans="1:7" ht="46.5" x14ac:dyDescent="0.35">
      <c r="A17" s="384"/>
      <c r="B17" s="39" t="s">
        <v>427</v>
      </c>
      <c r="C17" s="3"/>
      <c r="D17" s="40" t="s">
        <v>69</v>
      </c>
      <c r="E17" s="225" t="s">
        <v>168</v>
      </c>
      <c r="F17" s="334">
        <f t="shared" ref="F17:F19" si="1">IF(C17="Y",0.5,0)</f>
        <v>0</v>
      </c>
      <c r="G17" s="142"/>
    </row>
    <row r="18" spans="1:7" x14ac:dyDescent="0.35">
      <c r="A18" s="527"/>
      <c r="B18" s="39" t="s">
        <v>524</v>
      </c>
      <c r="C18" s="3"/>
      <c r="D18" s="40" t="s">
        <v>69</v>
      </c>
      <c r="E18" s="225" t="s">
        <v>168</v>
      </c>
      <c r="F18" s="334">
        <f t="shared" si="1"/>
        <v>0</v>
      </c>
      <c r="G18" s="142"/>
    </row>
    <row r="19" spans="1:7" ht="61" customHeight="1" x14ac:dyDescent="0.35">
      <c r="A19" s="232" t="s">
        <v>79</v>
      </c>
      <c r="B19" s="39" t="s">
        <v>428</v>
      </c>
      <c r="C19" s="3"/>
      <c r="D19" s="40" t="s">
        <v>69</v>
      </c>
      <c r="E19" s="81" t="s">
        <v>168</v>
      </c>
      <c r="F19" s="334">
        <f t="shared" si="1"/>
        <v>0</v>
      </c>
      <c r="G19" s="142"/>
    </row>
    <row r="20" spans="1:7" x14ac:dyDescent="0.35">
      <c r="A20" s="223"/>
      <c r="B20" s="530" t="s">
        <v>429</v>
      </c>
      <c r="C20" s="530"/>
      <c r="D20" s="530"/>
      <c r="E20" s="530"/>
      <c r="F20" s="336">
        <f>SUM(F14:F19)</f>
        <v>0</v>
      </c>
      <c r="G20" s="224"/>
    </row>
    <row r="21" spans="1:7" x14ac:dyDescent="0.35">
      <c r="A21" s="216" t="s">
        <v>430</v>
      </c>
      <c r="B21" s="529" t="s">
        <v>58</v>
      </c>
      <c r="C21" s="529"/>
      <c r="D21" s="529"/>
      <c r="E21" s="217">
        <v>5</v>
      </c>
      <c r="F21" s="332">
        <f>MIN(SUM(F26,F31, F34),5)</f>
        <v>0</v>
      </c>
      <c r="G21" s="216"/>
    </row>
    <row r="22" spans="1:7" x14ac:dyDescent="0.35">
      <c r="A22" s="218" t="s">
        <v>431</v>
      </c>
      <c r="B22" s="219" t="s">
        <v>432</v>
      </c>
      <c r="C22" s="219"/>
      <c r="D22" s="220"/>
      <c r="E22" s="221"/>
      <c r="F22" s="333"/>
      <c r="G22" s="221"/>
    </row>
    <row r="23" spans="1:7" ht="46.5" x14ac:dyDescent="0.35">
      <c r="A23" s="232" t="s">
        <v>74</v>
      </c>
      <c r="B23" s="39" t="s">
        <v>433</v>
      </c>
      <c r="C23" s="3"/>
      <c r="D23" s="40" t="s">
        <v>69</v>
      </c>
      <c r="E23" s="81" t="s">
        <v>113</v>
      </c>
      <c r="F23" s="334">
        <f>IF(C23="Y",1,0)</f>
        <v>0</v>
      </c>
      <c r="G23" s="142"/>
    </row>
    <row r="24" spans="1:7" ht="62" x14ac:dyDescent="0.35">
      <c r="A24" s="232" t="s">
        <v>76</v>
      </c>
      <c r="B24" s="39" t="s">
        <v>434</v>
      </c>
      <c r="C24" s="3"/>
      <c r="D24" s="40" t="s">
        <v>69</v>
      </c>
      <c r="E24" s="81" t="s">
        <v>113</v>
      </c>
      <c r="F24" s="334">
        <f>IF(C24="Y",1,0)</f>
        <v>0</v>
      </c>
      <c r="G24" s="142"/>
    </row>
    <row r="25" spans="1:7" ht="31" x14ac:dyDescent="0.35">
      <c r="A25" s="232" t="s">
        <v>79</v>
      </c>
      <c r="B25" s="39" t="s">
        <v>435</v>
      </c>
      <c r="C25" s="3"/>
      <c r="D25" s="40" t="s">
        <v>69</v>
      </c>
      <c r="E25" s="81" t="s">
        <v>113</v>
      </c>
      <c r="F25" s="334">
        <f>IF(C25="Y",1,0)</f>
        <v>0</v>
      </c>
      <c r="G25" s="142"/>
    </row>
    <row r="26" spans="1:7" x14ac:dyDescent="0.35">
      <c r="A26" s="223"/>
      <c r="B26" s="530" t="s">
        <v>436</v>
      </c>
      <c r="C26" s="530"/>
      <c r="D26" s="530"/>
      <c r="E26" s="530"/>
      <c r="F26" s="336">
        <f>SUM(F23:F25)</f>
        <v>0</v>
      </c>
      <c r="G26" s="224"/>
    </row>
    <row r="27" spans="1:7" x14ac:dyDescent="0.35">
      <c r="A27" s="218" t="s">
        <v>437</v>
      </c>
      <c r="B27" s="219" t="s">
        <v>438</v>
      </c>
      <c r="C27" s="219"/>
      <c r="D27" s="220"/>
      <c r="E27" s="221"/>
      <c r="F27" s="333"/>
      <c r="G27" s="221"/>
    </row>
    <row r="28" spans="1:7" ht="62" x14ac:dyDescent="0.35">
      <c r="A28" s="232" t="s">
        <v>74</v>
      </c>
      <c r="B28" s="337" t="s">
        <v>439</v>
      </c>
      <c r="C28" s="3"/>
      <c r="D28" s="40" t="s">
        <v>69</v>
      </c>
      <c r="E28" s="82" t="s">
        <v>168</v>
      </c>
      <c r="F28" s="334">
        <f>IF(C28="Y",0.5,0)</f>
        <v>0</v>
      </c>
      <c r="G28" s="142"/>
    </row>
    <row r="29" spans="1:7" ht="31" x14ac:dyDescent="0.35">
      <c r="A29" s="232" t="s">
        <v>76</v>
      </c>
      <c r="B29" s="337" t="s">
        <v>440</v>
      </c>
      <c r="C29" s="3"/>
      <c r="D29" s="40" t="s">
        <v>69</v>
      </c>
      <c r="E29" s="82" t="s">
        <v>168</v>
      </c>
      <c r="F29" s="334">
        <f t="shared" ref="F29:F30" si="2">IF(C29="Y",0.5,0)</f>
        <v>0</v>
      </c>
      <c r="G29" s="144"/>
    </row>
    <row r="30" spans="1:7" ht="31" x14ac:dyDescent="0.35">
      <c r="A30" s="232" t="s">
        <v>79</v>
      </c>
      <c r="B30" s="337" t="s">
        <v>441</v>
      </c>
      <c r="C30" s="3"/>
      <c r="D30" s="40" t="s">
        <v>69</v>
      </c>
      <c r="E30" s="82" t="s">
        <v>168</v>
      </c>
      <c r="F30" s="334">
        <f t="shared" si="2"/>
        <v>0</v>
      </c>
      <c r="G30" s="144"/>
    </row>
    <row r="31" spans="1:7" x14ac:dyDescent="0.35">
      <c r="A31" s="223"/>
      <c r="B31" s="530" t="s">
        <v>442</v>
      </c>
      <c r="C31" s="530"/>
      <c r="D31" s="530"/>
      <c r="E31" s="530"/>
      <c r="F31" s="336">
        <f>SUM(F28:F30)</f>
        <v>0</v>
      </c>
      <c r="G31" s="224"/>
    </row>
    <row r="32" spans="1:7" x14ac:dyDescent="0.35">
      <c r="A32" s="218" t="s">
        <v>443</v>
      </c>
      <c r="B32" s="219" t="s">
        <v>444</v>
      </c>
      <c r="C32" s="219"/>
      <c r="D32" s="220"/>
      <c r="E32" s="221"/>
      <c r="F32" s="333"/>
      <c r="G32" s="221"/>
    </row>
    <row r="33" spans="1:7" ht="108.5" x14ac:dyDescent="0.35">
      <c r="A33" s="232" t="s">
        <v>74</v>
      </c>
      <c r="B33" s="337" t="s">
        <v>445</v>
      </c>
      <c r="C33" s="3"/>
      <c r="D33" s="40" t="s">
        <v>69</v>
      </c>
      <c r="E33" s="82" t="s">
        <v>131</v>
      </c>
      <c r="F33" s="334">
        <f>IF(C33="Y",2,0)</f>
        <v>0</v>
      </c>
      <c r="G33" s="142"/>
    </row>
    <row r="34" spans="1:7" x14ac:dyDescent="0.35">
      <c r="A34" s="223"/>
      <c r="B34" s="530" t="s">
        <v>446</v>
      </c>
      <c r="C34" s="530"/>
      <c r="D34" s="530"/>
      <c r="E34" s="530"/>
      <c r="F34" s="336">
        <f>SUM(F33:F33)</f>
        <v>0</v>
      </c>
      <c r="G34" s="224"/>
    </row>
    <row r="35" spans="1:7" x14ac:dyDescent="0.35">
      <c r="A35" s="216" t="s">
        <v>447</v>
      </c>
      <c r="B35" s="529" t="s">
        <v>60</v>
      </c>
      <c r="C35" s="529"/>
      <c r="D35" s="529"/>
      <c r="E35" s="217">
        <v>5</v>
      </c>
      <c r="F35" s="332">
        <f>MIN(SUM(F41,F46,F49, F52, F60),5)</f>
        <v>0</v>
      </c>
      <c r="G35" s="216"/>
    </row>
    <row r="36" spans="1:7" x14ac:dyDescent="0.35">
      <c r="A36" s="218" t="s">
        <v>448</v>
      </c>
      <c r="B36" s="219" t="s">
        <v>449</v>
      </c>
      <c r="C36" s="219"/>
      <c r="D36" s="220"/>
      <c r="E36" s="221"/>
      <c r="F36" s="333"/>
      <c r="G36" s="221"/>
    </row>
    <row r="37" spans="1:7" ht="46.5" x14ac:dyDescent="0.35">
      <c r="A37" s="232" t="s">
        <v>74</v>
      </c>
      <c r="B37" s="39" t="s">
        <v>450</v>
      </c>
      <c r="C37" s="3"/>
      <c r="D37" s="40" t="s">
        <v>69</v>
      </c>
      <c r="E37" s="81" t="s">
        <v>168</v>
      </c>
      <c r="F37" s="334">
        <f>IF(C37="Y",0.5,0)</f>
        <v>0</v>
      </c>
      <c r="G37" s="142"/>
    </row>
    <row r="38" spans="1:7" ht="46.5" x14ac:dyDescent="0.35">
      <c r="A38" s="232" t="s">
        <v>76</v>
      </c>
      <c r="B38" s="246" t="s">
        <v>451</v>
      </c>
      <c r="C38" s="3"/>
      <c r="D38" s="40" t="s">
        <v>69</v>
      </c>
      <c r="E38" s="81" t="s">
        <v>113</v>
      </c>
      <c r="F38" s="334">
        <f>IF(C38="Y",1,0)</f>
        <v>0</v>
      </c>
      <c r="G38" s="142"/>
    </row>
    <row r="39" spans="1:7" ht="62" x14ac:dyDescent="0.35">
      <c r="A39" s="232" t="s">
        <v>79</v>
      </c>
      <c r="B39" s="246" t="s">
        <v>452</v>
      </c>
      <c r="C39" s="3"/>
      <c r="D39" s="40" t="s">
        <v>69</v>
      </c>
      <c r="E39" s="81" t="s">
        <v>168</v>
      </c>
      <c r="F39" s="334">
        <f>IF(C39="Y",0.5,0)</f>
        <v>0</v>
      </c>
      <c r="G39" s="142"/>
    </row>
    <row r="40" spans="1:7" ht="46.5" x14ac:dyDescent="0.35">
      <c r="A40" s="232" t="s">
        <v>84</v>
      </c>
      <c r="B40" s="246" t="s">
        <v>453</v>
      </c>
      <c r="C40" s="3"/>
      <c r="D40" s="40" t="s">
        <v>69</v>
      </c>
      <c r="E40" s="81" t="s">
        <v>113</v>
      </c>
      <c r="F40" s="334">
        <f>IF(C40="Y",1,0)</f>
        <v>0</v>
      </c>
      <c r="G40" s="142"/>
    </row>
    <row r="41" spans="1:7" x14ac:dyDescent="0.35">
      <c r="A41" s="223"/>
      <c r="B41" s="530" t="s">
        <v>454</v>
      </c>
      <c r="C41" s="530"/>
      <c r="D41" s="530"/>
      <c r="E41" s="530"/>
      <c r="F41" s="336">
        <f>SUM(F37:F40)</f>
        <v>0</v>
      </c>
      <c r="G41" s="224"/>
    </row>
    <row r="42" spans="1:7" x14ac:dyDescent="0.35">
      <c r="A42" s="218" t="s">
        <v>455</v>
      </c>
      <c r="B42" s="219" t="s">
        <v>456</v>
      </c>
      <c r="C42" s="219"/>
      <c r="D42" s="220"/>
      <c r="E42" s="221"/>
      <c r="F42" s="333"/>
      <c r="G42" s="221"/>
    </row>
    <row r="43" spans="1:7" x14ac:dyDescent="0.35">
      <c r="A43" s="45"/>
      <c r="B43" s="47" t="s">
        <v>457</v>
      </c>
      <c r="C43" s="222"/>
      <c r="D43" s="40"/>
      <c r="E43" s="81"/>
      <c r="F43" s="334"/>
      <c r="G43" s="142"/>
    </row>
    <row r="44" spans="1:7" ht="31" x14ac:dyDescent="0.35">
      <c r="A44" s="232" t="s">
        <v>74</v>
      </c>
      <c r="B44" s="49" t="s">
        <v>458</v>
      </c>
      <c r="C44" s="3"/>
      <c r="D44" s="40" t="s">
        <v>69</v>
      </c>
      <c r="E44" s="81" t="s">
        <v>168</v>
      </c>
      <c r="F44" s="334">
        <f>IF(C44="Y",0.5,0)</f>
        <v>0</v>
      </c>
      <c r="G44" s="142"/>
    </row>
    <row r="45" spans="1:7" x14ac:dyDescent="0.35">
      <c r="A45" s="232" t="s">
        <v>76</v>
      </c>
      <c r="B45" s="49" t="s">
        <v>459</v>
      </c>
      <c r="C45" s="3"/>
      <c r="D45" s="40" t="s">
        <v>69</v>
      </c>
      <c r="E45" s="81" t="s">
        <v>168</v>
      </c>
      <c r="F45" s="334">
        <f>IF(C45="Y",0.5,0)</f>
        <v>0</v>
      </c>
      <c r="G45" s="142"/>
    </row>
    <row r="46" spans="1:7" ht="15.65" customHeight="1" x14ac:dyDescent="0.35">
      <c r="A46" s="223"/>
      <c r="B46" s="530" t="s">
        <v>460</v>
      </c>
      <c r="C46" s="530"/>
      <c r="D46" s="530"/>
      <c r="E46" s="530"/>
      <c r="F46" s="336">
        <f>SUM(F44:F45)</f>
        <v>0</v>
      </c>
      <c r="G46" s="224"/>
    </row>
    <row r="47" spans="1:7" ht="31" x14ac:dyDescent="0.35">
      <c r="A47" s="218" t="s">
        <v>461</v>
      </c>
      <c r="B47" s="219" t="s">
        <v>462</v>
      </c>
      <c r="C47" s="219"/>
      <c r="D47" s="220"/>
      <c r="E47" s="221"/>
      <c r="F47" s="333"/>
      <c r="G47" s="221"/>
    </row>
    <row r="48" spans="1:7" ht="31" x14ac:dyDescent="0.35">
      <c r="A48" s="338"/>
      <c r="B48" s="49" t="s">
        <v>463</v>
      </c>
      <c r="C48" s="3"/>
      <c r="D48" s="40" t="s">
        <v>69</v>
      </c>
      <c r="E48" s="81" t="s">
        <v>113</v>
      </c>
      <c r="F48" s="334">
        <f>IF(C48="Y",1,0)</f>
        <v>0</v>
      </c>
      <c r="G48" s="142"/>
    </row>
    <row r="49" spans="1:7" ht="15.65" customHeight="1" x14ac:dyDescent="0.35">
      <c r="A49" s="223"/>
      <c r="B49" s="530" t="s">
        <v>464</v>
      </c>
      <c r="C49" s="530"/>
      <c r="D49" s="530"/>
      <c r="E49" s="530"/>
      <c r="F49" s="336">
        <f>SUM(F48:F48)</f>
        <v>0</v>
      </c>
      <c r="G49" s="224"/>
    </row>
    <row r="50" spans="1:7" x14ac:dyDescent="0.35">
      <c r="A50" s="218" t="s">
        <v>465</v>
      </c>
      <c r="B50" s="219" t="s">
        <v>466</v>
      </c>
      <c r="C50" s="219"/>
      <c r="D50" s="220"/>
      <c r="E50" s="221"/>
      <c r="F50" s="333"/>
      <c r="G50" s="221"/>
    </row>
    <row r="51" spans="1:7" ht="46.5" x14ac:dyDescent="0.35">
      <c r="A51" s="338"/>
      <c r="B51" s="49" t="s">
        <v>467</v>
      </c>
      <c r="C51" s="3"/>
      <c r="D51" s="40" t="s">
        <v>69</v>
      </c>
      <c r="E51" s="81" t="s">
        <v>113</v>
      </c>
      <c r="F51" s="334">
        <f>IF(C51="Y",1,0)</f>
        <v>0</v>
      </c>
      <c r="G51" s="142"/>
    </row>
    <row r="52" spans="1:7" ht="15.65" customHeight="1" x14ac:dyDescent="0.35">
      <c r="A52" s="223"/>
      <c r="B52" s="530" t="s">
        <v>468</v>
      </c>
      <c r="C52" s="530"/>
      <c r="D52" s="530"/>
      <c r="E52" s="530"/>
      <c r="F52" s="336">
        <f>SUM(F51:F51)</f>
        <v>0</v>
      </c>
      <c r="G52" s="224"/>
    </row>
    <row r="53" spans="1:7" x14ac:dyDescent="0.35">
      <c r="A53" s="218" t="s">
        <v>469</v>
      </c>
      <c r="B53" s="219" t="s">
        <v>470</v>
      </c>
      <c r="C53" s="219"/>
      <c r="D53" s="220"/>
      <c r="E53" s="221"/>
      <c r="F53" s="333"/>
      <c r="G53" s="221"/>
    </row>
    <row r="54" spans="1:7" ht="93" x14ac:dyDescent="0.35">
      <c r="A54" s="232" t="s">
        <v>74</v>
      </c>
      <c r="B54" s="49" t="s">
        <v>471</v>
      </c>
      <c r="C54" s="3"/>
      <c r="D54" s="40" t="s">
        <v>69</v>
      </c>
      <c r="E54" s="81" t="s">
        <v>168</v>
      </c>
      <c r="F54" s="334">
        <f>IF(C54="Y",0.5,0)</f>
        <v>0</v>
      </c>
      <c r="G54" s="142"/>
    </row>
    <row r="55" spans="1:7" ht="46.5" x14ac:dyDescent="0.35">
      <c r="A55" s="232" t="s">
        <v>76</v>
      </c>
      <c r="B55" s="49" t="s">
        <v>472</v>
      </c>
      <c r="C55" s="3"/>
      <c r="D55" s="40" t="s">
        <v>69</v>
      </c>
      <c r="E55" s="81" t="s">
        <v>168</v>
      </c>
      <c r="F55" s="334">
        <f t="shared" ref="F55" si="3">IF(C55="Y",0.5,0)</f>
        <v>0</v>
      </c>
      <c r="G55" s="142"/>
    </row>
    <row r="56" spans="1:7" ht="46.5" x14ac:dyDescent="0.35">
      <c r="A56" s="383" t="s">
        <v>79</v>
      </c>
      <c r="B56" s="49" t="s">
        <v>473</v>
      </c>
      <c r="C56" s="335" t="s">
        <v>120</v>
      </c>
      <c r="D56" s="40" t="s">
        <v>120</v>
      </c>
      <c r="E56" s="270" t="s">
        <v>120</v>
      </c>
      <c r="F56" s="40" t="s">
        <v>120</v>
      </c>
      <c r="G56" s="142"/>
    </row>
    <row r="57" spans="1:7" x14ac:dyDescent="0.35">
      <c r="A57" s="527"/>
      <c r="B57" s="49" t="s">
        <v>474</v>
      </c>
      <c r="C57" s="335" t="s">
        <v>120</v>
      </c>
      <c r="D57" s="40" t="s">
        <v>120</v>
      </c>
      <c r="E57" s="270" t="s">
        <v>120</v>
      </c>
      <c r="F57" s="40" t="s">
        <v>120</v>
      </c>
      <c r="G57" s="142"/>
    </row>
    <row r="58" spans="1:7" ht="46.5" x14ac:dyDescent="0.35">
      <c r="A58" s="383" t="s">
        <v>84</v>
      </c>
      <c r="B58" s="49" t="s">
        <v>475</v>
      </c>
      <c r="C58" s="335" t="s">
        <v>120</v>
      </c>
      <c r="D58" s="40" t="s">
        <v>120</v>
      </c>
      <c r="E58" s="270" t="s">
        <v>120</v>
      </c>
      <c r="F58" s="40" t="s">
        <v>120</v>
      </c>
      <c r="G58" s="142"/>
    </row>
    <row r="59" spans="1:7" x14ac:dyDescent="0.35">
      <c r="A59" s="527"/>
      <c r="B59" s="49" t="s">
        <v>476</v>
      </c>
      <c r="C59" s="335" t="s">
        <v>120</v>
      </c>
      <c r="D59" s="40" t="s">
        <v>120</v>
      </c>
      <c r="E59" s="270" t="s">
        <v>120</v>
      </c>
      <c r="F59" s="40" t="s">
        <v>120</v>
      </c>
      <c r="G59" s="142"/>
    </row>
    <row r="60" spans="1:7" ht="15.65" customHeight="1" x14ac:dyDescent="0.35">
      <c r="A60" s="223"/>
      <c r="B60" s="530" t="s">
        <v>477</v>
      </c>
      <c r="C60" s="530"/>
      <c r="D60" s="530"/>
      <c r="E60" s="530"/>
      <c r="F60" s="336">
        <f>SUM(F54:F59)</f>
        <v>0</v>
      </c>
      <c r="G60" s="224"/>
    </row>
    <row r="61" spans="1:7" x14ac:dyDescent="0.35">
      <c r="A61" s="216"/>
      <c r="B61" s="529" t="s">
        <v>478</v>
      </c>
      <c r="C61" s="529"/>
      <c r="D61" s="529"/>
      <c r="E61" s="217">
        <v>2</v>
      </c>
      <c r="F61" s="332">
        <f>MIN(SUM(F63:F64),2)</f>
        <v>0</v>
      </c>
      <c r="G61" s="216"/>
    </row>
    <row r="62" spans="1:7" ht="62" x14ac:dyDescent="0.35">
      <c r="A62" s="218"/>
      <c r="B62" s="219" t="s">
        <v>479</v>
      </c>
      <c r="C62" s="219"/>
      <c r="D62" s="531" t="s">
        <v>198</v>
      </c>
      <c r="E62" s="532"/>
      <c r="F62" s="533"/>
      <c r="G62" s="226" t="s">
        <v>199</v>
      </c>
    </row>
    <row r="63" spans="1:7" ht="151.5" customHeight="1" x14ac:dyDescent="0.35">
      <c r="A63" s="438"/>
      <c r="B63" s="534" t="s">
        <v>525</v>
      </c>
      <c r="C63" s="3"/>
      <c r="D63" s="40" t="s">
        <v>72</v>
      </c>
      <c r="E63" s="429" t="s">
        <v>480</v>
      </c>
      <c r="F63" s="290">
        <f>C63</f>
        <v>0</v>
      </c>
      <c r="G63" s="212" t="s">
        <v>201</v>
      </c>
    </row>
    <row r="64" spans="1:7" ht="160.5" customHeight="1" x14ac:dyDescent="0.35">
      <c r="A64" s="438"/>
      <c r="B64" s="535"/>
      <c r="C64" s="3"/>
      <c r="D64" s="40" t="s">
        <v>72</v>
      </c>
      <c r="E64" s="431"/>
      <c r="F64" s="290">
        <f>C64</f>
        <v>0</v>
      </c>
      <c r="G64" s="339" t="s">
        <v>481</v>
      </c>
    </row>
  </sheetData>
  <sheetProtection algorithmName="SHA-512" hashValue="pa4NJFso+FqrQPcFsJCNA5quSt1aAvr/+77dg843BDgYAD/3dTv2ri+YaacZSXF6mTQx7+FnDaM8sGqKNFq2mg==" saltValue="S4suDk3pMOLSCsqPHJtmZw==" spinCount="100000" sheet="1" formatCells="0" selectLockedCells="1"/>
  <mergeCells count="24">
    <mergeCell ref="B60:E60"/>
    <mergeCell ref="B61:D61"/>
    <mergeCell ref="D62:F62"/>
    <mergeCell ref="A63:A64"/>
    <mergeCell ref="B63:B64"/>
    <mergeCell ref="E63:E64"/>
    <mergeCell ref="A58:A59"/>
    <mergeCell ref="B20:E20"/>
    <mergeCell ref="B21:D21"/>
    <mergeCell ref="B26:E26"/>
    <mergeCell ref="B31:E31"/>
    <mergeCell ref="B34:E34"/>
    <mergeCell ref="B35:D35"/>
    <mergeCell ref="B41:E41"/>
    <mergeCell ref="B46:E46"/>
    <mergeCell ref="B49:E49"/>
    <mergeCell ref="B52:E52"/>
    <mergeCell ref="A56:A57"/>
    <mergeCell ref="A16:A18"/>
    <mergeCell ref="A2:D2"/>
    <mergeCell ref="B3:D3"/>
    <mergeCell ref="A6:A8"/>
    <mergeCell ref="B10:E10"/>
    <mergeCell ref="A13:A15"/>
  </mergeCells>
  <conditionalFormatting sqref="E12">
    <cfRule type="expression" dxfId="0" priority="1">
      <formula>$E$12="Assessor, Please check GM application date"</formula>
    </cfRule>
  </conditionalFormatting>
  <dataValidations count="3">
    <dataValidation allowBlank="1" showInputMessage="1" showErrorMessage="1" prompt="Please list down short description of your innovation." sqref="G63:G64" xr:uid="{C6D44579-BB5C-40D9-A345-A5277D2221E8}"/>
    <dataValidation type="decimal" allowBlank="1" showErrorMessage="1" error="Please enter 0.5 or 1 or 1.5 or 2." prompt="Please Enter 0 or 1 or 1.5 or 2." sqref="F63:F64" xr:uid="{22B4BFA2-2C09-46B7-985E-10CF3FC34451}">
      <formula1>0</formula1>
      <formula2>2</formula2>
    </dataValidation>
    <dataValidation type="list" allowBlank="1" showInputMessage="1" showErrorMessage="1" sqref="C33 C23:C25 C37:C40 C48 C5 C28:C30 C51 C17:C19 C14:C15 C7:C9 C44:C45 C54:C55" xr:uid="{18976767-44C9-480D-B57B-649C06FB3156}">
      <formula1>"Y,N"</formula1>
    </dataValidation>
  </dataValidations>
  <pageMargins left="0.7" right="0.7" top="0.75" bottom="0.75" header="0.3" footer="0.3"/>
  <pageSetup paperSize="9" scale="53" orientation="portrait" r:id="rId1"/>
  <ignoredErrors>
    <ignoredError sqref="F38:F39"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7"/>
  <sheetViews>
    <sheetView zoomScaleNormal="100" workbookViewId="0">
      <selection activeCell="G26" sqref="G26"/>
    </sheetView>
  </sheetViews>
  <sheetFormatPr defaultColWidth="9.1796875" defaultRowHeight="15.5" x14ac:dyDescent="0.35"/>
  <cols>
    <col min="1" max="1" width="8.26953125" style="5" customWidth="1"/>
    <col min="2" max="2" width="65.7265625" customWidth="1"/>
    <col min="3" max="3" width="9.453125" customWidth="1"/>
    <col min="4" max="4" width="10.453125" bestFit="1" customWidth="1"/>
    <col min="5" max="5" width="12" style="6" customWidth="1"/>
    <col min="6" max="6" width="11.7265625" style="6" customWidth="1"/>
    <col min="7" max="7" width="18" customWidth="1"/>
    <col min="8" max="8" width="50.453125" style="267" customWidth="1"/>
    <col min="9" max="9" width="50.7265625" customWidth="1"/>
    <col min="10" max="10" width="17.26953125" customWidth="1"/>
    <col min="11" max="14" width="9.1796875" hidden="1" customWidth="1"/>
  </cols>
  <sheetData>
    <row r="1" spans="1:14" ht="16" thickBot="1" x14ac:dyDescent="0.4"/>
    <row r="2" spans="1:14" ht="21" x14ac:dyDescent="0.35">
      <c r="A2" s="542" t="s">
        <v>482</v>
      </c>
      <c r="B2" s="543"/>
      <c r="C2" s="543"/>
      <c r="D2" s="543"/>
      <c r="E2" s="543"/>
      <c r="F2" s="543"/>
      <c r="G2" s="544"/>
    </row>
    <row r="3" spans="1:14" ht="85.5" customHeight="1" x14ac:dyDescent="0.35">
      <c r="A3" s="563"/>
      <c r="B3" s="564"/>
      <c r="C3" s="564"/>
      <c r="D3" s="564"/>
      <c r="E3" s="564"/>
      <c r="F3" s="564"/>
      <c r="G3" s="565"/>
    </row>
    <row r="4" spans="1:14" ht="189.75" customHeight="1" thickBot="1" x14ac:dyDescent="0.4">
      <c r="A4" s="560" t="s">
        <v>483</v>
      </c>
      <c r="B4" s="561"/>
      <c r="C4" s="561"/>
      <c r="D4" s="561"/>
      <c r="E4" s="561"/>
      <c r="F4" s="561"/>
      <c r="G4" s="562"/>
    </row>
    <row r="6" spans="1:14" ht="31" customHeight="1" x14ac:dyDescent="0.35">
      <c r="A6" s="51"/>
      <c r="B6" s="230" t="s">
        <v>484</v>
      </c>
      <c r="C6" s="552" t="s">
        <v>102</v>
      </c>
      <c r="D6" s="552"/>
      <c r="E6" s="552" t="s">
        <v>485</v>
      </c>
      <c r="F6" s="552"/>
      <c r="G6" s="37" t="s">
        <v>486</v>
      </c>
      <c r="H6" s="252"/>
      <c r="I6" s="7"/>
      <c r="K6" s="552" t="s">
        <v>485</v>
      </c>
      <c r="L6" s="552"/>
      <c r="M6" s="552" t="s">
        <v>485</v>
      </c>
      <c r="N6" s="552"/>
    </row>
    <row r="7" spans="1:14" ht="18.5" x14ac:dyDescent="0.35">
      <c r="A7" s="569" t="s">
        <v>34</v>
      </c>
      <c r="B7" s="570"/>
      <c r="C7" s="553">
        <f>'[3]Maintainability Score Summary'!$K$25</f>
        <v>91</v>
      </c>
      <c r="D7" s="355"/>
      <c r="E7" s="553"/>
      <c r="F7" s="355"/>
      <c r="G7" s="268"/>
      <c r="H7" s="252"/>
      <c r="I7" s="7"/>
      <c r="K7" s="355"/>
      <c r="L7" s="355"/>
      <c r="M7" s="355"/>
      <c r="N7" s="355"/>
    </row>
    <row r="8" spans="1:14" x14ac:dyDescent="0.35">
      <c r="A8" s="556" t="str">
        <f>'[3]Maintainability Score Summary'!$A$6</f>
        <v>SECTION 0 - GENERAL</v>
      </c>
      <c r="B8" s="556"/>
      <c r="C8" s="546">
        <f>'[3]Maintainability Score Summary'!$E$6</f>
        <v>7</v>
      </c>
      <c r="D8" s="546"/>
      <c r="E8" s="546">
        <f>MAX(K8:N8)</f>
        <v>0</v>
      </c>
      <c r="F8" s="546"/>
      <c r="G8" s="269" t="str">
        <f>IF(G9="","",G9)</f>
        <v/>
      </c>
      <c r="H8" s="252"/>
      <c r="I8" s="7"/>
      <c r="K8" s="571">
        <f>'[3]Maintainability Score Summary'!$F$6</f>
        <v>0</v>
      </c>
      <c r="L8" s="546"/>
      <c r="M8" s="571">
        <f>IF(K8=0,'[4]Maintainability Score Summary'!$F$6,0)</f>
        <v>0</v>
      </c>
      <c r="N8" s="546"/>
    </row>
    <row r="9" spans="1:14" x14ac:dyDescent="0.35">
      <c r="A9" s="270">
        <v>0.1</v>
      </c>
      <c r="B9" s="271" t="str">
        <f>'[3]Maintainability Score Summary'!$B$7</f>
        <v>General Project Requirement</v>
      </c>
      <c r="C9" s="555">
        <f>'[3]Maintainability Score Summary'!$E$7</f>
        <v>7</v>
      </c>
      <c r="D9" s="555"/>
      <c r="E9" s="555">
        <f t="shared" ref="E9:E13" si="0">MAX(K9:N9)</f>
        <v>0</v>
      </c>
      <c r="F9" s="555"/>
      <c r="G9" s="280"/>
      <c r="H9" s="252"/>
      <c r="I9" s="7"/>
      <c r="K9" s="572">
        <f>'[3]Maintainability Score Summary'!$F$7</f>
        <v>0</v>
      </c>
      <c r="L9" s="365"/>
      <c r="M9" s="572">
        <f>IF(K9=0,'[4]Maintainability Score Summary'!$F$7,0)</f>
        <v>0</v>
      </c>
      <c r="N9" s="365"/>
    </row>
    <row r="10" spans="1:14" x14ac:dyDescent="0.35">
      <c r="A10" s="556" t="str">
        <f>'[3]Maintainability Score Summary'!$A$8</f>
        <v>SECTION 1 - ARCHITECTURAL EXTERIOR</v>
      </c>
      <c r="B10" s="556"/>
      <c r="C10" s="546">
        <f>'[3]Maintainability Score Summary'!$E$8</f>
        <v>10.5</v>
      </c>
      <c r="D10" s="546"/>
      <c r="E10" s="546">
        <f t="shared" si="0"/>
        <v>0</v>
      </c>
      <c r="F10" s="546"/>
      <c r="G10" s="269" t="str">
        <f>IF(OR(G11="",G13="",G17=""),"",SUM(G17,G13,G11))</f>
        <v/>
      </c>
      <c r="H10" s="252"/>
      <c r="I10" s="7"/>
      <c r="K10" s="571">
        <f>'[3]Maintainability Score Summary'!$F$8</f>
        <v>0</v>
      </c>
      <c r="L10" s="546"/>
      <c r="M10" s="571">
        <f>IF(K10=0,'[4]Maintainability Score Summary'!$F$8,0)</f>
        <v>0</v>
      </c>
      <c r="N10" s="546"/>
    </row>
    <row r="11" spans="1:14" x14ac:dyDescent="0.35">
      <c r="A11" s="540" t="str">
        <f>'[3]Maintainability Score Summary'!$A$9</f>
        <v>Part A - General Façade</v>
      </c>
      <c r="B11" s="541"/>
      <c r="C11" s="554">
        <f>'[3]Maintainability Score Summary'!$E$9</f>
        <v>0.5</v>
      </c>
      <c r="D11" s="554"/>
      <c r="E11" s="554">
        <f t="shared" si="0"/>
        <v>0</v>
      </c>
      <c r="F11" s="554"/>
      <c r="G11" s="272" t="str">
        <f>IF(G12="","",G12)</f>
        <v/>
      </c>
      <c r="H11" s="252"/>
      <c r="I11" s="7"/>
      <c r="K11" s="573">
        <f>'[3]Maintainability Score Summary'!$F$9</f>
        <v>0</v>
      </c>
      <c r="L11" s="554"/>
      <c r="M11" s="573">
        <f>IF(K11=0,'[4]Maintainability Score Summary'!$F$9,0)</f>
        <v>0</v>
      </c>
      <c r="N11" s="554"/>
    </row>
    <row r="12" spans="1:14" x14ac:dyDescent="0.35">
      <c r="A12" s="236">
        <v>1.1000000000000001</v>
      </c>
      <c r="B12" s="39" t="str">
        <f>'[3]Maintainability Score Summary'!$B$10</f>
        <v>General Façade</v>
      </c>
      <c r="C12" s="365">
        <f>'[3]Maintainability Score Summary'!$E$10</f>
        <v>0.5</v>
      </c>
      <c r="D12" s="365"/>
      <c r="E12" s="365">
        <f t="shared" si="0"/>
        <v>0</v>
      </c>
      <c r="F12" s="365"/>
      <c r="G12" s="280"/>
      <c r="H12" s="252"/>
      <c r="I12" s="7"/>
      <c r="K12" s="572">
        <f>'[3]Maintainability Score Summary'!$F$10</f>
        <v>0</v>
      </c>
      <c r="L12" s="365"/>
      <c r="M12" s="572">
        <f>IF(K12=0,'[4]Maintainability Score Summary'!$F$10,0)</f>
        <v>0</v>
      </c>
      <c r="N12" s="365"/>
    </row>
    <row r="13" spans="1:14" x14ac:dyDescent="0.35">
      <c r="A13" s="540" t="str">
        <f>'[3]Maintainability Score Summary'!$A$11</f>
        <v>Part B - Façade System</v>
      </c>
      <c r="B13" s="541"/>
      <c r="C13" s="554">
        <f>'[3]Maintainability Score Summary'!$E$11</f>
        <v>4</v>
      </c>
      <c r="D13" s="554"/>
      <c r="E13" s="554">
        <f t="shared" si="0"/>
        <v>0</v>
      </c>
      <c r="F13" s="554"/>
      <c r="G13" s="272" t="str">
        <f>IF(G14="","",G14)</f>
        <v/>
      </c>
      <c r="H13" s="252"/>
      <c r="I13" s="7"/>
      <c r="K13" s="573">
        <f>'[3]Maintainability Score Summary'!$F$11</f>
        <v>0</v>
      </c>
      <c r="L13" s="573"/>
      <c r="M13" s="573">
        <f>IF(K13=0,'[4]Maintainability Score Summary'!$F$11,0)</f>
        <v>0</v>
      </c>
      <c r="N13" s="573"/>
    </row>
    <row r="14" spans="1:14" x14ac:dyDescent="0.35">
      <c r="A14" s="236">
        <v>1.2</v>
      </c>
      <c r="B14" s="39" t="str">
        <f>'[3]Maintainability Score Summary'!$B$12</f>
        <v>Cladding system: Tile/ Stone/ Metal/ Others</v>
      </c>
      <c r="C14" s="365">
        <f>'[3]Maintainability Score Summary'!$E$12</f>
        <v>4</v>
      </c>
      <c r="D14" s="365"/>
      <c r="E14" s="365">
        <f>MAX(K14:N14)</f>
        <v>0</v>
      </c>
      <c r="F14" s="365"/>
      <c r="G14" s="547"/>
      <c r="H14" s="252"/>
      <c r="I14" s="7"/>
      <c r="K14" s="574">
        <f>'[3]Maintainability Score Summary'!$F$12</f>
        <v>0</v>
      </c>
      <c r="L14" s="574"/>
      <c r="M14" s="574">
        <f>IF(K14=0,'[4]Maintainability Score Summary'!$F$12,0)</f>
        <v>0</v>
      </c>
      <c r="N14" s="574"/>
    </row>
    <row r="15" spans="1:14" x14ac:dyDescent="0.35">
      <c r="A15" s="236">
        <v>1.3</v>
      </c>
      <c r="B15" s="39" t="str">
        <f>'[3]Maintainability Score Summary'!$B$13</f>
        <v>Curtain Wall: Glazing/ Others</v>
      </c>
      <c r="C15" s="365"/>
      <c r="D15" s="365"/>
      <c r="E15" s="365"/>
      <c r="F15" s="365"/>
      <c r="G15" s="548"/>
      <c r="H15" s="252"/>
      <c r="I15" s="7"/>
      <c r="K15" s="574"/>
      <c r="L15" s="574"/>
      <c r="M15" s="574"/>
      <c r="N15" s="574"/>
    </row>
    <row r="16" spans="1:14" x14ac:dyDescent="0.35">
      <c r="A16" s="236">
        <v>1.4</v>
      </c>
      <c r="B16" s="39" t="str">
        <f>'[3]Maintainability Score Summary'!$B$14</f>
        <v>Masonry and Lightweight Concrete Panels</v>
      </c>
      <c r="C16" s="365"/>
      <c r="D16" s="365"/>
      <c r="E16" s="365"/>
      <c r="F16" s="365"/>
      <c r="G16" s="549"/>
      <c r="H16" s="252"/>
      <c r="I16" s="7"/>
      <c r="K16" s="574"/>
      <c r="L16" s="574"/>
      <c r="M16" s="574"/>
      <c r="N16" s="574"/>
    </row>
    <row r="17" spans="1:14" x14ac:dyDescent="0.35">
      <c r="A17" s="540" t="str">
        <f>'[3]Maintainability Score Summary'!$A$15</f>
        <v>Part C - Others</v>
      </c>
      <c r="B17" s="541"/>
      <c r="C17" s="554">
        <f>'[3]Maintainability Score Summary'!$E$15</f>
        <v>6</v>
      </c>
      <c r="D17" s="554"/>
      <c r="E17" s="554">
        <f t="shared" ref="E17" si="1">MAX(K17:N17)</f>
        <v>0</v>
      </c>
      <c r="F17" s="554"/>
      <c r="G17" s="272" t="str">
        <f>IF(OR(G18="",G19=""),"",SUM(G18:G19))</f>
        <v/>
      </c>
      <c r="H17" s="252"/>
      <c r="I17" s="7"/>
      <c r="K17" s="573">
        <f>'[3]Maintainability Score Summary'!$F$15</f>
        <v>0</v>
      </c>
      <c r="L17" s="573"/>
      <c r="M17" s="573">
        <f>IF(K17=0,'[4]Maintainability Score Summary'!$F$15,0)</f>
        <v>0</v>
      </c>
      <c r="N17" s="573"/>
    </row>
    <row r="18" spans="1:14" x14ac:dyDescent="0.35">
      <c r="A18" s="236" t="s">
        <v>487</v>
      </c>
      <c r="B18" s="39" t="str">
        <f>'[3]Maintainability Score Summary'!$B$16</f>
        <v>Façade Features/ considerations</v>
      </c>
      <c r="C18" s="365">
        <f>'[3]Maintainability Score Summary'!$E$16</f>
        <v>3</v>
      </c>
      <c r="D18" s="365"/>
      <c r="E18" s="365">
        <f t="shared" ref="E18:E59" si="2">MAX(K18:N18)</f>
        <v>0</v>
      </c>
      <c r="F18" s="365"/>
      <c r="G18" s="280"/>
      <c r="H18" s="252"/>
      <c r="I18" s="7"/>
      <c r="K18" s="572">
        <f>'[3]Maintainability Score Summary'!$F$16</f>
        <v>0</v>
      </c>
      <c r="L18" s="572"/>
      <c r="M18" s="572">
        <f>IF(K18=0,'[4]Maintainability Score Summary'!$F$16,0)</f>
        <v>0</v>
      </c>
      <c r="N18" s="572"/>
    </row>
    <row r="19" spans="1:14" x14ac:dyDescent="0.35">
      <c r="A19" s="236" t="s">
        <v>488</v>
      </c>
      <c r="B19" s="39" t="str">
        <f>'[3]Maintainability Score Summary'!$B$17</f>
        <v>Entrance lobby</v>
      </c>
      <c r="C19" s="365">
        <f>'[3]Maintainability Score Summary'!$E$17</f>
        <v>3</v>
      </c>
      <c r="D19" s="365"/>
      <c r="E19" s="365">
        <f t="shared" si="2"/>
        <v>0</v>
      </c>
      <c r="F19" s="365"/>
      <c r="G19" s="280"/>
      <c r="H19" s="252"/>
      <c r="I19" s="7"/>
      <c r="K19" s="572">
        <f>'[3]Maintainability Score Summary'!$F$17</f>
        <v>0</v>
      </c>
      <c r="L19" s="572"/>
      <c r="M19" s="572">
        <f>IF(K19=0,'[4]Maintainability Score Summary'!$F$17,0)</f>
        <v>0</v>
      </c>
      <c r="N19" s="572"/>
    </row>
    <row r="20" spans="1:14" x14ac:dyDescent="0.35">
      <c r="A20" s="236" t="s">
        <v>489</v>
      </c>
      <c r="B20" s="39" t="str">
        <f>'[3]Maintainability Score Summary'!$B$18</f>
        <v>Roof</v>
      </c>
      <c r="C20" s="365" t="str">
        <f>'[3]Maintainability Score Summary'!$E$18</f>
        <v>Pre-req</v>
      </c>
      <c r="D20" s="365"/>
      <c r="E20" s="365">
        <f t="shared" si="2"/>
        <v>0</v>
      </c>
      <c r="F20" s="365"/>
      <c r="G20" s="273"/>
      <c r="H20" s="252"/>
      <c r="I20" s="7"/>
      <c r="K20" s="365"/>
      <c r="L20" s="365"/>
      <c r="M20" s="365"/>
      <c r="N20" s="365"/>
    </row>
    <row r="21" spans="1:14" x14ac:dyDescent="0.35">
      <c r="A21" s="556" t="str">
        <f>'[3]Maintainability Score Summary'!$A$19</f>
        <v>SECTION 2 - ARCHITECTURAL INTERIOR</v>
      </c>
      <c r="B21" s="556" t="s">
        <v>58</v>
      </c>
      <c r="C21" s="546">
        <f>'[3]Maintainability Score Summary'!$E$19</f>
        <v>21</v>
      </c>
      <c r="D21" s="546"/>
      <c r="E21" s="546">
        <f t="shared" si="2"/>
        <v>0</v>
      </c>
      <c r="F21" s="546"/>
      <c r="G21" s="269" t="str">
        <f>IF(OR(G22="",G23="",G24="",G25="",G26=""),"",SUM(G22:G26))</f>
        <v/>
      </c>
      <c r="H21" s="252"/>
      <c r="I21" s="7"/>
      <c r="K21" s="575">
        <f>'[3]Maintainability Score Summary'!$F$19</f>
        <v>0</v>
      </c>
      <c r="L21" s="576"/>
      <c r="M21" s="571">
        <f>IF(K21=0,'[4]Maintainability Score Summary'!$F$19,0)</f>
        <v>0</v>
      </c>
      <c r="N21" s="546"/>
    </row>
    <row r="22" spans="1:14" x14ac:dyDescent="0.35">
      <c r="A22" s="236">
        <v>2.1</v>
      </c>
      <c r="B22" s="47" t="str">
        <f>'[3]Maintainability Score Summary'!$B$20</f>
        <v>Floors</v>
      </c>
      <c r="C22" s="365">
        <f>'[3]Maintainability Score Summary'!$E$20</f>
        <v>2.5</v>
      </c>
      <c r="D22" s="365"/>
      <c r="E22" s="365">
        <f t="shared" si="2"/>
        <v>0</v>
      </c>
      <c r="F22" s="365"/>
      <c r="G22" s="280"/>
      <c r="H22" s="252"/>
      <c r="I22" s="7"/>
      <c r="K22" s="572">
        <f>'[3]Maintainability Score Summary'!$F$20</f>
        <v>0</v>
      </c>
      <c r="L22" s="365"/>
      <c r="M22" s="572">
        <f>IF(K22=0,'[4]Maintainability Score Summary'!$F$20,0)</f>
        <v>0</v>
      </c>
      <c r="N22" s="365"/>
    </row>
    <row r="23" spans="1:14" x14ac:dyDescent="0.35">
      <c r="A23" s="236">
        <v>2.2000000000000002</v>
      </c>
      <c r="B23" s="47" t="str">
        <f>'[3]Maintainability Score Summary'!$B$21</f>
        <v>Ceiling</v>
      </c>
      <c r="C23" s="365">
        <f>'[3]Maintainability Score Summary'!$E$21</f>
        <v>4</v>
      </c>
      <c r="D23" s="365"/>
      <c r="E23" s="365">
        <f t="shared" si="2"/>
        <v>0</v>
      </c>
      <c r="F23" s="365"/>
      <c r="G23" s="280"/>
      <c r="H23" s="252"/>
      <c r="I23" s="7"/>
      <c r="K23" s="572">
        <f>'[3]Maintainability Score Summary'!$F$21</f>
        <v>0</v>
      </c>
      <c r="L23" s="365"/>
      <c r="M23" s="572">
        <f>IF(K23=0,'[4]Maintainability Score Summary'!$F$22,0)</f>
        <v>0</v>
      </c>
      <c r="N23" s="365"/>
    </row>
    <row r="24" spans="1:14" x14ac:dyDescent="0.35">
      <c r="A24" s="236">
        <v>2.2999999999999998</v>
      </c>
      <c r="B24" s="47" t="str">
        <f>'[3]Maintainability Score Summary'!$B$22</f>
        <v>Wet Rooms and Storage</v>
      </c>
      <c r="C24" s="365">
        <f>'[3]Maintainability Score Summary'!$E$22</f>
        <v>8</v>
      </c>
      <c r="D24" s="365"/>
      <c r="E24" s="365">
        <f t="shared" si="2"/>
        <v>0</v>
      </c>
      <c r="F24" s="365"/>
      <c r="G24" s="280"/>
      <c r="H24" s="252"/>
      <c r="I24" s="7"/>
      <c r="K24" s="572">
        <f>'[3]Maintainability Score Summary'!$F$22</f>
        <v>0</v>
      </c>
      <c r="L24" s="365"/>
      <c r="M24" s="572">
        <f>IF(K24=0,'[4]Maintainability Score Summary'!$F$23,0)</f>
        <v>0</v>
      </c>
      <c r="N24" s="365"/>
    </row>
    <row r="25" spans="1:14" x14ac:dyDescent="0.35">
      <c r="A25" s="236">
        <v>2.4</v>
      </c>
      <c r="B25" s="47" t="str">
        <f>'[3]Maintainability Score Summary'!$B$23</f>
        <v>Basements</v>
      </c>
      <c r="C25" s="365">
        <f>'[3]Maintainability Score Summary'!$E$23</f>
        <v>4</v>
      </c>
      <c r="D25" s="365"/>
      <c r="E25" s="365">
        <f t="shared" si="2"/>
        <v>0</v>
      </c>
      <c r="F25" s="365"/>
      <c r="G25" s="280"/>
      <c r="H25" s="252"/>
      <c r="I25" s="7"/>
      <c r="K25" s="572">
        <f>'[3]Maintainability Score Summary'!$F$23</f>
        <v>0</v>
      </c>
      <c r="L25" s="365"/>
      <c r="M25" s="572">
        <f>IF(K25=0,'[4]Maintainability Score Summary'!$F$24,0)</f>
        <v>0</v>
      </c>
      <c r="N25" s="365"/>
    </row>
    <row r="26" spans="1:14" x14ac:dyDescent="0.35">
      <c r="A26" s="236">
        <v>2.5</v>
      </c>
      <c r="B26" s="47" t="str">
        <f>'[3]Maintainability Score Summary'!$B$24</f>
        <v>Loading Bay/ Back of House Service Areas</v>
      </c>
      <c r="C26" s="365">
        <f>'[3]Maintainability Score Summary'!$E$24</f>
        <v>2.5</v>
      </c>
      <c r="D26" s="365"/>
      <c r="E26" s="365">
        <f t="shared" si="2"/>
        <v>0</v>
      </c>
      <c r="F26" s="365"/>
      <c r="G26" s="280"/>
      <c r="H26" s="252"/>
      <c r="I26" s="7"/>
      <c r="K26" s="572">
        <f>'[3]Maintainability Score Summary'!$F$24</f>
        <v>0</v>
      </c>
      <c r="L26" s="365"/>
      <c r="M26" s="572">
        <f>IF(K26=0,'[4]Maintainability Score Summary'!$F$25,0)</f>
        <v>0</v>
      </c>
      <c r="N26" s="365"/>
    </row>
    <row r="27" spans="1:14" x14ac:dyDescent="0.35">
      <c r="A27" s="556" t="str">
        <f>'[3]Maintainability Score Summary'!$A$25</f>
        <v xml:space="preserve">SECTION 3 - MECHANICAL </v>
      </c>
      <c r="B27" s="556"/>
      <c r="C27" s="546">
        <f>'[3]Maintainability Score Summary'!$E$25</f>
        <v>18.5</v>
      </c>
      <c r="D27" s="546"/>
      <c r="E27" s="546">
        <f t="shared" si="2"/>
        <v>0</v>
      </c>
      <c r="F27" s="546"/>
      <c r="G27" s="269" t="str">
        <f>IF(OR(G28="",G31=""),"",G28+G31)</f>
        <v/>
      </c>
      <c r="H27" s="252"/>
      <c r="I27" s="7"/>
      <c r="K27" s="571">
        <f>'[3]Maintainability Score Summary'!$F$25</f>
        <v>0</v>
      </c>
      <c r="L27" s="546"/>
      <c r="M27" s="571">
        <f>IF(K27=0,'[4]Maintainability Score Summary'!$F$26,0)</f>
        <v>0</v>
      </c>
      <c r="N27" s="546"/>
    </row>
    <row r="28" spans="1:14" x14ac:dyDescent="0.35">
      <c r="A28" s="540" t="str">
        <f>'[3]Maintainability Score Summary'!$A$26</f>
        <v>Part A - Cooling Systems</v>
      </c>
      <c r="B28" s="541"/>
      <c r="C28" s="554">
        <f>'[3]Maintainability Score Summary'!$E$26</f>
        <v>9.5</v>
      </c>
      <c r="D28" s="554"/>
      <c r="E28" s="554">
        <f t="shared" si="2"/>
        <v>0</v>
      </c>
      <c r="F28" s="554"/>
      <c r="G28" s="272" t="str">
        <f>IF(OR(G29="",G30=""),"",SUM(G29:G30))</f>
        <v/>
      </c>
      <c r="H28" s="252"/>
      <c r="I28" s="7"/>
      <c r="K28" s="573">
        <f>'[3]Maintainability Score Summary'!$F$26</f>
        <v>0</v>
      </c>
      <c r="L28" s="554"/>
      <c r="M28" s="573">
        <f>IF(K28=0,'[4]Maintainability Score Summary'!$F$27,0)</f>
        <v>0</v>
      </c>
      <c r="N28" s="554"/>
    </row>
    <row r="29" spans="1:14" x14ac:dyDescent="0.35">
      <c r="A29" s="236">
        <v>3.1</v>
      </c>
      <c r="B29" s="47" t="str">
        <f>'[3]Maintainability Score Summary'!$B$27</f>
        <v>Chiller Plant</v>
      </c>
      <c r="C29" s="365">
        <f>'[3]Maintainability Score Summary'!$E$27</f>
        <v>9.5</v>
      </c>
      <c r="D29" s="365"/>
      <c r="E29" s="365">
        <f t="shared" si="2"/>
        <v>0</v>
      </c>
      <c r="F29" s="365"/>
      <c r="G29" s="280"/>
      <c r="H29" s="252"/>
      <c r="I29" s="7"/>
      <c r="K29" s="572">
        <f>'[3]Maintainability Score Summary'!$F$27</f>
        <v>0</v>
      </c>
      <c r="L29" s="365"/>
      <c r="M29" s="572">
        <f>IF(K29=0,'[4]Maintainability Score Summary'!$F$28,0)</f>
        <v>0</v>
      </c>
      <c r="N29" s="365"/>
    </row>
    <row r="30" spans="1:14" x14ac:dyDescent="0.35">
      <c r="A30" s="236">
        <v>3.2</v>
      </c>
      <c r="B30" s="47" t="str">
        <f>'[3]Maintainability Score Summary'!$B$28</f>
        <v>VRF</v>
      </c>
      <c r="C30" s="365">
        <f>'[3]Maintainability Score Summary'!$E$28</f>
        <v>1</v>
      </c>
      <c r="D30" s="365"/>
      <c r="E30" s="365">
        <f t="shared" si="2"/>
        <v>0</v>
      </c>
      <c r="F30" s="365"/>
      <c r="G30" s="280"/>
      <c r="H30" s="252"/>
      <c r="I30" s="7"/>
      <c r="K30" s="572">
        <f>'[3]Maintainability Score Summary'!$F$28</f>
        <v>0</v>
      </c>
      <c r="L30" s="365"/>
      <c r="M30" s="572">
        <f>IF(K30=0,'[4]Maintainability Score Summary'!$F$29,0)</f>
        <v>0</v>
      </c>
      <c r="N30" s="365"/>
    </row>
    <row r="31" spans="1:14" x14ac:dyDescent="0.35">
      <c r="A31" s="540" t="str">
        <f>'[3]Maintainability Score Summary'!$A$29</f>
        <v>Part B - Other systems</v>
      </c>
      <c r="B31" s="541"/>
      <c r="C31" s="554">
        <f>'[3]Maintainability Score Summary'!$E$29</f>
        <v>9</v>
      </c>
      <c r="D31" s="554"/>
      <c r="E31" s="554">
        <f t="shared" si="2"/>
        <v>0</v>
      </c>
      <c r="F31" s="554"/>
      <c r="G31" s="272" t="str">
        <f>IF(OR(G32="",G34="",G35="",G36=""),"",SUM(G32,G34:G36))</f>
        <v/>
      </c>
      <c r="H31" s="252"/>
      <c r="I31" s="7"/>
      <c r="K31" s="573">
        <f>'[3]Maintainability Score Summary'!$F$29</f>
        <v>0</v>
      </c>
      <c r="L31" s="554"/>
      <c r="M31" s="573">
        <f>IF(K31=0,'[4]Maintainability Score Summary'!$F$30,0)</f>
        <v>0</v>
      </c>
      <c r="N31" s="554"/>
    </row>
    <row r="32" spans="1:14" x14ac:dyDescent="0.35">
      <c r="A32" s="236">
        <v>3.3</v>
      </c>
      <c r="B32" s="47" t="str">
        <f>'[3]Maintainability Score Summary'!$B$30</f>
        <v>Air Distribution System</v>
      </c>
      <c r="C32" s="365">
        <f>'[3]Maintainability Score Summary'!$E$30</f>
        <v>4</v>
      </c>
      <c r="D32" s="365"/>
      <c r="E32" s="365">
        <f t="shared" si="2"/>
        <v>0</v>
      </c>
      <c r="F32" s="365"/>
      <c r="G32" s="280"/>
      <c r="H32" s="252"/>
      <c r="I32" s="7"/>
      <c r="K32" s="572">
        <f>'[3]Maintainability Score Summary'!$F$30</f>
        <v>0</v>
      </c>
      <c r="L32" s="365"/>
      <c r="M32" s="572">
        <f>IF(K32=0,'[4]Maintainability Score Summary'!$F$31,0)</f>
        <v>0</v>
      </c>
      <c r="N32" s="365"/>
    </row>
    <row r="33" spans="1:14" x14ac:dyDescent="0.35">
      <c r="A33" s="236">
        <v>3.4</v>
      </c>
      <c r="B33" s="47" t="str">
        <f>'[3]Maintainability Score Summary'!$B$31</f>
        <v>Domestic Water Supply</v>
      </c>
      <c r="C33" s="365" t="str">
        <f>'[3]Maintainability Score Summary'!$E$31</f>
        <v>Pre-req</v>
      </c>
      <c r="D33" s="365"/>
      <c r="E33" s="365">
        <f t="shared" si="2"/>
        <v>0</v>
      </c>
      <c r="F33" s="365"/>
      <c r="G33" s="281"/>
      <c r="H33" s="252"/>
      <c r="I33" s="7"/>
      <c r="K33" s="365"/>
      <c r="L33" s="365"/>
      <c r="M33" s="365"/>
      <c r="N33" s="365"/>
    </row>
    <row r="34" spans="1:14" x14ac:dyDescent="0.35">
      <c r="A34" s="236">
        <v>3.5</v>
      </c>
      <c r="B34" s="47" t="str">
        <f>'[3]Maintainability Score Summary'!$B$32</f>
        <v>Sanitary System</v>
      </c>
      <c r="C34" s="365">
        <f>'[3]Maintainability Score Summary'!$E$32</f>
        <v>2</v>
      </c>
      <c r="D34" s="365"/>
      <c r="E34" s="365">
        <f t="shared" si="2"/>
        <v>0</v>
      </c>
      <c r="F34" s="365"/>
      <c r="G34" s="280"/>
      <c r="H34" s="252"/>
      <c r="I34" s="7"/>
      <c r="K34" s="572">
        <f>'[3]Maintainability Score Summary'!$F$32</f>
        <v>0</v>
      </c>
      <c r="L34" s="365"/>
      <c r="M34" s="572">
        <f>IF(K34=0,'[4]Maintainability Score Summary'!$F$33,0)</f>
        <v>0</v>
      </c>
      <c r="N34" s="365"/>
    </row>
    <row r="35" spans="1:14" x14ac:dyDescent="0.35">
      <c r="A35" s="236">
        <v>3.6</v>
      </c>
      <c r="B35" s="47" t="str">
        <f>'[3]Maintainability Score Summary'!$B$33</f>
        <v>Fire Protection System</v>
      </c>
      <c r="C35" s="365">
        <f>'[3]Maintainability Score Summary'!$E$33</f>
        <v>2</v>
      </c>
      <c r="D35" s="365"/>
      <c r="E35" s="365">
        <f t="shared" si="2"/>
        <v>0</v>
      </c>
      <c r="F35" s="365"/>
      <c r="G35" s="280"/>
      <c r="H35" s="252"/>
      <c r="I35" s="7"/>
      <c r="K35" s="572">
        <f>'[3]Maintainability Score Summary'!$F$33</f>
        <v>0</v>
      </c>
      <c r="L35" s="365"/>
      <c r="M35" s="572">
        <f>IF(K35=0,'[4]Maintainability Score Summary'!$F$34,0)</f>
        <v>0</v>
      </c>
      <c r="N35" s="365"/>
    </row>
    <row r="36" spans="1:14" x14ac:dyDescent="0.35">
      <c r="A36" s="236">
        <v>3.7</v>
      </c>
      <c r="B36" s="47" t="str">
        <f>'[3]Maintainability Score Summary'!$B$34</f>
        <v>Building Management System</v>
      </c>
      <c r="C36" s="365">
        <f>'[3]Maintainability Score Summary'!$E$34</f>
        <v>1</v>
      </c>
      <c r="D36" s="365"/>
      <c r="E36" s="365">
        <f t="shared" si="2"/>
        <v>0</v>
      </c>
      <c r="F36" s="365"/>
      <c r="G36" s="280"/>
      <c r="H36" s="252"/>
      <c r="I36" s="7"/>
      <c r="K36" s="572">
        <f>'[3]Maintainability Score Summary'!$F$34</f>
        <v>0</v>
      </c>
      <c r="L36" s="365"/>
      <c r="M36" s="572">
        <f>IF(K36=0,'[4]Maintainability Score Summary'!$F$35,0)</f>
        <v>0</v>
      </c>
      <c r="N36" s="365"/>
    </row>
    <row r="37" spans="1:14" x14ac:dyDescent="0.35">
      <c r="A37" s="556" t="str">
        <f>'[3]Maintainability Score Summary'!$A$35</f>
        <v xml:space="preserve">SECTION 4 - ELECTRICAL </v>
      </c>
      <c r="B37" s="556" t="s">
        <v>470</v>
      </c>
      <c r="C37" s="546">
        <f>'[3]Maintainability Score Summary'!$E$35</f>
        <v>10.5</v>
      </c>
      <c r="D37" s="546"/>
      <c r="E37" s="546">
        <f t="shared" si="2"/>
        <v>0</v>
      </c>
      <c r="F37" s="546"/>
      <c r="G37" s="269" t="str">
        <f>IF(OR(G38="",G39="",G40="",G41="",G42="",G43=""),"",SUM(G38:G43))</f>
        <v/>
      </c>
      <c r="H37" s="252"/>
      <c r="I37" s="7"/>
      <c r="K37" s="571">
        <f>'[3]Maintainability Score Summary'!$F$35</f>
        <v>0</v>
      </c>
      <c r="L37" s="546"/>
      <c r="M37" s="571">
        <f>IF(K37=0,'[4]Maintainability Score Summary'!$F$36,0)</f>
        <v>0</v>
      </c>
      <c r="N37" s="546"/>
    </row>
    <row r="38" spans="1:14" x14ac:dyDescent="0.35">
      <c r="A38" s="236">
        <v>4.0999999999999996</v>
      </c>
      <c r="B38" s="47" t="str">
        <f>'[3]Maintainability Score Summary'!$B$36</f>
        <v>Lighting System</v>
      </c>
      <c r="C38" s="365">
        <f>'[3]Maintainability Score Summary'!$E$36</f>
        <v>2</v>
      </c>
      <c r="D38" s="365"/>
      <c r="E38" s="365">
        <f t="shared" si="2"/>
        <v>0</v>
      </c>
      <c r="F38" s="365"/>
      <c r="G38" s="280"/>
      <c r="H38" s="252"/>
      <c r="I38" s="7"/>
      <c r="K38" s="572">
        <f>'[3]Maintainability Score Summary'!$F$36</f>
        <v>0</v>
      </c>
      <c r="L38" s="365"/>
      <c r="M38" s="572">
        <f>IF(K38=0,'[4]Maintainability Score Summary'!$F$37,0)</f>
        <v>0</v>
      </c>
      <c r="N38" s="365"/>
    </row>
    <row r="39" spans="1:14" x14ac:dyDescent="0.35">
      <c r="A39" s="236">
        <v>4.2</v>
      </c>
      <c r="B39" s="47" t="str">
        <f>'[3]Maintainability Score Summary'!$B$37</f>
        <v>Power Distribution System</v>
      </c>
      <c r="C39" s="365">
        <f>'[3]Maintainability Score Summary'!$E$37</f>
        <v>2</v>
      </c>
      <c r="D39" s="365"/>
      <c r="E39" s="365">
        <f t="shared" si="2"/>
        <v>0</v>
      </c>
      <c r="F39" s="365"/>
      <c r="G39" s="280"/>
      <c r="H39" s="252"/>
      <c r="I39" s="7"/>
      <c r="K39" s="572">
        <f>'[3]Maintainability Score Summary'!$F$37</f>
        <v>0</v>
      </c>
      <c r="L39" s="365"/>
      <c r="M39" s="572">
        <f>IF(K39=0,'[4]Maintainability Score Summary'!$F$38,0)</f>
        <v>0</v>
      </c>
      <c r="N39" s="365"/>
    </row>
    <row r="40" spans="1:14" x14ac:dyDescent="0.35">
      <c r="A40" s="236">
        <v>4.3</v>
      </c>
      <c r="B40" s="47" t="str">
        <f>'[3]Maintainability Score Summary'!$B$38</f>
        <v>Extra Low Voltage System</v>
      </c>
      <c r="C40" s="365">
        <f>'[3]Maintainability Score Summary'!$E$38</f>
        <v>3</v>
      </c>
      <c r="D40" s="365"/>
      <c r="E40" s="365">
        <f t="shared" si="2"/>
        <v>0</v>
      </c>
      <c r="F40" s="365"/>
      <c r="G40" s="280"/>
      <c r="H40" s="252"/>
      <c r="I40" s="7"/>
      <c r="K40" s="572">
        <f>'[3]Maintainability Score Summary'!$F$38</f>
        <v>0</v>
      </c>
      <c r="L40" s="365"/>
      <c r="M40" s="572">
        <f>IF(K40=0,'[4]Maintainability Score Summary'!$F$39,0)</f>
        <v>0</v>
      </c>
      <c r="N40" s="365"/>
    </row>
    <row r="41" spans="1:14" x14ac:dyDescent="0.35">
      <c r="A41" s="236">
        <v>4.4000000000000004</v>
      </c>
      <c r="B41" s="47" t="str">
        <f>'[3]Maintainability Score Summary'!$B$39</f>
        <v>Lightning Protection System</v>
      </c>
      <c r="C41" s="365">
        <f>'[3]Maintainability Score Summary'!$E$39</f>
        <v>1</v>
      </c>
      <c r="D41" s="365"/>
      <c r="E41" s="365">
        <f t="shared" si="2"/>
        <v>0</v>
      </c>
      <c r="F41" s="365"/>
      <c r="G41" s="280"/>
      <c r="H41" s="252"/>
      <c r="I41" s="7"/>
      <c r="K41" s="572">
        <f>'[3]Maintainability Score Summary'!$F$39</f>
        <v>0</v>
      </c>
      <c r="L41" s="365"/>
      <c r="M41" s="572">
        <f>IF(K41=0,'[4]Maintainability Score Summary'!$F$40,0)</f>
        <v>0</v>
      </c>
      <c r="N41" s="365"/>
    </row>
    <row r="42" spans="1:14" x14ac:dyDescent="0.35">
      <c r="A42" s="236">
        <v>4.5</v>
      </c>
      <c r="B42" s="47" t="str">
        <f>'[3]Maintainability Score Summary'!$B$40</f>
        <v>Vertical Transportation System</v>
      </c>
      <c r="C42" s="365">
        <f>'[3]Maintainability Score Summary'!$E$40</f>
        <v>2</v>
      </c>
      <c r="D42" s="365"/>
      <c r="E42" s="365">
        <f t="shared" si="2"/>
        <v>0</v>
      </c>
      <c r="F42" s="365"/>
      <c r="G42" s="280"/>
      <c r="H42" s="252"/>
      <c r="I42" s="7"/>
      <c r="K42" s="572">
        <f>'[3]Maintainability Score Summary'!$F$40</f>
        <v>0</v>
      </c>
      <c r="L42" s="365"/>
      <c r="M42" s="572">
        <f>IF(K42=0,'[4]Maintainability Score Summary'!$F$41,0)</f>
        <v>0</v>
      </c>
      <c r="N42" s="365"/>
    </row>
    <row r="43" spans="1:14" x14ac:dyDescent="0.35">
      <c r="A43" s="236">
        <v>4.5999999999999996</v>
      </c>
      <c r="B43" s="47" t="str">
        <f>'[3]Maintainability Score Summary'!$B$41</f>
        <v>Solar PV System</v>
      </c>
      <c r="C43" s="365">
        <f>'[3]Maintainability Score Summary'!$E$41</f>
        <v>0.5</v>
      </c>
      <c r="D43" s="365"/>
      <c r="E43" s="365">
        <f t="shared" si="2"/>
        <v>0</v>
      </c>
      <c r="F43" s="365"/>
      <c r="G43" s="280"/>
      <c r="H43" s="252"/>
      <c r="I43" s="7"/>
      <c r="K43" s="572">
        <f>'[3]Maintainability Score Summary'!$F$41</f>
        <v>0</v>
      </c>
      <c r="L43" s="365"/>
      <c r="M43" s="572">
        <f>IF(K43=0,'[4]Maintainability Score Summary'!$F$42,0)</f>
        <v>0</v>
      </c>
      <c r="N43" s="365"/>
    </row>
    <row r="44" spans="1:14" x14ac:dyDescent="0.35">
      <c r="A44" s="556" t="str">
        <f>'[3]Maintainability Score Summary'!$H$6</f>
        <v xml:space="preserve">SECTION 5 - LANDSCAPE </v>
      </c>
      <c r="B44" s="556"/>
      <c r="C44" s="546">
        <f>'[3]Maintainability Score Summary'!$L$6</f>
        <v>10.5</v>
      </c>
      <c r="D44" s="546"/>
      <c r="E44" s="546">
        <f t="shared" si="2"/>
        <v>0</v>
      </c>
      <c r="F44" s="546"/>
      <c r="G44" s="269" t="str">
        <f>IF(OR(G45="",G46="",G48="",G49="",G50=""),"",SUM(G45:G46,G48:G50))</f>
        <v/>
      </c>
      <c r="H44" s="252"/>
      <c r="I44" s="7"/>
      <c r="K44" s="571">
        <f>'[3]Maintainability Score Summary'!$M$6</f>
        <v>0</v>
      </c>
      <c r="L44" s="546"/>
      <c r="M44" s="571">
        <f>IF(K44=0,'[4]Maintainability Score Summary'!$M$6,0)</f>
        <v>0</v>
      </c>
      <c r="N44" s="546"/>
    </row>
    <row r="45" spans="1:14" x14ac:dyDescent="0.35">
      <c r="A45" s="236">
        <v>5.0999999999999996</v>
      </c>
      <c r="B45" s="47" t="str">
        <f>'[3]Maintainability Score Summary'!$I$7</f>
        <v>Softscape</v>
      </c>
      <c r="C45" s="550">
        <f>'[3]Maintainability Score Summary'!$L$7</f>
        <v>1.5</v>
      </c>
      <c r="D45" s="551"/>
      <c r="E45" s="550">
        <f t="shared" si="2"/>
        <v>0</v>
      </c>
      <c r="F45" s="551"/>
      <c r="G45" s="280"/>
      <c r="H45" s="252"/>
      <c r="I45" s="7"/>
      <c r="K45" s="578">
        <f>'[3]Maintainability Score Summary'!$M$7</f>
        <v>0</v>
      </c>
      <c r="L45" s="551"/>
      <c r="M45" s="578">
        <f>IF(K45=0,'[4]Maintainability Score Summary'!$M$7,0)</f>
        <v>0</v>
      </c>
      <c r="N45" s="551"/>
    </row>
    <row r="46" spans="1:14" x14ac:dyDescent="0.35">
      <c r="A46" s="236">
        <v>5.2</v>
      </c>
      <c r="B46" s="47" t="str">
        <f>'[3]Maintainability Score Summary'!$I$8</f>
        <v>Hardscape</v>
      </c>
      <c r="C46" s="550">
        <f>'[3]Maintainability Score Summary'!$L$8</f>
        <v>4</v>
      </c>
      <c r="D46" s="551"/>
      <c r="E46" s="550">
        <f t="shared" si="2"/>
        <v>0</v>
      </c>
      <c r="F46" s="551"/>
      <c r="G46" s="280"/>
      <c r="H46" s="252"/>
      <c r="I46" s="7"/>
      <c r="K46" s="578">
        <f>'[3]Maintainability Score Summary'!$M$8</f>
        <v>0</v>
      </c>
      <c r="L46" s="551"/>
      <c r="M46" s="578">
        <f>IF(K46=0,'[4]Maintainability Score Summary'!$M$8,0)</f>
        <v>0</v>
      </c>
      <c r="N46" s="551"/>
    </row>
    <row r="47" spans="1:14" x14ac:dyDescent="0.35">
      <c r="A47" s="236">
        <v>5.3</v>
      </c>
      <c r="B47" s="47" t="str">
        <f>'[3]Maintainability Score Summary'!$I$9</f>
        <v>Vertical Greenery</v>
      </c>
      <c r="C47" s="365" t="str">
        <f>'[3]Maintainability Score Summary'!$L$9</f>
        <v>Pre-req</v>
      </c>
      <c r="D47" s="365"/>
      <c r="E47" s="365">
        <f t="shared" si="2"/>
        <v>0</v>
      </c>
      <c r="F47" s="365"/>
      <c r="G47" s="281"/>
      <c r="H47" s="252"/>
      <c r="I47" s="7"/>
      <c r="K47" s="365"/>
      <c r="L47" s="365"/>
      <c r="M47" s="365"/>
      <c r="N47" s="365"/>
    </row>
    <row r="48" spans="1:14" x14ac:dyDescent="0.35">
      <c r="A48" s="236">
        <v>5.4</v>
      </c>
      <c r="B48" s="47" t="str">
        <f>'[3]Maintainability Score Summary'!$I$10</f>
        <v>Roof and Sky Terraces</v>
      </c>
      <c r="C48" s="365">
        <f>'[3]Maintainability Score Summary'!$L$10</f>
        <v>1.5</v>
      </c>
      <c r="D48" s="365"/>
      <c r="E48" s="365">
        <f t="shared" si="2"/>
        <v>0</v>
      </c>
      <c r="F48" s="365"/>
      <c r="G48" s="280"/>
      <c r="H48" s="252"/>
      <c r="I48" s="7"/>
      <c r="K48" s="572">
        <f>'[3]Maintainability Score Summary'!$M$10</f>
        <v>0</v>
      </c>
      <c r="L48" s="365"/>
      <c r="M48" s="572">
        <f>IF(K48=0,'[4]Maintainability Score Summary'!$M$10,0)</f>
        <v>0</v>
      </c>
      <c r="N48" s="365"/>
    </row>
    <row r="49" spans="1:14" x14ac:dyDescent="0.35">
      <c r="A49" s="236">
        <v>5.5</v>
      </c>
      <c r="B49" s="47" t="str">
        <f>'[3]Maintainability Score Summary'!$I$11</f>
        <v>Water Retaining Structures</v>
      </c>
      <c r="C49" s="365">
        <f>'[3]Maintainability Score Summary'!$L$11</f>
        <v>2</v>
      </c>
      <c r="D49" s="365"/>
      <c r="E49" s="365">
        <f t="shared" si="2"/>
        <v>0</v>
      </c>
      <c r="F49" s="365"/>
      <c r="G49" s="280"/>
      <c r="H49" s="252"/>
      <c r="I49" s="7"/>
      <c r="K49" s="572">
        <f>'[3]Maintainability Score Summary'!$M$11</f>
        <v>0</v>
      </c>
      <c r="L49" s="365"/>
      <c r="M49" s="572">
        <f>IF(K49=0,'[4]Maintainability Score Summary'!$M$11,0)</f>
        <v>0</v>
      </c>
      <c r="N49" s="365"/>
    </row>
    <row r="50" spans="1:14" x14ac:dyDescent="0.35">
      <c r="A50" s="236">
        <v>5.6</v>
      </c>
      <c r="B50" s="47" t="str">
        <f>'[3]Maintainability Score Summary'!$I$12</f>
        <v>Standalone Structures</v>
      </c>
      <c r="C50" s="365">
        <f>'[3]Maintainability Score Summary'!$L$12</f>
        <v>1.5</v>
      </c>
      <c r="D50" s="365"/>
      <c r="E50" s="365">
        <f t="shared" si="2"/>
        <v>0</v>
      </c>
      <c r="F50" s="365"/>
      <c r="G50" s="280"/>
      <c r="H50" s="252"/>
      <c r="I50" s="7"/>
      <c r="K50" s="572">
        <f>'[3]Maintainability Score Summary'!$M$12</f>
        <v>0</v>
      </c>
      <c r="L50" s="365"/>
      <c r="M50" s="572">
        <f>IF(K50=0,'[4]Maintainability Score Summary'!$M$12,0)</f>
        <v>0</v>
      </c>
      <c r="N50" s="365"/>
    </row>
    <row r="51" spans="1:14" x14ac:dyDescent="0.35">
      <c r="A51" s="556" t="str">
        <f>'[3]Maintainability Score Summary'!$H$13</f>
        <v xml:space="preserve">SECTION 6 - SMART FM </v>
      </c>
      <c r="B51" s="556"/>
      <c r="C51" s="546">
        <f>'[3]Maintainability Score Summary'!$L$13</f>
        <v>13</v>
      </c>
      <c r="D51" s="546"/>
      <c r="E51" s="546">
        <f t="shared" si="2"/>
        <v>0</v>
      </c>
      <c r="F51" s="546"/>
      <c r="G51" s="269" t="str">
        <f>IF(OR(G52="",G53="",G54="",G55="",G56=""),"",SUM(G52:G56))</f>
        <v/>
      </c>
      <c r="H51" s="252"/>
      <c r="I51" s="7"/>
      <c r="K51" s="571">
        <f>'[3]Maintainability Score Summary'!$M$13</f>
        <v>0</v>
      </c>
      <c r="L51" s="546"/>
      <c r="M51" s="571">
        <f>IF(K51=0,'[4]Maintainability Score Summary'!$M$13,0)</f>
        <v>0</v>
      </c>
      <c r="N51" s="546"/>
    </row>
    <row r="52" spans="1:14" x14ac:dyDescent="0.35">
      <c r="A52" s="236">
        <v>6.1</v>
      </c>
      <c r="B52" s="47" t="str">
        <f>'[3]Maintainability Score Summary'!$I$14</f>
        <v>Good Practices</v>
      </c>
      <c r="C52" s="365">
        <f>'[3]Maintainability Score Summary'!$L$14</f>
        <v>2</v>
      </c>
      <c r="D52" s="365"/>
      <c r="E52" s="365">
        <f t="shared" si="2"/>
        <v>0</v>
      </c>
      <c r="F52" s="365"/>
      <c r="G52" s="280"/>
      <c r="H52" s="252"/>
      <c r="I52" s="7"/>
      <c r="K52" s="572">
        <f>'[3]Maintainability Score Summary'!$M$14</f>
        <v>0</v>
      </c>
      <c r="L52" s="365"/>
      <c r="M52" s="572">
        <f>IF(K52=0,'[4]Maintainability Score Summary'!$M$14,0)</f>
        <v>0</v>
      </c>
      <c r="N52" s="365"/>
    </row>
    <row r="53" spans="1:14" x14ac:dyDescent="0.35">
      <c r="A53" s="236">
        <v>6.2</v>
      </c>
      <c r="B53" s="47" t="str">
        <f>'[3]Maintainability Score Summary'!$I$15</f>
        <v>Cybersecurity</v>
      </c>
      <c r="C53" s="365">
        <f>'[3]Maintainability Score Summary'!$L$15</f>
        <v>1</v>
      </c>
      <c r="D53" s="365"/>
      <c r="E53" s="365">
        <f t="shared" si="2"/>
        <v>0</v>
      </c>
      <c r="F53" s="365"/>
      <c r="G53" s="280"/>
      <c r="H53" s="252"/>
      <c r="I53" s="7"/>
      <c r="K53" s="572">
        <f>'[3]Maintainability Score Summary'!$M$15</f>
        <v>0</v>
      </c>
      <c r="L53" s="365"/>
      <c r="M53" s="572">
        <f>IF(K53=0,'[4]Maintainability Score Summary'!$M$15,0)</f>
        <v>0</v>
      </c>
      <c r="N53" s="365"/>
    </row>
    <row r="54" spans="1:14" x14ac:dyDescent="0.35">
      <c r="A54" s="236">
        <v>6.3</v>
      </c>
      <c r="B54" s="47" t="str">
        <f>'[3]Maintainability Score Summary'!$I$16</f>
        <v>Innovation</v>
      </c>
      <c r="C54" s="365">
        <f>'[3]Maintainability Score Summary'!$L$16</f>
        <v>3</v>
      </c>
      <c r="D54" s="365"/>
      <c r="E54" s="365">
        <f t="shared" si="2"/>
        <v>0</v>
      </c>
      <c r="F54" s="365"/>
      <c r="G54" s="280"/>
      <c r="H54" s="252"/>
      <c r="I54" s="7"/>
      <c r="K54" s="572">
        <f>'[3]Maintainability Score Summary'!$M$16</f>
        <v>0</v>
      </c>
      <c r="L54" s="365"/>
      <c r="M54" s="572">
        <f>IF(K54=0,'[4]Maintainability Score Summary'!$M$16,0)</f>
        <v>0</v>
      </c>
      <c r="N54" s="365"/>
    </row>
    <row r="55" spans="1:14" x14ac:dyDescent="0.35">
      <c r="A55" s="236">
        <v>6.4</v>
      </c>
      <c r="B55" s="47" t="str">
        <f>'[3]Maintainability Score Summary'!$I$17</f>
        <v>Advanced Smart FM</v>
      </c>
      <c r="C55" s="365">
        <f>'[3]Maintainability Score Summary'!$L$17</f>
        <v>4</v>
      </c>
      <c r="D55" s="365"/>
      <c r="E55" s="365">
        <f t="shared" si="2"/>
        <v>0</v>
      </c>
      <c r="F55" s="365"/>
      <c r="G55" s="280"/>
      <c r="H55" s="252"/>
      <c r="I55" s="7"/>
      <c r="K55" s="572">
        <f>'[3]Maintainability Score Summary'!$M$17</f>
        <v>0</v>
      </c>
      <c r="L55" s="365"/>
      <c r="M55" s="572">
        <f>IF(K55=0,'[4]Maintainability Score Summary'!$M$17,0)</f>
        <v>0</v>
      </c>
      <c r="N55" s="365"/>
    </row>
    <row r="56" spans="1:14" x14ac:dyDescent="0.35">
      <c r="A56" s="236">
        <v>6.5</v>
      </c>
      <c r="B56" s="47" t="str">
        <f>'[3]Maintainability Score Summary'!$I$18</f>
        <v>Robotics &amp; Automation</v>
      </c>
      <c r="C56" s="365">
        <f>'[3]Maintainability Score Summary'!$L$18</f>
        <v>3</v>
      </c>
      <c r="D56" s="365"/>
      <c r="E56" s="365">
        <f t="shared" si="2"/>
        <v>0</v>
      </c>
      <c r="F56" s="365"/>
      <c r="G56" s="280"/>
      <c r="H56" s="252"/>
      <c r="I56" s="7"/>
      <c r="K56" s="572">
        <f>'[3]Maintainability Score Summary'!$M$18</f>
        <v>0</v>
      </c>
      <c r="L56" s="365"/>
      <c r="M56" s="572">
        <f>IF(K56=0,'[4]Maintainability Score Summary'!$M$18,0)</f>
        <v>0</v>
      </c>
      <c r="N56" s="365"/>
    </row>
    <row r="57" spans="1:14" x14ac:dyDescent="0.35">
      <c r="A57" s="556" t="s">
        <v>490</v>
      </c>
      <c r="B57" s="556"/>
      <c r="C57" s="546">
        <v>4.5</v>
      </c>
      <c r="D57" s="546"/>
      <c r="E57" s="546">
        <f t="shared" si="2"/>
        <v>0</v>
      </c>
      <c r="F57" s="546"/>
      <c r="G57" s="269" t="str">
        <f>IF(OR(G58="",G59=""),"",SUM(G58:G59))</f>
        <v/>
      </c>
      <c r="H57" s="252"/>
      <c r="I57" s="7"/>
      <c r="K57" s="571">
        <f>'[3]Maintainability Score Summary'!$N$24</f>
        <v>0</v>
      </c>
      <c r="L57" s="546"/>
      <c r="M57" s="571">
        <f>IF(K57=0,'[4]Maintainability Score Summary'!$N$24,0)</f>
        <v>0</v>
      </c>
      <c r="N57" s="546"/>
    </row>
    <row r="58" spans="1:14" x14ac:dyDescent="0.35">
      <c r="A58" s="45"/>
      <c r="B58" s="47" t="str">
        <f>'[3]Maintainability Score Summary'!$H$20</f>
        <v>Section 1 BONUS POINTS</v>
      </c>
      <c r="C58" s="365">
        <f>'[3]Maintainability Score Summary'!$L$20</f>
        <v>2</v>
      </c>
      <c r="D58" s="365"/>
      <c r="E58" s="365">
        <f t="shared" si="2"/>
        <v>0</v>
      </c>
      <c r="F58" s="365"/>
      <c r="G58" s="280"/>
      <c r="H58" s="252"/>
      <c r="I58" s="7"/>
      <c r="K58" s="572">
        <f>'[3]Maintainability Score Summary'!$M$20</f>
        <v>0</v>
      </c>
      <c r="L58" s="365"/>
      <c r="M58" s="572">
        <f>IF(K58=0,'[4]Maintainability Score Summary'!$M$20,0)</f>
        <v>0</v>
      </c>
      <c r="N58" s="365"/>
    </row>
    <row r="59" spans="1:14" x14ac:dyDescent="0.35">
      <c r="A59" s="45"/>
      <c r="B59" s="47" t="str">
        <f>'[3]Maintainability Score Summary'!$H$21</f>
        <v>Section 5 BONUS POINTS</v>
      </c>
      <c r="C59" s="429">
        <f>'[3]Maintainability Score Summary'!$L$21</f>
        <v>2.5</v>
      </c>
      <c r="D59" s="429"/>
      <c r="E59" s="429">
        <f t="shared" si="2"/>
        <v>0</v>
      </c>
      <c r="F59" s="429"/>
      <c r="G59" s="280"/>
      <c r="H59" s="252"/>
      <c r="I59" s="7"/>
      <c r="K59" s="577">
        <f>'[3]Maintainability Score Summary'!$M$21</f>
        <v>0</v>
      </c>
      <c r="L59" s="429"/>
      <c r="M59" s="577">
        <f>IF(K59=0,'[4]Maintainability Score Summary'!$M$21,0)</f>
        <v>0</v>
      </c>
      <c r="N59" s="429"/>
    </row>
    <row r="60" spans="1:14" s="5" customFormat="1" x14ac:dyDescent="0.35">
      <c r="A60" s="274"/>
      <c r="B60" s="275" t="s">
        <v>491</v>
      </c>
      <c r="C60" s="559" t="str">
        <f>IF(J60=0,IF(OR(G51="",G44="",G37="",G27="",G21="",G10="",G8=""),"",G51+G44+G37+G27+G21+G10+G8),J60)</f>
        <v/>
      </c>
      <c r="D60" s="559"/>
      <c r="E60" s="559"/>
      <c r="F60" s="559"/>
      <c r="G60" s="559"/>
      <c r="H60" s="252"/>
      <c r="I60" s="259"/>
      <c r="J60" s="276">
        <f>MAX(K60:N60)</f>
        <v>0</v>
      </c>
      <c r="K60" s="579">
        <f>'[3]Maintainability Score Summary'!$K$24</f>
        <v>0</v>
      </c>
      <c r="L60" s="579"/>
      <c r="M60" s="579">
        <f>IF(K60=0,'[4]Maintainability Score Summary'!$K$24,0)</f>
        <v>0</v>
      </c>
      <c r="N60" s="579"/>
    </row>
    <row r="61" spans="1:14" s="5" customFormat="1" x14ac:dyDescent="0.35">
      <c r="A61" s="274"/>
      <c r="B61" s="275" t="s">
        <v>492</v>
      </c>
      <c r="C61" s="537">
        <f>MAX(K61:N61)</f>
        <v>0</v>
      </c>
      <c r="D61" s="538"/>
      <c r="E61" s="538"/>
      <c r="F61" s="539"/>
      <c r="G61" s="280"/>
      <c r="H61" s="252"/>
      <c r="I61" s="279"/>
      <c r="J61" s="282"/>
      <c r="K61" s="537">
        <f>'[3]Maintainability Score Summary'!$K$26</f>
        <v>0</v>
      </c>
      <c r="L61" s="538"/>
      <c r="M61" s="559">
        <f>IF(K61=0,'[4]Maintainability Score Summary'!$K$26,0)</f>
        <v>0</v>
      </c>
      <c r="N61" s="559"/>
    </row>
    <row r="62" spans="1:14" s="5" customFormat="1" x14ac:dyDescent="0.35">
      <c r="A62" s="274"/>
      <c r="B62" s="277" t="s">
        <v>493</v>
      </c>
      <c r="C62" s="537">
        <f>MAX(K62:N62)</f>
        <v>0</v>
      </c>
      <c r="D62" s="538"/>
      <c r="E62" s="538"/>
      <c r="F62" s="539"/>
      <c r="G62" s="281" t="str">
        <f>IF(OR(G58="",G59="",C60=""),"",IF(C60=J63,G58+G59,""))</f>
        <v/>
      </c>
      <c r="H62" s="252"/>
      <c r="I62" s="279"/>
      <c r="J62" s="282"/>
      <c r="K62" s="537">
        <f>'[3]Maintainability Score Summary'!$N$24</f>
        <v>0</v>
      </c>
      <c r="L62" s="538"/>
      <c r="M62" s="559">
        <f>IF(K62=0,'[4]Maintainability Score Summary'!$N$24,0)</f>
        <v>0</v>
      </c>
      <c r="N62" s="559"/>
    </row>
    <row r="63" spans="1:14" s="5" customFormat="1" x14ac:dyDescent="0.35">
      <c r="A63" s="274"/>
      <c r="B63" s="557" t="s">
        <v>494</v>
      </c>
      <c r="C63" s="559" t="s">
        <v>495</v>
      </c>
      <c r="D63" s="559"/>
      <c r="E63" s="567">
        <f>MAX(K63:N63)</f>
        <v>0</v>
      </c>
      <c r="F63" s="568"/>
      <c r="G63" s="281">
        <f>IF(OR(C60="",G57=""),0,IF(C60=J63,(C60/(91-G61))*91,0))</f>
        <v>0</v>
      </c>
      <c r="H63" s="259"/>
      <c r="I63" s="279"/>
      <c r="J63" s="283" t="str">
        <f>IF(OR(G51="",G44="",G37="",G27="",G21="",G10="",G8=""),"",G51+G44+G37+G27+G21+G10+G8)</f>
        <v/>
      </c>
      <c r="K63" s="567">
        <f>'[3]Maintainability Score Summary'!$K$27</f>
        <v>0</v>
      </c>
      <c r="L63" s="568"/>
      <c r="M63" s="582">
        <f>IF(K63=0,'[4]Maintainability Score Summary'!$K$27,0)</f>
        <v>0</v>
      </c>
      <c r="N63" s="582"/>
    </row>
    <row r="64" spans="1:14" s="5" customFormat="1" x14ac:dyDescent="0.35">
      <c r="A64" s="274"/>
      <c r="B64" s="558"/>
      <c r="C64" s="559" t="s">
        <v>496</v>
      </c>
      <c r="D64" s="559"/>
      <c r="E64" s="567">
        <f>MAX(K64:N64)</f>
        <v>0</v>
      </c>
      <c r="F64" s="568"/>
      <c r="G64" s="281">
        <f>IF(OR(G63="",G62=""),0,G63+G62)</f>
        <v>0</v>
      </c>
      <c r="H64" s="259"/>
      <c r="I64" s="279"/>
      <c r="J64" s="282"/>
      <c r="K64" s="567">
        <f>'[3]Maintainability Score Summary'!$M$27</f>
        <v>0</v>
      </c>
      <c r="L64" s="568"/>
      <c r="M64" s="567">
        <f>IF(K64=0,'[4]Maintainability Score Summary'!$M$27,0)</f>
        <v>0</v>
      </c>
      <c r="N64" s="568"/>
    </row>
    <row r="65" spans="1:14" x14ac:dyDescent="0.35">
      <c r="A65" s="274"/>
      <c r="B65" s="275" t="s">
        <v>497</v>
      </c>
      <c r="C65" s="545">
        <f>MAX(K65:N65)</f>
        <v>0</v>
      </c>
      <c r="D65" s="545"/>
      <c r="E65" s="545"/>
      <c r="F65" s="545"/>
      <c r="G65" s="280"/>
      <c r="H65" s="252"/>
      <c r="I65" s="266"/>
      <c r="J65" s="6">
        <f>IF(AND(C65="",G65=""),"",IF(C65="",G65,C65))</f>
        <v>0</v>
      </c>
      <c r="K65" s="580" t="str">
        <f>'[3]Maintainability Score Summary'!$M$32</f>
        <v/>
      </c>
      <c r="L65" s="581"/>
      <c r="M65" s="580">
        <f>IF(K65=0,'[4]Maintainability Score Summary'!$M$32,0)</f>
        <v>0</v>
      </c>
      <c r="N65" s="581"/>
    </row>
    <row r="66" spans="1:14" x14ac:dyDescent="0.35">
      <c r="A66" s="274"/>
      <c r="B66" s="278" t="s">
        <v>498</v>
      </c>
      <c r="C66" s="537">
        <f>IF(J66=0,IF(G64=0,0,IF(G64/5&gt;15,15,G64/5)),J66)</f>
        <v>0</v>
      </c>
      <c r="D66" s="538"/>
      <c r="E66" s="538"/>
      <c r="F66" s="538"/>
      <c r="G66" s="539"/>
      <c r="H66" s="252"/>
      <c r="I66" s="266"/>
      <c r="J66" s="276">
        <f>MAX(K66:N66)</f>
        <v>0</v>
      </c>
      <c r="K66" s="536">
        <f>'[3]Maintainability Score Summary'!$M$33</f>
        <v>0</v>
      </c>
      <c r="L66" s="536"/>
      <c r="M66" s="536">
        <f>IF(K66=0,'[4]Maintainability Score Summary'!$M$33,0)</f>
        <v>0</v>
      </c>
      <c r="N66" s="536"/>
    </row>
    <row r="67" spans="1:14" x14ac:dyDescent="0.35">
      <c r="A67" s="274"/>
      <c r="B67" s="278" t="s">
        <v>499</v>
      </c>
      <c r="C67" s="566" t="str">
        <f>IF(AND(G64="",C66=""),"",IF(AND(C66&gt;=10,J65=0),"Yes","No"))</f>
        <v>No</v>
      </c>
      <c r="D67" s="566"/>
      <c r="E67" s="566"/>
      <c r="F67" s="566"/>
      <c r="G67" s="566"/>
      <c r="H67" s="252"/>
      <c r="I67" s="7"/>
      <c r="J67" s="6"/>
    </row>
  </sheetData>
  <sheetProtection algorithmName="SHA-512" hashValue="ppHp6RiH2ZlkbOGEY7PRf7Df90EGleAOtDzUji4zOUyFNzPKPMa7ECWyRaK9saMbn8CgtJ23gPaDOT4XcrmGyg==" saltValue="PqJSrZIZK5s3KEtbi1wPWg==" spinCount="100000" sheet="1" formatCells="0" selectLockedCells="1"/>
  <mergeCells count="251">
    <mergeCell ref="M50:N50"/>
    <mergeCell ref="M62:N62"/>
    <mergeCell ref="M63:N63"/>
    <mergeCell ref="M64:N64"/>
    <mergeCell ref="M65:N65"/>
    <mergeCell ref="M51:N51"/>
    <mergeCell ref="M52:N52"/>
    <mergeCell ref="M53:N53"/>
    <mergeCell ref="M54:N54"/>
    <mergeCell ref="M55:N55"/>
    <mergeCell ref="M56:N56"/>
    <mergeCell ref="M57:N57"/>
    <mergeCell ref="M58:N58"/>
    <mergeCell ref="M59:N59"/>
    <mergeCell ref="M34:N34"/>
    <mergeCell ref="M35:N35"/>
    <mergeCell ref="M36:N36"/>
    <mergeCell ref="M37:N37"/>
    <mergeCell ref="M38:N38"/>
    <mergeCell ref="M39:N39"/>
    <mergeCell ref="M40:N40"/>
    <mergeCell ref="M41:N41"/>
    <mergeCell ref="M42:N42"/>
    <mergeCell ref="M25:N25"/>
    <mergeCell ref="M26:N26"/>
    <mergeCell ref="M27:N27"/>
    <mergeCell ref="M28:N28"/>
    <mergeCell ref="M29:N29"/>
    <mergeCell ref="M30:N30"/>
    <mergeCell ref="M31:N31"/>
    <mergeCell ref="M32:N32"/>
    <mergeCell ref="M33:N33"/>
    <mergeCell ref="K63:L63"/>
    <mergeCell ref="K64:L64"/>
    <mergeCell ref="K61:L61"/>
    <mergeCell ref="K62:L62"/>
    <mergeCell ref="K65:L65"/>
    <mergeCell ref="M6:N6"/>
    <mergeCell ref="M7:N7"/>
    <mergeCell ref="M8:N8"/>
    <mergeCell ref="M9:N9"/>
    <mergeCell ref="M10:N10"/>
    <mergeCell ref="M11:N11"/>
    <mergeCell ref="M12:N12"/>
    <mergeCell ref="M13:N13"/>
    <mergeCell ref="M14:N16"/>
    <mergeCell ref="M17:N17"/>
    <mergeCell ref="M18:N18"/>
    <mergeCell ref="M19:N19"/>
    <mergeCell ref="M20:N20"/>
    <mergeCell ref="M21:N21"/>
    <mergeCell ref="M22:N22"/>
    <mergeCell ref="M23:N23"/>
    <mergeCell ref="K52:L52"/>
    <mergeCell ref="K53:L53"/>
    <mergeCell ref="M24:N24"/>
    <mergeCell ref="K55:L55"/>
    <mergeCell ref="K56:L56"/>
    <mergeCell ref="K57:L57"/>
    <mergeCell ref="K58:L58"/>
    <mergeCell ref="K59:L59"/>
    <mergeCell ref="M61:N61"/>
    <mergeCell ref="K43:L43"/>
    <mergeCell ref="K44:L44"/>
    <mergeCell ref="K45:L45"/>
    <mergeCell ref="K46:L46"/>
    <mergeCell ref="K47:L47"/>
    <mergeCell ref="K48:L48"/>
    <mergeCell ref="K49:L49"/>
    <mergeCell ref="K50:L50"/>
    <mergeCell ref="K51:L51"/>
    <mergeCell ref="K60:L60"/>
    <mergeCell ref="M60:N60"/>
    <mergeCell ref="M43:N43"/>
    <mergeCell ref="M44:N44"/>
    <mergeCell ref="M45:N45"/>
    <mergeCell ref="M46:N46"/>
    <mergeCell ref="M47:N47"/>
    <mergeCell ref="M48:N48"/>
    <mergeCell ref="M49:N49"/>
    <mergeCell ref="K35:L35"/>
    <mergeCell ref="K36:L36"/>
    <mergeCell ref="K37:L37"/>
    <mergeCell ref="K38:L38"/>
    <mergeCell ref="K39:L39"/>
    <mergeCell ref="K40:L40"/>
    <mergeCell ref="K41:L41"/>
    <mergeCell ref="K42:L42"/>
    <mergeCell ref="K54:L54"/>
    <mergeCell ref="K26:L26"/>
    <mergeCell ref="K27:L27"/>
    <mergeCell ref="K28:L28"/>
    <mergeCell ref="K29:L29"/>
    <mergeCell ref="K30:L30"/>
    <mergeCell ref="K31:L31"/>
    <mergeCell ref="K32:L32"/>
    <mergeCell ref="K33:L33"/>
    <mergeCell ref="K34:L34"/>
    <mergeCell ref="K17:L17"/>
    <mergeCell ref="K18:L18"/>
    <mergeCell ref="K19:L19"/>
    <mergeCell ref="K20:L20"/>
    <mergeCell ref="K21:L21"/>
    <mergeCell ref="K22:L22"/>
    <mergeCell ref="K23:L23"/>
    <mergeCell ref="K24:L24"/>
    <mergeCell ref="K25:L25"/>
    <mergeCell ref="K6:L6"/>
    <mergeCell ref="K7:L7"/>
    <mergeCell ref="K8:L8"/>
    <mergeCell ref="K9:L9"/>
    <mergeCell ref="K10:L10"/>
    <mergeCell ref="K11:L11"/>
    <mergeCell ref="K12:L12"/>
    <mergeCell ref="K13:L13"/>
    <mergeCell ref="K14:L16"/>
    <mergeCell ref="B63:B64"/>
    <mergeCell ref="C64:D64"/>
    <mergeCell ref="C63:D63"/>
    <mergeCell ref="C62:F62"/>
    <mergeCell ref="A4:G4"/>
    <mergeCell ref="A3:G3"/>
    <mergeCell ref="C60:G60"/>
    <mergeCell ref="C67:G67"/>
    <mergeCell ref="E63:F63"/>
    <mergeCell ref="E64:F64"/>
    <mergeCell ref="A7:B7"/>
    <mergeCell ref="C12:D12"/>
    <mergeCell ref="C20:D20"/>
    <mergeCell ref="A44:B44"/>
    <mergeCell ref="A51:B51"/>
    <mergeCell ref="A57:B57"/>
    <mergeCell ref="C31:D31"/>
    <mergeCell ref="E37:F37"/>
    <mergeCell ref="C37:D37"/>
    <mergeCell ref="C27:D27"/>
    <mergeCell ref="A8:B8"/>
    <mergeCell ref="A10:B10"/>
    <mergeCell ref="A21:B21"/>
    <mergeCell ref="A27:B27"/>
    <mergeCell ref="A37:B37"/>
    <mergeCell ref="C44:D44"/>
    <mergeCell ref="C30:D30"/>
    <mergeCell ref="C35:D35"/>
    <mergeCell ref="C40:D40"/>
    <mergeCell ref="C29:D29"/>
    <mergeCell ref="E29:F29"/>
    <mergeCell ref="E28:F28"/>
    <mergeCell ref="E35:F35"/>
    <mergeCell ref="E36:F36"/>
    <mergeCell ref="C38:D38"/>
    <mergeCell ref="E38:F38"/>
    <mergeCell ref="C39:D39"/>
    <mergeCell ref="E39:F39"/>
    <mergeCell ref="E30:F30"/>
    <mergeCell ref="C32:D32"/>
    <mergeCell ref="E32:F32"/>
    <mergeCell ref="C33:D33"/>
    <mergeCell ref="E33:F33"/>
    <mergeCell ref="C34:D34"/>
    <mergeCell ref="E34:F34"/>
    <mergeCell ref="E31:F31"/>
    <mergeCell ref="C36:D36"/>
    <mergeCell ref="E43:F43"/>
    <mergeCell ref="C6:D6"/>
    <mergeCell ref="C7:D7"/>
    <mergeCell ref="C8:D8"/>
    <mergeCell ref="C9:D9"/>
    <mergeCell ref="C10:D10"/>
    <mergeCell ref="C11:D11"/>
    <mergeCell ref="C13:D13"/>
    <mergeCell ref="C17:D17"/>
    <mergeCell ref="C28:D28"/>
    <mergeCell ref="C25:D25"/>
    <mergeCell ref="C26:D26"/>
    <mergeCell ref="C22:D22"/>
    <mergeCell ref="C23:D23"/>
    <mergeCell ref="C18:D18"/>
    <mergeCell ref="C19:D19"/>
    <mergeCell ref="C14:D16"/>
    <mergeCell ref="C21:D21"/>
    <mergeCell ref="C24:D24"/>
    <mergeCell ref="E44:F44"/>
    <mergeCell ref="E6:F6"/>
    <mergeCell ref="E7:F7"/>
    <mergeCell ref="E8:F8"/>
    <mergeCell ref="E10:F10"/>
    <mergeCell ref="E21:F21"/>
    <mergeCell ref="E27:F27"/>
    <mergeCell ref="E11:F11"/>
    <mergeCell ref="E13:F13"/>
    <mergeCell ref="E17:F17"/>
    <mergeCell ref="E14:F16"/>
    <mergeCell ref="E25:F25"/>
    <mergeCell ref="E26:F26"/>
    <mergeCell ref="E9:F9"/>
    <mergeCell ref="E22:F22"/>
    <mergeCell ref="E23:F23"/>
    <mergeCell ref="E20:F20"/>
    <mergeCell ref="E12:F12"/>
    <mergeCell ref="E18:F18"/>
    <mergeCell ref="E19:F19"/>
    <mergeCell ref="E24:F24"/>
    <mergeCell ref="G14:G16"/>
    <mergeCell ref="E53:F53"/>
    <mergeCell ref="C54:D54"/>
    <mergeCell ref="E54:F54"/>
    <mergeCell ref="C48:D48"/>
    <mergeCell ref="E48:F48"/>
    <mergeCell ref="C49:D49"/>
    <mergeCell ref="E49:F49"/>
    <mergeCell ref="C50:D50"/>
    <mergeCell ref="E50:F50"/>
    <mergeCell ref="C51:D51"/>
    <mergeCell ref="E51:F51"/>
    <mergeCell ref="C45:D45"/>
    <mergeCell ref="E45:F45"/>
    <mergeCell ref="C46:D46"/>
    <mergeCell ref="E46:F46"/>
    <mergeCell ref="C47:D47"/>
    <mergeCell ref="E47:F47"/>
    <mergeCell ref="E40:F40"/>
    <mergeCell ref="C41:D41"/>
    <mergeCell ref="E41:F41"/>
    <mergeCell ref="C42:D42"/>
    <mergeCell ref="E42:F42"/>
    <mergeCell ref="C43:D43"/>
    <mergeCell ref="K66:L66"/>
    <mergeCell ref="M66:N66"/>
    <mergeCell ref="C66:G66"/>
    <mergeCell ref="A11:B11"/>
    <mergeCell ref="A13:B13"/>
    <mergeCell ref="A17:B17"/>
    <mergeCell ref="A28:B28"/>
    <mergeCell ref="A31:B31"/>
    <mergeCell ref="A2:G2"/>
    <mergeCell ref="C59:D59"/>
    <mergeCell ref="E59:F59"/>
    <mergeCell ref="C61:F61"/>
    <mergeCell ref="C65:F65"/>
    <mergeCell ref="C55:D55"/>
    <mergeCell ref="E55:F55"/>
    <mergeCell ref="C56:D56"/>
    <mergeCell ref="E56:F56"/>
    <mergeCell ref="C58:D58"/>
    <mergeCell ref="E58:F58"/>
    <mergeCell ref="C57:D57"/>
    <mergeCell ref="E57:F57"/>
    <mergeCell ref="C52:D52"/>
    <mergeCell ref="E52:F52"/>
    <mergeCell ref="C53:D53"/>
  </mergeCells>
  <dataValidations count="16">
    <dataValidation type="decimal" allowBlank="1" showErrorMessage="1" error="Please enter 0.5 or 1 or 1.5 or 2." prompt="Please Enter 0 or 1 or 1.5 or 2." sqref="K52:N52 K49:N50 K58:N58" xr:uid="{00000000-0002-0000-0700-000000000000}">
      <formula1>0</formula1>
      <formula2>2</formula2>
    </dataValidation>
    <dataValidation type="list" allowBlank="1" showInputMessage="1" showErrorMessage="1" sqref="K33:N33 K20 M20 K47:N47" xr:uid="{00000000-0002-0000-0700-000001000000}">
      <formula1>"Y,N"</formula1>
    </dataValidation>
    <dataValidation type="decimal" allowBlank="1" showInputMessage="1" showErrorMessage="1" sqref="K9:N9" xr:uid="{00000000-0002-0000-0700-000002000000}">
      <formula1>0</formula1>
      <formula2>7</formula2>
    </dataValidation>
    <dataValidation type="decimal" allowBlank="1" showInputMessage="1" showErrorMessage="1" sqref="K45:N45 K12:N12 K26:N26 K48:N48" xr:uid="{00000000-0002-0000-0700-000003000000}">
      <formula1>0</formula1>
      <formula2>1.5</formula2>
    </dataValidation>
    <dataValidation type="decimal" allowBlank="1" showInputMessage="1" showErrorMessage="1" sqref="K25:N25 K32:N32 K14 M14 E14 K55:N55 K23:N23" xr:uid="{00000000-0002-0000-0700-000004000000}">
      <formula1>0</formula1>
      <formula2>4</formula2>
    </dataValidation>
    <dataValidation type="decimal" allowBlank="1" showInputMessage="1" showErrorMessage="1" sqref="K18:N19 K40:N40 K54:N54 K56:N56" xr:uid="{00000000-0002-0000-0700-000005000000}">
      <formula1>0</formula1>
      <formula2>3</formula2>
    </dataValidation>
    <dataValidation type="decimal" allowBlank="1" showInputMessage="1" showErrorMessage="1" sqref="K22:N22" xr:uid="{00000000-0002-0000-0700-000006000000}">
      <formula1>0</formula1>
      <formula2>2.5</formula2>
    </dataValidation>
    <dataValidation type="decimal" allowBlank="1" showInputMessage="1" showErrorMessage="1" sqref="K30:N30 K36:N36 K41:N41 K53:N53" xr:uid="{00000000-0002-0000-0700-000007000000}">
      <formula1>0</formula1>
      <formula2>1</formula2>
    </dataValidation>
    <dataValidation type="decimal" allowBlank="1" showInputMessage="1" showErrorMessage="1" sqref="K24:N24" xr:uid="{00000000-0002-0000-0700-000008000000}">
      <formula1>0</formula1>
      <formula2>8</formula2>
    </dataValidation>
    <dataValidation type="decimal" allowBlank="1" showInputMessage="1" showErrorMessage="1" sqref="K28:N29" xr:uid="{00000000-0002-0000-0700-000009000000}">
      <formula1>0</formula1>
      <formula2>9.5</formula2>
    </dataValidation>
    <dataValidation type="decimal" allowBlank="1" showInputMessage="1" showErrorMessage="1" sqref="K34:N35 K38:N39 K42:N42" xr:uid="{00000000-0002-0000-0700-00000A000000}">
      <formula1>0</formula1>
      <formula2>2</formula2>
    </dataValidation>
    <dataValidation type="decimal" allowBlank="1" showInputMessage="1" showErrorMessage="1" sqref="K43:N43" xr:uid="{00000000-0002-0000-0700-00000B000000}">
      <formula1>0</formula1>
      <formula2>0.5</formula2>
    </dataValidation>
    <dataValidation type="decimal" allowBlank="1" showInputMessage="1" showErrorMessage="1" sqref="K46:N46" xr:uid="{00000000-0002-0000-0700-00000C000000}">
      <formula1>0</formula1>
      <formula2>3.5</formula2>
    </dataValidation>
    <dataValidation type="decimal" allowBlank="1" showErrorMessage="1" error="Please enter 0.5 or 1 or 1.5 or 2." prompt="Please Enter 0 or 1 or 1.5 or 2." sqref="K59:N59" xr:uid="{00000000-0002-0000-0700-00000D000000}">
      <formula1>0</formula1>
      <formula2>2.5</formula2>
    </dataValidation>
    <dataValidation type="decimal" allowBlank="1" showInputMessage="1" showErrorMessage="1" sqref="G9 G14:G16 G12 G52:G56 G18:G19 G29:G30 G32 G34:G36 G38:G43 G45:G46 G48:G50 G58:G59 G22:G26" xr:uid="{00000000-0002-0000-0700-00000E000000}">
      <formula1>0</formula1>
      <formula2>C9</formula2>
    </dataValidation>
    <dataValidation type="whole" allowBlank="1" showInputMessage="1" showErrorMessage="1" sqref="G65" xr:uid="{00000000-0002-0000-0700-00000F000000}">
      <formula1>0</formula1>
      <formula2>52</formula2>
    </dataValidation>
  </dataValidations>
  <pageMargins left="0.7" right="0.7" top="0.75" bottom="0.75" header="0.3" footer="0.3"/>
  <pageSetup paperSize="9" scale="64" orientation="portrait" r:id="rId1"/>
  <ignoredErrors>
    <ignoredError sqref="G11 G8" unlockedFormula="1"/>
  </ignoredErrors>
  <drawing r:id="rId2"/>
  <legacyDrawing r:id="rId3"/>
  <oleObjects>
    <mc:AlternateContent xmlns:mc="http://schemas.openxmlformats.org/markup-compatibility/2006">
      <mc:Choice Requires="x14">
        <oleObject progId="Worksheet" dvAspect="DVASPECT_ICON" shapeId="5123" r:id="rId4">
          <objectPr defaultSize="0" autoPict="0" r:id="rId5">
            <anchor moveWithCells="1">
              <from>
                <xdr:col>0</xdr:col>
                <xdr:colOff>0</xdr:colOff>
                <xdr:row>2</xdr:row>
                <xdr:rowOff>152400</xdr:rowOff>
              </from>
              <to>
                <xdr:col>1</xdr:col>
                <xdr:colOff>336550</xdr:colOff>
                <xdr:row>3</xdr:row>
                <xdr:rowOff>0</xdr:rowOff>
              </to>
            </anchor>
          </objectPr>
        </oleObject>
      </mc:Choice>
      <mc:Fallback>
        <oleObject progId="Worksheet" dvAspect="DVASPECT_ICON" shapeId="512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817A334131254FA24ACFAEA9B0C38B" ma:contentTypeVersion="6" ma:contentTypeDescription="Create a new document." ma:contentTypeScope="" ma:versionID="a220c38f19a4d2a545e8a5ed07723315">
  <xsd:schema xmlns:xsd="http://www.w3.org/2001/XMLSchema" xmlns:xs="http://www.w3.org/2001/XMLSchema" xmlns:p="http://schemas.microsoft.com/office/2006/metadata/properties" xmlns:ns2="877456d8-1210-4b15-ac98-75c3938124b0" xmlns:ns3="769e7733-098f-4952-a7c5-eba28e214a4c" targetNamespace="http://schemas.microsoft.com/office/2006/metadata/properties" ma:root="true" ma:fieldsID="42cd16539c784b1341d472c0d14a8e3d" ns2:_="" ns3:_="">
    <xsd:import namespace="877456d8-1210-4b15-ac98-75c3938124b0"/>
    <xsd:import namespace="769e7733-098f-4952-a7c5-eba28e214a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56d8-1210-4b15-ac98-75c393812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9e7733-098f-4952-a7c5-eba28e214a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5A8BC9-35BB-4284-AF97-AE90E41C1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56d8-1210-4b15-ac98-75c3938124b0"/>
    <ds:schemaRef ds:uri="769e7733-098f-4952-a7c5-eba28e214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039AFC-2474-445D-82FD-F98A51AD9AD4}">
  <ds:schemaRefs>
    <ds:schemaRef ds:uri="http://schemas.microsoft.com/sharepoint/v3/contenttype/forms"/>
  </ds:schemaRefs>
</ds:datastoreItem>
</file>

<file path=customXml/itemProps3.xml><?xml version="1.0" encoding="utf-8"?>
<ds:datastoreItem xmlns:ds="http://schemas.openxmlformats.org/officeDocument/2006/customXml" ds:itemID="{5913967C-E27A-4AFC-9A93-255253FA2C58}">
  <ds:schemaRefs>
    <ds:schemaRef ds:uri="877456d8-1210-4b15-ac98-75c3938124b0"/>
    <ds:schemaRef ds:uri="http://schemas.microsoft.com/office/infopath/2007/PartnerControls"/>
    <ds:schemaRef ds:uri="http://schemas.microsoft.com/office/2006/metadata/properties"/>
    <ds:schemaRef ds:uri="http://purl.org/dc/elements/1.1/"/>
    <ds:schemaRef ds:uri="http://purl.org/dc/terms/"/>
    <ds:schemaRef ds:uri="769e7733-098f-4952-a7c5-eba28e214a4c"/>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Louis CHONG (BCA)</cp:lastModifiedBy>
  <cp:revision/>
  <dcterms:created xsi:type="dcterms:W3CDTF">2021-09-01T03:12:41Z</dcterms:created>
  <dcterms:modified xsi:type="dcterms:W3CDTF">2025-04-10T04:13:09Z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2021-11-10T10:19:29Z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0baf3cdf-1882-40a4-999e-dfa103d921a3</vt:lpwstr>
  </property>
  <property fmtid="{D5CDD505-2E9C-101B-9397-08002B2CF9AE}" pid="8" name="MSIP_Label_5434c4c7-833e-41e4-b0ab-cdb227a2f6f7_ContentBits">
    <vt:lpwstr>0</vt:lpwstr>
  </property>
  <property fmtid="{D5CDD505-2E9C-101B-9397-08002B2CF9AE}" pid="9" name="ContentTypeId">
    <vt:lpwstr>0x010100FF817A334131254FA24ACFAEA9B0C38B</vt:lpwstr>
  </property>
</Properties>
</file>