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Users\bca-yuxuan\Desktop\GM International\"/>
    </mc:Choice>
  </mc:AlternateContent>
  <xr:revisionPtr revIDLastSave="0" documentId="13_ncr:1_{CB6A1FEC-A7BB-41A3-9460-F9D6A987824A}" xr6:coauthVersionLast="47" xr6:coauthVersionMax="47" xr10:uidLastSave="{00000000-0000-0000-0000-000000000000}"/>
  <bookViews>
    <workbookView xWindow="-120" yWindow="-120" windowWidth="29040" windowHeight="15840" tabRatio="624"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5" r:id="rId6"/>
    <sheet name="7. Intelligence" sheetId="16"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Maintainability'!$A$1:$G$64</definedName>
    <definedName name="Step">'[1]Raw Data'!$D$2:$D$4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5" l="1"/>
  <c r="M47" i="26"/>
  <c r="E47" i="26" s="1"/>
  <c r="M34" i="26"/>
  <c r="E34" i="26" s="1"/>
  <c r="M33" i="26"/>
  <c r="E33" i="26" s="1"/>
  <c r="M27" i="26"/>
  <c r="E27" i="26" s="1"/>
  <c r="M31" i="26"/>
  <c r="E31" i="26" s="1"/>
  <c r="M49" i="26"/>
  <c r="E49" i="26" s="1"/>
  <c r="M56" i="26"/>
  <c r="E56" i="26" s="1"/>
  <c r="E46" i="26"/>
  <c r="E42" i="26"/>
  <c r="E32" i="26"/>
  <c r="E30" i="26"/>
  <c r="E21" i="26"/>
  <c r="M40" i="26"/>
  <c r="E40" i="26" s="1"/>
  <c r="M35" i="26"/>
  <c r="E35" i="26" s="1"/>
  <c r="M24" i="26"/>
  <c r="E24" i="26" s="1"/>
  <c r="M20" i="26"/>
  <c r="E20" i="26" s="1"/>
  <c r="M19" i="26"/>
  <c r="E19" i="26" s="1"/>
  <c r="K62" i="26"/>
  <c r="K61" i="26"/>
  <c r="K60" i="26"/>
  <c r="K59" i="26"/>
  <c r="K58" i="26"/>
  <c r="K56" i="26"/>
  <c r="K55" i="26"/>
  <c r="K54" i="26"/>
  <c r="K53" i="26"/>
  <c r="K52" i="26"/>
  <c r="K51" i="26"/>
  <c r="K50" i="26"/>
  <c r="K49" i="26"/>
  <c r="K48" i="26"/>
  <c r="K47" i="26"/>
  <c r="K45" i="26"/>
  <c r="K44" i="26"/>
  <c r="K43" i="26"/>
  <c r="K41" i="26"/>
  <c r="K40" i="26"/>
  <c r="K39" i="26"/>
  <c r="K38" i="26"/>
  <c r="K37" i="26"/>
  <c r="K36" i="26"/>
  <c r="K35" i="26"/>
  <c r="K34" i="26"/>
  <c r="K33" i="26"/>
  <c r="K31" i="26"/>
  <c r="K29" i="26"/>
  <c r="K28" i="26"/>
  <c r="K27" i="26"/>
  <c r="K26" i="26"/>
  <c r="K25" i="26"/>
  <c r="K24" i="26"/>
  <c r="K23" i="26"/>
  <c r="K22" i="26"/>
  <c r="K20" i="26"/>
  <c r="K19" i="26"/>
  <c r="K18" i="26"/>
  <c r="K17" i="26"/>
  <c r="K14" i="26"/>
  <c r="K13" i="26"/>
  <c r="K12" i="26"/>
  <c r="K11" i="26"/>
  <c r="K10" i="26"/>
  <c r="K9" i="26"/>
  <c r="K8" i="26"/>
  <c r="K63" i="26"/>
  <c r="K57" i="26"/>
  <c r="C56" i="26"/>
  <c r="B56" i="26"/>
  <c r="C55" i="26"/>
  <c r="B55" i="26"/>
  <c r="C53" i="26"/>
  <c r="B53" i="26"/>
  <c r="C52" i="26"/>
  <c r="C51" i="26"/>
  <c r="B51" i="26"/>
  <c r="C50" i="26"/>
  <c r="C49" i="26"/>
  <c r="B49" i="26"/>
  <c r="C48" i="26"/>
  <c r="B48" i="26"/>
  <c r="C47" i="26"/>
  <c r="B47" i="26"/>
  <c r="C46" i="26"/>
  <c r="B46" i="26"/>
  <c r="C45" i="26"/>
  <c r="B45" i="26"/>
  <c r="C44" i="26"/>
  <c r="B44" i="26"/>
  <c r="C43" i="26"/>
  <c r="C42" i="26"/>
  <c r="B42" i="26"/>
  <c r="C41" i="26"/>
  <c r="B41" i="26"/>
  <c r="C40" i="26"/>
  <c r="B40" i="26"/>
  <c r="C39" i="26"/>
  <c r="B39" i="26"/>
  <c r="C38" i="26"/>
  <c r="B38" i="26"/>
  <c r="C37" i="26"/>
  <c r="B37" i="26"/>
  <c r="C36" i="26"/>
  <c r="C35" i="26"/>
  <c r="B35" i="26"/>
  <c r="C34" i="26"/>
  <c r="B34" i="26"/>
  <c r="C33" i="26"/>
  <c r="B33" i="26"/>
  <c r="C32" i="26"/>
  <c r="B32" i="26"/>
  <c r="C31" i="26"/>
  <c r="B31" i="26"/>
  <c r="C30" i="26"/>
  <c r="B30" i="26"/>
  <c r="C29" i="26"/>
  <c r="B29" i="26"/>
  <c r="C28" i="26"/>
  <c r="C27" i="26"/>
  <c r="B27" i="26"/>
  <c r="C26" i="26"/>
  <c r="B26" i="26"/>
  <c r="C25" i="26"/>
  <c r="B25" i="26"/>
  <c r="C24" i="26"/>
  <c r="B24" i="26"/>
  <c r="C23" i="26"/>
  <c r="B23" i="26"/>
  <c r="C22" i="26"/>
  <c r="C21" i="26"/>
  <c r="B21" i="26"/>
  <c r="C20" i="26"/>
  <c r="B20" i="26"/>
  <c r="C19" i="26"/>
  <c r="B19" i="26"/>
  <c r="C18" i="26"/>
  <c r="B18" i="26"/>
  <c r="C17" i="26"/>
  <c r="A17" i="26"/>
  <c r="B16" i="26"/>
  <c r="B15" i="26"/>
  <c r="C14" i="26"/>
  <c r="B14" i="26"/>
  <c r="C13" i="26"/>
  <c r="A13" i="26"/>
  <c r="C12" i="26"/>
  <c r="B12" i="26"/>
  <c r="C11" i="26"/>
  <c r="A11" i="26"/>
  <c r="C10" i="26"/>
  <c r="C9" i="26"/>
  <c r="B9" i="26"/>
  <c r="C8" i="26"/>
  <c r="C7" i="26"/>
  <c r="G54" i="26"/>
  <c r="G52" i="26"/>
  <c r="G50" i="26"/>
  <c r="G43" i="26"/>
  <c r="G36" i="26"/>
  <c r="G28" i="26"/>
  <c r="G22" i="26"/>
  <c r="G17" i="26"/>
  <c r="G13" i="26"/>
  <c r="G11" i="26"/>
  <c r="G8" i="26"/>
  <c r="M58" i="26" l="1"/>
  <c r="C58" i="26" s="1"/>
  <c r="M38" i="26"/>
  <c r="E38" i="26" s="1"/>
  <c r="M45" i="26"/>
  <c r="E45" i="26" s="1"/>
  <c r="M39" i="26"/>
  <c r="E39" i="26" s="1"/>
  <c r="M8" i="26"/>
  <c r="E8" i="26" s="1"/>
  <c r="M41" i="26"/>
  <c r="E41" i="26" s="1"/>
  <c r="M48" i="26"/>
  <c r="E48" i="26" s="1"/>
  <c r="M18" i="26"/>
  <c r="E18" i="26" s="1"/>
  <c r="M59" i="26"/>
  <c r="C59" i="26" s="1"/>
  <c r="M26" i="26"/>
  <c r="E26" i="26" s="1"/>
  <c r="M55" i="26"/>
  <c r="M25" i="26"/>
  <c r="E25" i="26" s="1"/>
  <c r="G10" i="26"/>
  <c r="J60" i="26" s="1"/>
  <c r="M22" i="26" l="1"/>
  <c r="E22" i="26" s="1"/>
  <c r="M44" i="26"/>
  <c r="E44" i="26" s="1"/>
  <c r="M9" i="26"/>
  <c r="E9" i="26" s="1"/>
  <c r="M43" i="26"/>
  <c r="E43" i="26" s="1"/>
  <c r="M17" i="26"/>
  <c r="E17" i="26" s="1"/>
  <c r="M11" i="26"/>
  <c r="E11" i="26" s="1"/>
  <c r="M12" i="26"/>
  <c r="E12" i="26" s="1"/>
  <c r="M50" i="26"/>
  <c r="E50" i="26" s="1"/>
  <c r="M51" i="26"/>
  <c r="E51" i="26" s="1"/>
  <c r="M54" i="26"/>
  <c r="E54" i="26" s="1"/>
  <c r="E55" i="26"/>
  <c r="M52" i="26"/>
  <c r="E52" i="26" s="1"/>
  <c r="M53" i="26"/>
  <c r="E53" i="26" s="1"/>
  <c r="B32" i="1"/>
  <c r="M23" i="26" l="1"/>
  <c r="E23" i="26" s="1"/>
  <c r="M36" i="26"/>
  <c r="E36" i="26" s="1"/>
  <c r="M37" i="26"/>
  <c r="E37" i="26" s="1"/>
  <c r="M28" i="26"/>
  <c r="E28" i="26" s="1"/>
  <c r="M29" i="26"/>
  <c r="E29" i="26" s="1"/>
  <c r="M14" i="26" l="1"/>
  <c r="E14" i="26" s="1"/>
  <c r="F5" i="16"/>
  <c r="H10" i="5"/>
  <c r="H72" i="3"/>
  <c r="H20" i="3"/>
  <c r="F22" i="2"/>
  <c r="F15" i="2"/>
  <c r="M13" i="26" l="1"/>
  <c r="E13" i="26" s="1"/>
  <c r="H34" i="5"/>
  <c r="H33" i="5"/>
  <c r="H31" i="5"/>
  <c r="H30" i="5"/>
  <c r="H78" i="3"/>
  <c r="H79" i="3" s="1"/>
  <c r="H75" i="3"/>
  <c r="H59" i="3"/>
  <c r="H42" i="3"/>
  <c r="H34" i="3"/>
  <c r="H90" i="5"/>
  <c r="H79" i="5"/>
  <c r="H66" i="5"/>
  <c r="M10" i="26" l="1"/>
  <c r="E10" i="26" s="1"/>
  <c r="H20" i="5"/>
  <c r="H22" i="5" s="1"/>
  <c r="M60" i="26" l="1"/>
  <c r="E60" i="26" s="1"/>
  <c r="M57" i="26"/>
  <c r="J57" i="26" s="1"/>
  <c r="C57" i="26" s="1"/>
  <c r="F19" i="16"/>
  <c r="M61" i="26" l="1"/>
  <c r="E61" i="26" s="1"/>
  <c r="G59" i="26"/>
  <c r="G60" i="26"/>
  <c r="C32" i="1" s="1"/>
  <c r="H26" i="5"/>
  <c r="H35" i="5" s="1"/>
  <c r="M63" i="26" l="1"/>
  <c r="J63" i="26" s="1"/>
  <c r="M62" i="26"/>
  <c r="C62" i="26" s="1"/>
  <c r="J62" i="26" s="1"/>
  <c r="H53" i="3"/>
  <c r="H51" i="3"/>
  <c r="H15" i="3" l="1"/>
  <c r="H17" i="3" s="1"/>
  <c r="F32" i="2" l="1"/>
  <c r="F27" i="16" l="1"/>
  <c r="F28" i="16"/>
  <c r="H82" i="5"/>
  <c r="H73" i="5"/>
  <c r="H67" i="5"/>
  <c r="H70" i="5" s="1"/>
  <c r="H62" i="5"/>
  <c r="H52" i="5"/>
  <c r="H51" i="5"/>
  <c r="H50" i="5"/>
  <c r="H49" i="5"/>
  <c r="H6" i="5"/>
  <c r="H7" i="5"/>
  <c r="H66" i="3"/>
  <c r="H74" i="3"/>
  <c r="H67" i="3"/>
  <c r="H65" i="3"/>
  <c r="H61" i="3"/>
  <c r="H48" i="3"/>
  <c r="H57" i="3" s="1"/>
  <c r="H28" i="3"/>
  <c r="H29" i="3" s="1"/>
  <c r="H19" i="3"/>
  <c r="F45" i="16" l="1"/>
  <c r="F44" i="16"/>
  <c r="F40" i="16"/>
  <c r="F39" i="16"/>
  <c r="F36" i="16"/>
  <c r="F29" i="16"/>
  <c r="F30" i="16" s="1"/>
  <c r="F24" i="16"/>
  <c r="F23" i="16"/>
  <c r="F22" i="16"/>
  <c r="F14" i="16"/>
  <c r="F13" i="16"/>
  <c r="F12" i="16"/>
  <c r="F9" i="16"/>
  <c r="F8" i="16"/>
  <c r="F10" i="16" s="1"/>
  <c r="F7" i="16"/>
  <c r="F50" i="16"/>
  <c r="F49" i="16"/>
  <c r="F47" i="16" s="1"/>
  <c r="F46" i="16" l="1"/>
  <c r="F41" i="16"/>
  <c r="F25" i="16"/>
  <c r="F31" i="16"/>
  <c r="D29" i="1" s="1"/>
  <c r="F20" i="16"/>
  <c r="D28" i="1" s="1"/>
  <c r="F15" i="16"/>
  <c r="F3" i="16" s="1"/>
  <c r="F2" i="16" l="1"/>
  <c r="C11" i="1" s="1"/>
  <c r="D27" i="1"/>
  <c r="H93" i="5" l="1"/>
  <c r="H83" i="5"/>
  <c r="H80" i="5"/>
  <c r="H74" i="5"/>
  <c r="H63" i="5"/>
  <c r="H59" i="5"/>
  <c r="H53" i="5"/>
  <c r="H46" i="5" s="1"/>
  <c r="H12" i="5"/>
  <c r="H8" i="5"/>
  <c r="H40" i="5"/>
  <c r="H45" i="5"/>
  <c r="H97" i="5"/>
  <c r="H96" i="5"/>
  <c r="H71" i="5" l="1"/>
  <c r="H3" i="5"/>
  <c r="H94" i="5"/>
  <c r="D26" i="1"/>
  <c r="D25" i="1"/>
  <c r="H2" i="5" l="1"/>
  <c r="C10" i="1" s="1"/>
  <c r="D24" i="1"/>
  <c r="H26" i="3"/>
  <c r="H62" i="3"/>
  <c r="H68" i="3"/>
  <c r="H30" i="3" s="1"/>
  <c r="H76" i="3"/>
  <c r="H83" i="3"/>
  <c r="H82" i="3"/>
  <c r="H69" i="3" l="1"/>
  <c r="D23" i="1" s="1"/>
  <c r="D22" i="1"/>
  <c r="H80" i="3"/>
  <c r="H3" i="3"/>
  <c r="I34" i="2"/>
  <c r="I33" i="2"/>
  <c r="I32" i="2"/>
  <c r="F6" i="2"/>
  <c r="F7" i="2"/>
  <c r="F16" i="2"/>
  <c r="F19" i="2"/>
  <c r="F20" i="2" s="1"/>
  <c r="F23" i="2"/>
  <c r="F69" i="2"/>
  <c r="F68" i="2"/>
  <c r="F64" i="2"/>
  <c r="F63" i="2"/>
  <c r="F59" i="2"/>
  <c r="F58" i="2"/>
  <c r="F57" i="2"/>
  <c r="F51" i="2"/>
  <c r="F50" i="2"/>
  <c r="F46" i="2"/>
  <c r="F45" i="2"/>
  <c r="F44" i="2"/>
  <c r="F43" i="2"/>
  <c r="F37" i="2"/>
  <c r="F39" i="2" s="1"/>
  <c r="F26" i="2"/>
  <c r="F27" i="2" s="1"/>
  <c r="J34" i="2" l="1"/>
  <c r="F34" i="2"/>
  <c r="F35" i="2" s="1"/>
  <c r="D21" i="1"/>
  <c r="H2" i="3"/>
  <c r="C9" i="1" s="1"/>
  <c r="F66" i="2"/>
  <c r="F47" i="2"/>
  <c r="F8" i="2"/>
  <c r="F3" i="2" s="1"/>
  <c r="F53" i="2"/>
  <c r="J32" i="2"/>
  <c r="F65" i="2"/>
  <c r="F60" i="2"/>
  <c r="F54" i="2" l="1"/>
  <c r="D20" i="1" s="1"/>
  <c r="D18" i="1"/>
  <c r="F28" i="2"/>
  <c r="D19" i="1" s="1"/>
  <c r="F2" i="2" l="1"/>
  <c r="C8" i="1" s="1"/>
  <c r="G61" i="26" l="1"/>
  <c r="C63" i="26" s="1"/>
  <c r="D32" i="1" l="1"/>
  <c r="C12" i="1" s="1"/>
  <c r="C13" i="1" s="1"/>
  <c r="C64" i="26"/>
</calcChain>
</file>

<file path=xl/sharedStrings.xml><?xml version="1.0" encoding="utf-8"?>
<sst xmlns="http://schemas.openxmlformats.org/spreadsheetml/2006/main" count="935" uniqueCount="517">
  <si>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</si>
  <si>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</si>
  <si>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</si>
  <si>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</si>
  <si>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</si>
  <si>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</si>
  <si>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</si>
  <si>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</si>
  <si>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</si>
  <si>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</si>
  <si>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</si>
  <si>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</si>
  <si>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</si>
  <si>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</si>
  <si>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</si>
  <si>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</si>
  <si>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</si>
  <si>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</si>
  <si>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</si>
  <si>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GM Ref No.</t>
  </si>
  <si>
    <t>Project Name:</t>
  </si>
  <si>
    <t>Revision:</t>
  </si>
  <si>
    <t>SUMMARY</t>
  </si>
  <si>
    <t>MAX POINTS</t>
  </si>
  <si>
    <t>SCORING POINTS</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</si>
  <si>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</si>
  <si>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</si>
  <si>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</si>
  <si>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</si>
  <si>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</si>
  <si>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</si>
  <si>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</si>
  <si>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</si>
  <si>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</si>
  <si>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</si>
  <si>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</si>
  <si>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</si>
  <si>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</si>
  <si>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</si>
  <si>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</si>
  <si>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</si>
  <si>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</si>
  <si>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</si>
  <si>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</si>
  <si>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</si>
  <si>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</si>
  <si>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</si>
  <si>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</si>
  <si>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</si>
  <si>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</si>
  <si>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</si>
  <si>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</si>
  <si>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</si>
  <si>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</si>
  <si>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</si>
  <si>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</si>
  <si>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</si>
  <si>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</si>
  <si>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</si>
  <si>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</si>
  <si>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</si>
  <si>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</si>
  <si>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</si>
  <si>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</si>
  <si>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</si>
  <si>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</si>
  <si>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PATHWAY 1 - EUI</t>
  </si>
  <si>
    <t>Energy Usage Intensity</t>
  </si>
  <si>
    <t>Input (#)</t>
  </si>
  <si>
    <t>PATHWAY 2 - FIXED METRICS</t>
  </si>
  <si>
    <t>(i)</t>
  </si>
  <si>
    <t>(ii)</t>
  </si>
  <si>
    <t>Non AC Areas</t>
  </si>
  <si>
    <t>Input (%)</t>
  </si>
  <si>
    <t>(iii)</t>
  </si>
  <si>
    <t>a) ACMV TSE</t>
  </si>
  <si>
    <t>b) ACMV (Unitary)</t>
  </si>
  <si>
    <t>Three Phase (no. of ticks)</t>
  </si>
  <si>
    <t>Single Phase (no. of ticks)</t>
  </si>
  <si>
    <t>(iv)</t>
  </si>
  <si>
    <t>Lighting Power Budget</t>
  </si>
  <si>
    <t>(v)</t>
  </si>
  <si>
    <t xml:space="preserve">Mechanical Ventilation </t>
  </si>
  <si>
    <t>(vi)</t>
  </si>
  <si>
    <t>Integrated Energy Management &amp; control Systems</t>
  </si>
  <si>
    <t>a) Lighting controls provided in accordance with SS 530: 2014 Code of Practice for Energy Efficiency Standard for Building Services and Equipment.</t>
  </si>
  <si>
    <t>b) Energy consumption monitoring and benchmarking system</t>
  </si>
  <si>
    <t>c) Automatic controls for the air-conditioning system to respond to  periods of non-use, or reduced heat load.</t>
  </si>
  <si>
    <t>d) A control device shall be installed in every guestroom for the purpose of automatically switching off the lighting and reducing the air conditioning loads when a guestroom is not occupied.</t>
  </si>
  <si>
    <t>(vii)</t>
  </si>
  <si>
    <r>
      <t xml:space="preserve">On-Site Renewables - </t>
    </r>
    <r>
      <rPr>
        <i/>
        <sz val="12"/>
        <color theme="1"/>
        <rFont val="Calibri"/>
        <family val="2"/>
        <scheme val="minor"/>
      </rPr>
      <t>replacement to make up any deficiencies from the above list, with safety factor</t>
    </r>
  </si>
  <si>
    <t>(viii)</t>
  </si>
  <si>
    <r>
      <t xml:space="preserve">Air side efficiency (kW/RT)
</t>
    </r>
    <r>
      <rPr>
        <i/>
        <sz val="12"/>
        <color theme="1"/>
        <rFont val="Calibri"/>
        <family val="2"/>
        <scheme val="minor"/>
      </rPr>
      <t>(for buildings with DCS)</t>
    </r>
  </si>
  <si>
    <t>PATHWAY 3 - ENERGY SAVINGS</t>
  </si>
  <si>
    <t>Saving from BAU (2005 Code)</t>
  </si>
  <si>
    <t>Saving from Current Reference (2005 Code)</t>
  </si>
  <si>
    <t>CRITERIA FOR RESILIENCE SECTION</t>
  </si>
  <si>
    <t>Available points for New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</si>
  <si>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</si>
  <si>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</si>
  <si>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</si>
  <si>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</si>
  <si>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</si>
  <si>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</si>
  <si>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</si>
  <si>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</si>
  <si>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</si>
  <si>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</si>
  <si>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</si>
  <si>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</si>
  <si>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</si>
  <si>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</si>
  <si>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</si>
  <si>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</si>
  <si>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</si>
  <si>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N.A.</t>
  </si>
  <si>
    <t>b) Water Management Policy and Water Improvement Plan</t>
  </si>
  <si>
    <t>c) Waste Management Policy &amp; 3R Plan</t>
  </si>
  <si>
    <t xml:space="preserve">a) Achieved PUB Water Efficient Building certification?  </t>
  </si>
  <si>
    <t>b) PUB WELS 3-ticks rating for 90% of all relevant water fittings.</t>
  </si>
  <si>
    <t>SUB-TOTAL FOR RE 1.1 b</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</si>
  <si>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</si>
  <si>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</si>
  <si>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</si>
  <si>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</si>
  <si>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</si>
  <si>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</si>
  <si>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</si>
  <si>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</si>
  <si>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</si>
  <si>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</si>
  <si>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</si>
  <si>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</si>
  <si>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</si>
  <si>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</si>
  <si>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</si>
  <si>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</si>
  <si>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SUB-TOTAL FOR RE 1.3</t>
  </si>
  <si>
    <t>RE2</t>
  </si>
  <si>
    <t>MANAGE</t>
  </si>
  <si>
    <t>RE2.1</t>
  </si>
  <si>
    <t>Leadership</t>
  </si>
  <si>
    <t>RE2.1a</t>
  </si>
  <si>
    <t>Project Team</t>
  </si>
  <si>
    <t>Appointment of accredited environmentalist specialists to drive and coordinate the environmental design approach.</t>
  </si>
  <si>
    <t>Sub-total</t>
  </si>
  <si>
    <t>No. of Certified GM AP</t>
  </si>
  <si>
    <t>0.25 pts/GM AP &amp; 0.5 pts /GM AAP 
(Capped at 0.5 pts)</t>
  </si>
  <si>
    <t>Max 0.5 pt</t>
  </si>
  <si>
    <t>No. of Certified GM AAP</t>
  </si>
  <si>
    <t>No. of firms certified under SGBC's SGBS certification or SIFMA's CFMC accreditation scheme.</t>
  </si>
  <si>
    <t>0.25 pts/firm 
(Capped at 0.5 pts)</t>
  </si>
  <si>
    <t>SUB-TOTAL FOR RE 2.1 a (Capped at 1 point)</t>
  </si>
  <si>
    <t>RE2.1b</t>
  </si>
  <si>
    <t>Procurement</t>
  </si>
  <si>
    <r>
      <t xml:space="preserve">Adoption of Sustainable or Green Procurement Policy for:-
- </t>
    </r>
    <r>
      <rPr>
        <b/>
        <sz val="12"/>
        <color theme="1"/>
        <rFont val="Calibri"/>
        <family val="2"/>
        <scheme val="minor"/>
      </rPr>
      <t>New Residential Buildings (for 1st year operation)</t>
    </r>
  </si>
  <si>
    <r>
      <t xml:space="preserve">Adoption of Energy Performance Contract (EPC) by accredited EPC firm for </t>
    </r>
    <r>
      <rPr>
        <b/>
        <sz val="12"/>
        <color theme="1"/>
        <rFont val="Calibri"/>
        <family val="2"/>
        <scheme val="minor"/>
      </rPr>
      <t>Non-Residential Buildings.</t>
    </r>
  </si>
  <si>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</si>
  <si>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</si>
  <si>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</si>
  <si>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</si>
  <si>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</si>
  <si>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</si>
  <si>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</si>
  <si>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</si>
  <si>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</si>
  <si>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</si>
  <si>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 (Capped at 1 point)</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</si>
  <si>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</si>
  <si>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</si>
  <si>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</si>
  <si>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</si>
  <si>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</si>
  <si>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</si>
  <si>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</si>
  <si>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</si>
  <si>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</si>
  <si>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</si>
  <si>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</si>
  <si>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</si>
  <si>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&gt;5 for New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</si>
  <si>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</si>
  <si>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</si>
  <si>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</si>
  <si>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</si>
  <si>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</si>
  <si>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</si>
  <si>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</si>
  <si>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</si>
  <si>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</si>
  <si>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</si>
  <si>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</si>
  <si>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</si>
  <si>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</si>
  <si>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</si>
  <si>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</si>
  <si>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</si>
  <si>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</si>
  <si>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</si>
  <si>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</si>
  <si>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</si>
  <si>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</si>
  <si>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</si>
  <si>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Whole Life carbon assessment consistent with EN 15978  and EN 15804</t>
  </si>
  <si>
    <t>CN1.1a</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</si>
  <si>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</si>
  <si>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</si>
  <si>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</si>
  <si>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</si>
  <si>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</si>
  <si>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</si>
  <si>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</si>
  <si>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</si>
  <si>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</si>
  <si>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</si>
  <si>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</si>
  <si>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</si>
  <si>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3 points</t>
  </si>
  <si>
    <r>
      <t xml:space="preserve">• </t>
    </r>
    <r>
      <rPr>
        <i/>
        <sz val="11"/>
        <rFont val="Calibri"/>
        <family val="2"/>
        <scheme val="minor"/>
      </rPr>
      <t>New building projects that conduct the full scope of WLC assessment will score up to additonal 2 points under the</t>
    </r>
    <r>
      <rPr>
        <b/>
        <i/>
        <sz val="11"/>
        <rFont val="Calibri"/>
        <family val="2"/>
        <scheme val="minor"/>
      </rPr>
      <t xml:space="preserve"> Innovation section. </t>
    </r>
    <r>
      <rPr>
        <i/>
        <sz val="11"/>
        <rFont val="Calibri"/>
        <family val="2"/>
        <scheme val="minor"/>
      </rPr>
      <t xml:space="preserve">
• New building projects scoring under CN1.1(A) will be excluded from scoring under CN 1.1(B)(i) </t>
    </r>
  </si>
  <si>
    <t>SUB-TOTAL FOR CN 1.1a</t>
  </si>
  <si>
    <t>CN1.1b</t>
  </si>
  <si>
    <t>Embodied Carbon Computation</t>
  </si>
  <si>
    <t xml:space="preserve">(i) </t>
  </si>
  <si>
    <t>Input (#) kg CO2e/m2</t>
  </si>
  <si>
    <t xml:space="preserve">(ii) </t>
  </si>
  <si>
    <t>(a) &gt;10% Reduction from the reference embodied carbon (for Concrete, Glass and Steel)
(b) &gt;30% Reduction from the reference embodied carbon (for Concrete, Glass and Steel)</t>
  </si>
  <si>
    <t>1 point for (a)
2 points for (b)</t>
  </si>
  <si>
    <t>Reference Values
(kgCO2e/m2)</t>
  </si>
  <si>
    <t>Non-Residential</t>
  </si>
  <si>
    <t>Residential</t>
  </si>
  <si>
    <t>Industrial</t>
  </si>
  <si>
    <t>(Reference values based on A1-A4 emissions for superstructure)</t>
  </si>
  <si>
    <t>SUB-TOTAL FOR CN 1.1b</t>
  </si>
  <si>
    <t>CN1.2</t>
  </si>
  <si>
    <t>2030 Transition Plan</t>
  </si>
  <si>
    <t>Carbon and Energy transition plan - delineates steps to deliver a net zero carbon building from 2030 for the asset under assessment, based on scope 1 and 2 emissions</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</si>
  <si>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</si>
  <si>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</si>
  <si>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</si>
  <si>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</si>
  <si>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</si>
  <si>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</si>
  <si>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</si>
  <si>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</si>
  <si>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</si>
  <si>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</si>
  <si>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</si>
  <si>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</si>
  <si>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</si>
  <si>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</si>
  <si>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</si>
  <si>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</si>
  <si>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</si>
  <si>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</si>
  <si>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</si>
  <si>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</si>
  <si>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</si>
  <si>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</si>
  <si>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r>
      <t xml:space="preserve">Replacement of aggregates
</t>
    </r>
    <r>
      <rPr>
        <sz val="12"/>
        <color theme="1"/>
        <rFont val="Calibri"/>
        <family val="2"/>
        <scheme val="minor"/>
      </rPr>
      <t xml:space="preserve">Replacement of coarse and fine aggregates for structural concrete applications [by mass of RCA, WCS, granite fines (GF)] must meet both minimum requirements in terms of </t>
    </r>
    <r>
      <rPr>
        <u/>
        <sz val="12"/>
        <color theme="1"/>
        <rFont val="Calibri"/>
        <family val="2"/>
        <scheme val="minor"/>
      </rPr>
      <t>extent of usage</t>
    </r>
    <r>
      <rPr>
        <sz val="12"/>
        <color theme="1"/>
        <rFont val="Calibri"/>
        <family val="2"/>
        <scheme val="minor"/>
      </rPr>
      <t xml:space="preserve"> and </t>
    </r>
    <r>
      <rPr>
        <u/>
        <sz val="12"/>
        <color theme="1"/>
        <rFont val="Calibri"/>
        <family val="2"/>
        <scheme val="minor"/>
      </rPr>
      <t>replacement levels</t>
    </r>
  </si>
  <si>
    <t>Capped at 1 point</t>
  </si>
  <si>
    <r>
      <t>Total concrete use for superstructure (m</t>
    </r>
    <r>
      <rPr>
        <vertAlign val="superscript"/>
        <sz val="12"/>
        <color theme="1"/>
        <rFont val="Calibri"/>
        <family val="2"/>
        <scheme val="minor"/>
      </rPr>
      <t>3</t>
    </r>
    <r>
      <rPr>
        <sz val="12"/>
        <color theme="1"/>
        <rFont val="Calibri"/>
        <family val="2"/>
        <scheme val="minor"/>
      </rPr>
      <t>)</t>
    </r>
  </si>
  <si>
    <r>
      <t xml:space="preserve">Replacement level of coarse aggregate with RCA </t>
    </r>
    <r>
      <rPr>
        <sz val="12"/>
        <color theme="1"/>
        <rFont val="Calibri"/>
        <family val="2"/>
      </rPr>
      <t>≥ 20%</t>
    </r>
  </si>
  <si>
    <t>0.5 points</t>
  </si>
  <si>
    <t>Minimum extent of usage of RCA ≥ 1.5% of GFA</t>
  </si>
  <si>
    <t>Replacement level of fine aggregate with WCS used for superstructure ≥ 10%</t>
  </si>
  <si>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</si>
  <si>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</si>
  <si>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</si>
  <si>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</si>
  <si>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</si>
  <si>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</si>
  <si>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</si>
  <si>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</si>
  <si>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SUB-TOTAL FOR CN 2.2</t>
  </si>
  <si>
    <t>CN2.3</t>
  </si>
  <si>
    <t>Conservation, Resource Recovery and Waste Management</t>
  </si>
  <si>
    <t>To encourage conservation of existing building structure, recovery of demolished building materials for reuse and/or recycling and waste management</t>
  </si>
  <si>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</si>
  <si>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</si>
  <si>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</si>
  <si>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</si>
  <si>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</si>
  <si>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</si>
  <si>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</si>
  <si>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</si>
  <si>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</si>
  <si>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</si>
  <si>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SUB-TOTAL FOR CN 3.1</t>
  </si>
  <si>
    <t>CN3.2</t>
  </si>
  <si>
    <t>Fit Out Products</t>
  </si>
  <si>
    <r>
      <t xml:space="preserve">≥ 80% (by cost or area) of the fit-out materials used (construction and finishes) for </t>
    </r>
    <r>
      <rPr>
        <b/>
        <sz val="12"/>
        <color theme="1"/>
        <rFont val="Calibri"/>
        <family val="2"/>
        <scheme val="minor"/>
      </rPr>
      <t>common areas</t>
    </r>
    <r>
      <rPr>
        <sz val="12"/>
        <color theme="1"/>
        <rFont val="Calibri"/>
        <family val="2"/>
        <scheme val="minor"/>
      </rPr>
      <t xml:space="preserve"> (i.e. non-tenanted spaces) shall be at least SGBP 2 ticks or equivalent administered by local  certification bodies</t>
    </r>
  </si>
  <si>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</si>
  <si>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</si>
  <si>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</si>
  <si>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</si>
  <si>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(e.g. MCST) offset their common areas operational energy through the procurement of renewables, or through the ongoing purchase of certified carbon offsets.
(a) ≥ 30% of common areas consumption
(b) ≥ 60% of common areas consumption
(c) ≥ 90% of common areas consumption</t>
  </si>
  <si>
    <t xml:space="preserve">1 point for (a)
2 points for (b)
3 points for (c)  </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</si>
  <si>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</si>
  <si>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</si>
  <si>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</si>
  <si>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</si>
  <si>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</si>
  <si>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</si>
  <si>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</si>
  <si>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</si>
  <si>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</si>
  <si>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</si>
  <si>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</si>
  <si>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r>
      <rPr>
        <b/>
        <sz val="12"/>
        <color theme="1"/>
        <rFont val="Calibri"/>
        <family val="2"/>
        <scheme val="minor"/>
      </rPr>
      <t xml:space="preserve">Safe Access for Active Mobility </t>
    </r>
    <r>
      <rPr>
        <sz val="12"/>
        <color theme="1"/>
        <rFont val="Calibri"/>
        <family val="2"/>
        <scheme val="minor"/>
      </rPr>
      <t xml:space="preserve">
Provision of safe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</si>
  <si>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</si>
  <si>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</si>
  <si>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</si>
  <si>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</si>
  <si>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For residential buildings the common staircases shall be designed to encourage their use through attractive wayfinding and design including stair finishes, use of colour and lighting and finishes.
</t>
    </r>
    <r>
      <rPr>
        <sz val="12"/>
        <color theme="1"/>
        <rFont val="Calibri"/>
        <family val="2"/>
        <scheme val="minor"/>
      </rPr>
      <t>(a) at least 10 floors, including basement(s) and ground floor
(b) all floors</t>
    </r>
  </si>
  <si>
    <t>A/B</t>
  </si>
  <si>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</si>
  <si>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</si>
  <si>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</si>
  <si>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</si>
  <si>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</si>
  <si>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</si>
  <si>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</si>
  <si>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</si>
  <si>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</si>
  <si>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</si>
  <si>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</si>
  <si>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</si>
  <si>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</si>
  <si>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 at least 60% of all areas* with acceptable material finishes
(b) at least 80% of common areas with acceptable material finishes
</t>
    </r>
    <r>
      <rPr>
        <i/>
        <sz val="10"/>
        <color theme="1"/>
        <rFont val="Calibri"/>
        <family val="2"/>
        <scheme val="minor"/>
      </rPr>
      <t>*includes lettable areas for non-residential developments and dwelling units for residential developments</t>
    </r>
  </si>
  <si>
    <t>2 points for (a)
0.5 points for (b)</t>
  </si>
  <si>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</si>
  <si>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</si>
  <si>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</si>
  <si>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</si>
  <si>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</si>
  <si>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</si>
  <si>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r>
      <t>Control zones should not exceed 100m</t>
    </r>
    <r>
      <rPr>
        <vertAlign val="superscript"/>
        <sz val="12"/>
        <color theme="1"/>
        <rFont val="Calibri"/>
        <family val="2"/>
        <scheme val="minor"/>
      </rPr>
      <t>2</t>
    </r>
  </si>
  <si>
    <t>Controls should provide the logic to modify the operation of the VAV box, FCU, Passive Displacement System coil temperature, Ceiling fan speed or other system employed, which will adjust thermal comfort in that zone.</t>
  </si>
  <si>
    <t>The strategies cover 
(a) at least 50% of regularly occupied functional spaces
(b) at least 90% of regularly occupied functional spaces</t>
  </si>
  <si>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</si>
  <si>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</si>
  <si>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</si>
  <si>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</si>
  <si>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</si>
  <si>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1 point</t>
  </si>
  <si>
    <t>• Residential Dwelling Unit Cross Ventilation
(a) at least 50% designed with true cross ventilation
(b) at least 60% designed with true cross ventilation
(c) at least 70% designed with true cross ventilation
(d) at least 75% designed with true cross ventilation</t>
  </si>
  <si>
    <t>0.5 points for (a)
1 point for (b)
2 points for (c) 
3 points for (d)</t>
  </si>
  <si>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</si>
  <si>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</si>
  <si>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</si>
  <si>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</si>
  <si>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</si>
  <si>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</si>
  <si>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</si>
  <si>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</si>
  <si>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</si>
  <si>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</si>
  <si>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</si>
  <si>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r>
      <rPr>
        <b/>
        <sz val="12"/>
        <color theme="1"/>
        <rFont val="Calibri"/>
        <family val="2"/>
        <scheme val="minor"/>
      </rPr>
      <t>Designated Smoking Points</t>
    </r>
    <r>
      <rPr>
        <sz val="12"/>
        <color theme="1"/>
        <rFont val="Calibri"/>
        <family val="2"/>
        <scheme val="minor"/>
      </rPr>
      <t xml:space="preserve">
Provide Designated Smoking Points for smokers to use, to allow non-smokers to utilise outdoor spaces in a healthy manner.</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</si>
  <si>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</si>
  <si>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</si>
  <si>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</si>
  <si>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</si>
  <si>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</si>
  <si>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</si>
  <si>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</si>
  <si>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</si>
  <si>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</si>
  <si>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</si>
  <si>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</si>
  <si>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</si>
  <si>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</si>
  <si>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</si>
  <si>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</si>
  <si>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</si>
  <si>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</si>
  <si>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</si>
  <si>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</si>
  <si>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</si>
  <si>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</si>
  <si>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</si>
  <si>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</si>
  <si>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</si>
  <si>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</si>
  <si>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</si>
  <si>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</si>
  <si>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</si>
  <si>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t>1.5 points</t>
  </si>
  <si>
    <r>
      <rPr>
        <b/>
        <sz val="12"/>
        <color theme="1"/>
        <rFont val="Calibri"/>
        <family val="2"/>
        <scheme val="minor"/>
      </rPr>
      <t>Noise from external Noise Sources</t>
    </r>
    <r>
      <rPr>
        <sz val="12"/>
        <color theme="1"/>
        <rFont val="Calibri"/>
        <family val="2"/>
        <scheme val="minor"/>
      </rPr>
      <t xml:space="preserve"> (i.e. Land Traffic)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</si>
  <si>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</si>
  <si>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</si>
  <si>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</si>
  <si>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</si>
  <si>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</si>
  <si>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</si>
  <si>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</si>
  <si>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</si>
  <si>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</si>
  <si>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</si>
  <si>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</si>
  <si>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</si>
  <si>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</si>
  <si>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</si>
  <si>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</si>
  <si>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</si>
  <si>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</si>
  <si>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</si>
  <si>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Provision of proper and reasonable rest areas for Outsourced workers (e.g. security officers, cleaners) to rest, recuperate, and eat. Refer to the ‘Tripartite Advisory on Provision of Rest Areas for Outsourced Workers’ (Dec 2019):
(i) Locations that afford privacy and provides a pleasant environment and
(ii) Provision of amenities such as tables, chairs, water coolers, lockers.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</si>
  <si>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</si>
  <si>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</si>
  <si>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</si>
  <si>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</si>
  <si>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</si>
  <si>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</si>
  <si>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</si>
  <si>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</si>
  <si>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</si>
  <si>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</si>
  <si>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</si>
  <si>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</si>
  <si>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</si>
  <si>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</si>
  <si>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</si>
  <si>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</si>
  <si>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</si>
  <si>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</si>
  <si>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</si>
  <si>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</si>
  <si>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</si>
  <si>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 xml:space="preserve">PIM (example: BIM) developed in accordance with Singapore CDE Data Standard that align with the Principles of ISO 19650-2018 </t>
  </si>
  <si>
    <t xml:space="preserve">Use of spatial model co-ordination platform basing on PIM for spatial analysis including identifying: </t>
  </si>
  <si>
    <t>a. System clashes through an automatic model checking tool</t>
  </si>
  <si>
    <t>b. Spatial analysis for effective construction, maintenance and future alteration or replacement.</t>
  </si>
  <si>
    <t xml:space="preserve">Digital building commissioning, performance and defect co-ordination platform basing on PIM to track, co-ordinate and manage the commissioning of systems and the tracking of defects and their rectification  </t>
  </si>
  <si>
    <t>SUB-TOTAL FOR IN 1.1</t>
  </si>
  <si>
    <t>IN 1.2</t>
  </si>
  <si>
    <t>Common Data Environment</t>
  </si>
  <si>
    <t>Performance Dashboard to monitor the different aspect of building assets’ performance and operations from a single dashboard built on top of the CDE.</t>
  </si>
  <si>
    <t xml:space="preserve">Data Management and Integration with a platform that connects and manages asset and facility data, operational data, and real-time equipment data extracted from different sub-systems based on an open protocol </t>
  </si>
  <si>
    <t>Data Accessibility and Security - information stored in the CDE platform can be accessed by facilities teams in a secured manner to facilitate operation and maintenance activities from anywhere and anytime.</t>
  </si>
  <si>
    <t>SUB-TOTAL FOR IN 1.2</t>
  </si>
  <si>
    <t>IN1.3</t>
  </si>
  <si>
    <t>Voluntary Disclosure of Building Energy Performance Data</t>
  </si>
  <si>
    <t xml:space="preserve">Share basic information – follow Common Energy Dashboard data requirements to share basic information and data. </t>
  </si>
  <si>
    <t>Share additional information – follow Common Energy Dashboard data requirements to share additional information and data.</t>
  </si>
  <si>
    <t>SUB-TOTAL FOR IN 1.3</t>
  </si>
  <si>
    <t>IN 2</t>
  </si>
  <si>
    <t>IN 2.1</t>
  </si>
  <si>
    <t>Asset Information Model</t>
  </si>
  <si>
    <t>Development and handover of an accurate spatial model of the building or asset which complete and fully up to date inclusive of renovations that would impact building services or layout alterations.</t>
  </si>
  <si>
    <t>Physical and virtual asset information tagging system aligned with common data environment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</si>
  <si>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</si>
  <si>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</si>
  <si>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</si>
  <si>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Digital Twins</t>
  </si>
  <si>
    <t>Asset Digital Twin – the digital twin of the building asset as a whole to analyse the building performance under various scenarios (design and retrofit as well as adaptation plans) as well as ensure predictive asset management and continuous optimisation of building systems as a whole.</t>
  </si>
  <si>
    <t>System Digital Twin – detailed model based on operational data of individual systems to deep dive into its performance, conduct virtual stress tests and detailed analytics.</t>
  </si>
  <si>
    <t xml:space="preserve">Process Digital Twin – To model processes and scenarios to find the optimum solution based on actual and simulated data. </t>
  </si>
  <si>
    <t>SUB-TOTAL FOR IN 2.2</t>
  </si>
  <si>
    <t>IN 3</t>
  </si>
  <si>
    <t>IN 3.1</t>
  </si>
  <si>
    <t>Real Time Performance</t>
  </si>
  <si>
    <t>Energy - Breakdown of energy consumption by system, such as air conditioning, lighting, ventilation, transportation, receptacle loads.  
Efficiency metrics tracking and analytics for real time optimisation.</t>
  </si>
  <si>
    <t>Health &amp; Comfort – Provision of permanent calibrated air quality monitoring system with zonal controls</t>
  </si>
  <si>
    <t>SUB-TOTAL FOR IN 3.1</t>
  </si>
  <si>
    <t>IN 3.2</t>
  </si>
  <si>
    <t>User Experience</t>
  </si>
  <si>
    <r>
      <t xml:space="preserve">Proactive collection and use of data to understand, track and manage the user experience within the building to improve performance including:
</t>
    </r>
    <r>
      <rPr>
        <sz val="12"/>
        <color theme="1"/>
        <rFont val="Calibri"/>
        <family val="2"/>
      </rPr>
      <t xml:space="preserve">• </t>
    </r>
    <r>
      <rPr>
        <sz val="12"/>
        <color theme="1"/>
        <rFont val="Calibri"/>
        <family val="2"/>
        <scheme val="minor"/>
      </rPr>
      <t>Use patterns.
• Comfort (thermal, visual, aural and olfactory, including locational information)
• Service requests and time for resolutions
For the following groups:</t>
    </r>
  </si>
  <si>
    <t>Building Occupants</t>
  </si>
  <si>
    <t>Visitors</t>
  </si>
  <si>
    <t>SUB-TOTAL FOR IN 3.2</t>
  </si>
  <si>
    <t>IN 3.3</t>
  </si>
  <si>
    <t>Data Ethics</t>
  </si>
  <si>
    <t>A data ethics plan shall be detailed for the building that identifies the various opportunities for the collection, analysis and use of data as well as a risk register that looks at the following risks and how they will be managed and mitigated.</t>
  </si>
  <si>
    <t>• Personal Privacy
• Risks including data governance, monetarisation of data and data permissions</t>
  </si>
  <si>
    <t>• Workforce transitioning
• Transparency 
• Data bias and data quality</t>
  </si>
  <si>
    <t>SUB-TOTAL FOR IN 3.3</t>
  </si>
  <si>
    <t>INTELLIGENCE INNOVATION AND SMART PRODUCT</t>
  </si>
  <si>
    <t>Innovation</t>
  </si>
  <si>
    <t>Capped at 3 points</t>
  </si>
  <si>
    <r>
      <t xml:space="preserve">Where projects can demonstrate substantial performance to a specific Intelligence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Encourage the Use of Singapore Green Building Council certified smart building products or product with equivalent certification that allows integration with the Common Data Environment (CDE).</t>
    </r>
  </si>
  <si>
    <t>Innovation no. 2:</t>
  </si>
  <si>
    <t>Important Note - Please use embedded Maintainability Section Scoresheet below to generate scoring</t>
  </si>
  <si>
    <t>CRITERIA FOR MAINTAINABILITY SECTION</t>
  </si>
  <si>
    <t>Section 0 - General</t>
  </si>
  <si>
    <t>Section 1 - Architectural Exterior</t>
  </si>
  <si>
    <t>1.5</t>
  </si>
  <si>
    <t>1.6</t>
  </si>
  <si>
    <t>Section 2 - Architectural Interior &amp; Common Areas</t>
  </si>
  <si>
    <t>Section 3 - Mechanical</t>
  </si>
  <si>
    <t>Section 4 - Electrical</t>
  </si>
  <si>
    <t>Section 5 - Landscape</t>
  </si>
  <si>
    <t>Section 6 - Facilities</t>
  </si>
  <si>
    <t>Section 7 - Smart FM</t>
  </si>
  <si>
    <t>Cybersecurity</t>
  </si>
  <si>
    <t>Bonus Points</t>
  </si>
  <si>
    <t>TOTAL Maintainability Section Points Scored</t>
  </si>
  <si>
    <t>Maintainability Prorated Points</t>
  </si>
  <si>
    <t>TOTAL Maintainability Section Points Scored After Pro-rating</t>
  </si>
  <si>
    <t>w/o Bonus</t>
  </si>
  <si>
    <t>w Bonus</t>
  </si>
  <si>
    <t>Total No. of Pre-Requisites Not Complied</t>
  </si>
  <si>
    <t>Total Number of Green Mark 2021 Points</t>
  </si>
  <si>
    <t>Attained Maintainability Badge?</t>
  </si>
  <si>
    <r>
      <t xml:space="preserve">Minimum extent of usage of WCS </t>
    </r>
    <r>
      <rPr>
        <sz val="12"/>
        <color theme="1"/>
        <rFont val="Calibri"/>
        <family val="2"/>
      </rPr>
      <t>≤</t>
    </r>
    <r>
      <rPr>
        <sz val="12"/>
        <color theme="1"/>
        <rFont val="Calibri"/>
        <family val="2"/>
        <scheme val="minor"/>
      </rPr>
      <t xml:space="preserve"> 0.75% of GFA</t>
    </r>
  </si>
  <si>
    <t>Points Scored from Embedded Scoresheet</t>
  </si>
  <si>
    <t>Manual input of Points</t>
  </si>
  <si>
    <t>Bonus scored</t>
  </si>
  <si>
    <t>Reason for Certification</t>
  </si>
  <si>
    <t>Reduced Heat Gain (RETV)</t>
  </si>
  <si>
    <r>
      <t xml:space="preserve">Certification through BCA Universal Design Mark
(a) UDi C rating
(b) UDi A </t>
    </r>
    <r>
      <rPr>
        <sz val="12"/>
        <color theme="1"/>
        <rFont val="Calibri"/>
        <family val="2"/>
        <scheme val="minor"/>
      </rPr>
      <t>or</t>
    </r>
    <r>
      <rPr>
        <i/>
        <sz val="12"/>
        <color theme="1"/>
        <rFont val="Calibri"/>
        <family val="2"/>
        <scheme val="minor"/>
      </rPr>
      <t xml:space="preserve"> B rating</t>
    </r>
  </si>
  <si>
    <r>
      <rPr>
        <b/>
        <sz val="16"/>
        <color rgb="FF7030A0"/>
        <rFont val="Calibri"/>
        <family val="2"/>
        <scheme val="minor"/>
      </rPr>
      <t>1) Please ensure that this excel file is named as Green Mark 2021_Scoresheet (RB).xlsx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</si>
  <si>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r>
      <t>Calculation of embodied carbon of the development (kg CO</t>
    </r>
    <r>
      <rPr>
        <vertAlign val="subscript"/>
        <sz val="12"/>
        <color theme="1"/>
        <rFont val="Calibri"/>
        <family val="2"/>
        <scheme val="minor"/>
      </rPr>
      <t>2</t>
    </r>
    <r>
      <rPr>
        <sz val="12"/>
        <color theme="1"/>
        <rFont val="Calibri"/>
        <family val="2"/>
        <scheme val="minor"/>
      </rPr>
      <t>e/m</t>
    </r>
    <r>
      <rPr>
        <vertAlign val="superscript"/>
        <sz val="12"/>
        <color theme="1"/>
        <rFont val="Calibri"/>
        <family val="2"/>
        <scheme val="minor"/>
      </rPr>
      <t>2</t>
    </r>
    <r>
      <rPr>
        <sz val="12"/>
        <color theme="1"/>
        <rFont val="Calibri"/>
        <family val="2"/>
        <scheme val="minor"/>
      </rPr>
      <t xml:space="preserve">)
</t>
    </r>
    <r>
      <rPr>
        <i/>
        <sz val="12"/>
        <color theme="1"/>
        <rFont val="Calibri"/>
        <family val="2"/>
        <scheme val="minor"/>
      </rPr>
      <t>Using the Embodied Carbon Calculator (ECC) hosted at the SGBC website or embodied carbon software tools which are linked to robust carbon data sets such as the Inventory of Carbon and Energy (ICE) database, the RICS Building Carbon Database, etc.</t>
    </r>
  </si>
  <si>
    <r>
      <rPr>
        <b/>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At Verification (As Built/ In Operation):</t>
    </r>
    <r>
      <rPr>
        <sz val="12"/>
        <color theme="1"/>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   Recognising design for Disassembly/Future adaptability - to facilitate future changes and dismantlement (in part or whole) for recovery of systems, components and materials.
</t>
    </r>
  </si>
  <si>
    <t>Space - Space utilisation and optimisation to adapt the building to cater for the occupancy, and to optimise the building services and spaces to adapt.</t>
  </si>
  <si>
    <t>GM International - New Residential Buildings</t>
  </si>
  <si>
    <t>GM International 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</si>
</sst>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b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sz val="11"/>
      <name val="Calibri"/>
      <family val="2"/>
      <scheme val="minor"/>
    </font>
    <font>
      <b/>
      <i/>
      <sz val="11"/>
      <name val="Calibri"/>
      <family val="2"/>
      <scheme val="minor"/>
    </font>
    <font>
      <b/>
      <u/>
      <sz val="16"/>
      <color theme="1"/>
      <name val="Calibri"/>
      <family val="2"/>
      <scheme val="minor"/>
    </font>
    <font>
      <sz val="11"/>
      <color rgb="FF3F3F76"/>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7030A0"/>
      <name val="Calibri"/>
      <family val="2"/>
      <scheme val="minor"/>
    </font>
    <font>
      <b/>
      <sz val="16"/>
      <color theme="5"/>
      <name val="Calibri"/>
      <family val="2"/>
      <scheme val="minor"/>
    </font>
    <font>
      <b/>
      <u/>
      <sz val="16"/>
      <color rgb="FF9933FF"/>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A5A5A5"/>
        <bgColor indexed="64"/>
      </patternFill>
    </fill>
    <fill>
      <patternFill patternType="solid">
        <fgColor rgb="FFFFCC9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30" fillId="0" borderId="0"/>
    <xf numFmtId="0" fontId="43" fillId="35" borderId="34" applyNumberFormat="0" applyAlignment="0" applyProtection="0"/>
  </cellStyleXfs>
  <cellXfs count="569">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0" fillId="0" borderId="0" xfId="0" applyAlignment="1">
      <alignment horizontal="center"/>
    </xf>
    <xf numFmtId="0" fontId="10" fillId="7" borderId="1" xfId="0" applyFont="1" applyFill="1" applyBorder="1" applyAlignment="1">
      <alignment horizontal="left" vertical="center"/>
    </xf>
    <xf numFmtId="0" fontId="31" fillId="7" borderId="1" xfId="0" applyFont="1" applyFill="1" applyBorder="1" applyAlignment="1">
      <alignment horizontal="right" vertical="center"/>
    </xf>
    <xf numFmtId="0" fontId="11" fillId="31" borderId="1" xfId="0" applyFont="1" applyFill="1" applyBorder="1" applyAlignment="1" applyProtection="1">
      <alignment horizontal="center" vertical="center"/>
      <protection locked="0"/>
    </xf>
    <xf numFmtId="0" fontId="0" fillId="0" borderId="0" xfId="0" applyProtection="1">
      <protection locked="0"/>
    </xf>
    <xf numFmtId="0" fontId="0" fillId="0" borderId="1" xfId="0" applyBorder="1" applyProtection="1">
      <protection locked="0"/>
    </xf>
    <xf numFmtId="0" fontId="35" fillId="0" borderId="1" xfId="0" applyFont="1" applyBorder="1" applyAlignment="1" applyProtection="1">
      <alignment horizontal="justify" vertical="center" wrapText="1"/>
      <protection locked="0"/>
    </xf>
    <xf numFmtId="3" fontId="38" fillId="0" borderId="1" xfId="0" applyNumberFormat="1" applyFont="1" applyBorder="1" applyAlignment="1" applyProtection="1">
      <alignment horizontal="justify" vertical="center" wrapText="1"/>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2" fontId="39" fillId="0" borderId="1" xfId="0" applyNumberFormat="1" applyFont="1" applyBorder="1" applyAlignment="1" applyProtection="1">
      <alignment horizontal="left" vertical="center" wrapText="1"/>
      <protection locked="0"/>
    </xf>
    <xf numFmtId="165" fontId="38" fillId="0" borderId="1" xfId="0" applyNumberFormat="1" applyFont="1" applyBorder="1" applyAlignment="1" applyProtection="1">
      <alignment horizontal="left" vertical="center" wrapText="1"/>
      <protection locked="0"/>
    </xf>
    <xf numFmtId="164" fontId="38"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3" fillId="0" borderId="0" xfId="0" applyFont="1" applyProtection="1"/>
    <xf numFmtId="0" fontId="0" fillId="0" borderId="0" xfId="0" applyProtection="1"/>
    <xf numFmtId="0" fontId="2" fillId="0" borderId="0" xfId="0" applyFont="1" applyProtection="1"/>
    <xf numFmtId="0" fontId="7" fillId="0" borderId="0" xfId="0" applyFont="1" applyProtection="1"/>
    <xf numFmtId="0" fontId="6" fillId="2" borderId="2" xfId="0" applyFont="1" applyFill="1" applyBorder="1" applyAlignment="1" applyProtection="1">
      <alignment horizontal="center"/>
    </xf>
    <xf numFmtId="0" fontId="8" fillId="3" borderId="1" xfId="0" applyFont="1" applyFill="1" applyBorder="1" applyAlignment="1" applyProtection="1">
      <alignment horizontal="center" vertical="center"/>
    </xf>
    <xf numFmtId="0" fontId="7" fillId="0" borderId="1" xfId="0" applyFont="1" applyBorder="1" applyAlignment="1" applyProtection="1">
      <alignment horizontal="center"/>
    </xf>
    <xf numFmtId="1" fontId="7" fillId="0" borderId="1" xfId="0" applyNumberFormat="1" applyFont="1" applyBorder="1" applyAlignment="1" applyProtection="1">
      <alignment horizontal="center"/>
    </xf>
    <xf numFmtId="0" fontId="8"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0" fillId="0" borderId="1" xfId="0" applyBorder="1" applyProtection="1"/>
    <xf numFmtId="0" fontId="6" fillId="2" borderId="1" xfId="0" applyFont="1" applyFill="1" applyBorder="1" applyAlignment="1" applyProtection="1">
      <alignment horizontal="center" vertical="center" wrapText="1"/>
    </xf>
    <xf numFmtId="2" fontId="7" fillId="0" borderId="1" xfId="0" applyNumberFormat="1" applyFont="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18" fillId="30" borderId="1" xfId="0" applyFont="1" applyFill="1" applyBorder="1" applyAlignment="1" applyProtection="1">
      <alignment vertical="center"/>
    </xf>
    <xf numFmtId="0" fontId="4" fillId="0" borderId="1" xfId="1" applyFont="1" applyBorder="1" applyAlignment="1" applyProtection="1">
      <alignment horizontal="justify" vertical="center" wrapText="1"/>
    </xf>
    <xf numFmtId="0" fontId="11" fillId="0" borderId="1" xfId="0" applyFont="1" applyBorder="1" applyAlignment="1" applyProtection="1">
      <alignment horizontal="center" vertical="center"/>
    </xf>
    <xf numFmtId="0" fontId="11" fillId="34" borderId="1" xfId="0" applyFont="1" applyFill="1" applyBorder="1" applyAlignment="1" applyProtection="1">
      <alignment vertical="center"/>
    </xf>
    <xf numFmtId="0" fontId="0" fillId="34" borderId="1" xfId="0" applyFill="1" applyBorder="1" applyProtection="1"/>
    <xf numFmtId="0" fontId="4" fillId="34" borderId="1" xfId="1" applyFont="1" applyFill="1" applyBorder="1" applyAlignment="1" applyProtection="1">
      <alignment horizontal="justify" vertical="center" wrapText="1"/>
    </xf>
    <xf numFmtId="0" fontId="11" fillId="34" borderId="1" xfId="0" applyFont="1" applyFill="1" applyBorder="1" applyAlignment="1" applyProtection="1">
      <alignment horizontal="center" vertical="center"/>
    </xf>
    <xf numFmtId="0" fontId="10" fillId="32" borderId="1" xfId="0" applyFont="1" applyFill="1" applyBorder="1" applyAlignment="1" applyProtection="1">
      <alignment vertical="center"/>
    </xf>
    <xf numFmtId="0" fontId="4" fillId="0" borderId="1" xfId="0" applyFont="1" applyBorder="1" applyProtection="1"/>
    <xf numFmtId="0" fontId="4" fillId="0" borderId="1" xfId="0" applyFont="1" applyBorder="1" applyAlignment="1" applyProtection="1">
      <alignment vertical="center"/>
    </xf>
    <xf numFmtId="1" fontId="11" fillId="0" borderId="1" xfId="1" applyNumberFormat="1"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quotePrefix="1" applyFont="1" applyBorder="1" applyAlignment="1" applyProtection="1">
      <alignment vertical="center" wrapText="1"/>
    </xf>
    <xf numFmtId="0" fontId="10" fillId="34" borderId="1" xfId="0" applyFont="1" applyFill="1" applyBorder="1" applyAlignment="1" applyProtection="1">
      <alignment vertical="center"/>
    </xf>
    <xf numFmtId="0" fontId="0" fillId="34" borderId="1" xfId="0" applyFill="1" applyBorder="1" applyAlignment="1" applyProtection="1">
      <alignment horizontal="center" vertical="center"/>
    </xf>
    <xf numFmtId="0" fontId="4" fillId="34" borderId="1" xfId="0" applyFont="1" applyFill="1" applyBorder="1" applyAlignment="1" applyProtection="1">
      <alignment horizontal="justify" vertical="center" wrapText="1"/>
    </xf>
    <xf numFmtId="1" fontId="11" fillId="31" borderId="1" xfId="1"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3" borderId="1" xfId="0" quotePrefix="1" applyFont="1" applyFill="1" applyBorder="1" applyAlignment="1" applyProtection="1">
      <alignment horizontal="center" vertical="center"/>
    </xf>
    <xf numFmtId="0" fontId="10" fillId="14" borderId="1" xfId="0" applyFont="1" applyFill="1" applyBorder="1" applyAlignment="1" applyProtection="1">
      <alignment horizontal="center" vertical="center"/>
    </xf>
    <xf numFmtId="0" fontId="10" fillId="14" borderId="1" xfId="0" applyFont="1" applyFill="1" applyBorder="1" applyAlignment="1" applyProtection="1">
      <alignment horizontal="center" vertical="center" wrapText="1"/>
    </xf>
    <xf numFmtId="164" fontId="10" fillId="14" borderId="1" xfId="0" applyNumberFormat="1" applyFont="1"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9" fillId="9" borderId="7" xfId="0" applyFont="1" applyFill="1" applyBorder="1" applyAlignment="1" applyProtection="1">
      <alignment vertical="center" wrapText="1"/>
    </xf>
    <xf numFmtId="0" fontId="9" fillId="9" borderId="5" xfId="0" applyFont="1" applyFill="1" applyBorder="1" applyAlignment="1" applyProtection="1">
      <alignment vertical="center" wrapText="1"/>
    </xf>
    <xf numFmtId="0" fontId="9" fillId="9" borderId="5" xfId="0" applyFont="1" applyFill="1" applyBorder="1" applyAlignment="1" applyProtection="1">
      <alignment horizontal="left" vertical="center" wrapText="1"/>
    </xf>
    <xf numFmtId="0" fontId="4" fillId="9" borderId="5" xfId="0" applyFont="1" applyFill="1" applyBorder="1" applyAlignment="1" applyProtection="1">
      <alignment vertical="center"/>
    </xf>
    <xf numFmtId="164" fontId="4" fillId="9" borderId="5" xfId="0" applyNumberFormat="1" applyFont="1" applyFill="1" applyBorder="1" applyAlignment="1" applyProtection="1">
      <alignment vertical="center"/>
    </xf>
    <xf numFmtId="0" fontId="4" fillId="9" borderId="6" xfId="0" applyFont="1" applyFill="1" applyBorder="1" applyAlignment="1" applyProtection="1">
      <alignment vertical="center"/>
    </xf>
    <xf numFmtId="0" fontId="5" fillId="10" borderId="1" xfId="0" applyFont="1" applyFill="1" applyBorder="1" applyAlignment="1" applyProtection="1">
      <alignment horizontal="center" vertical="center"/>
    </xf>
    <xf numFmtId="0" fontId="11" fillId="10" borderId="1" xfId="0" applyFont="1" applyFill="1" applyBorder="1" applyAlignment="1" applyProtection="1">
      <alignment vertical="center" wrapText="1"/>
    </xf>
    <xf numFmtId="0" fontId="11" fillId="10" borderId="6" xfId="0" applyFont="1" applyFill="1" applyBorder="1" applyAlignment="1" applyProtection="1">
      <alignment vertical="center" wrapText="1"/>
    </xf>
    <xf numFmtId="0" fontId="11" fillId="10" borderId="8" xfId="0" applyFont="1" applyFill="1" applyBorder="1" applyAlignment="1" applyProtection="1">
      <alignment horizontal="left" vertical="center" wrapText="1"/>
    </xf>
    <xf numFmtId="0" fontId="5" fillId="10" borderId="1" xfId="1" applyFont="1" applyFill="1" applyBorder="1" applyAlignment="1" applyProtection="1">
      <alignment horizontal="center" vertical="center"/>
    </xf>
    <xf numFmtId="164" fontId="4" fillId="10" borderId="1" xfId="0" applyNumberFormat="1" applyFont="1" applyFill="1" applyBorder="1" applyAlignment="1" applyProtection="1">
      <alignment vertical="center"/>
    </xf>
    <xf numFmtId="0" fontId="4" fillId="10" borderId="1" xfId="0" applyFont="1" applyFill="1" applyBorder="1" applyAlignment="1" applyProtection="1">
      <alignment vertical="center"/>
    </xf>
    <xf numFmtId="164" fontId="11" fillId="0" borderId="1" xfId="0" applyNumberFormat="1" applyFont="1" applyBorder="1" applyAlignment="1" applyProtection="1">
      <alignment horizontal="center" vertical="center" wrapText="1"/>
    </xf>
    <xf numFmtId="0" fontId="4" fillId="12" borderId="1" xfId="0" applyFont="1" applyFill="1" applyBorder="1" applyAlignment="1" applyProtection="1">
      <alignment horizontal="center" vertical="center"/>
    </xf>
    <xf numFmtId="164" fontId="11" fillId="12" borderId="2" xfId="0" applyNumberFormat="1" applyFont="1" applyFill="1" applyBorder="1" applyAlignment="1" applyProtection="1">
      <alignment horizontal="center" vertical="center" wrapText="1"/>
    </xf>
    <xf numFmtId="0" fontId="4" fillId="12" borderId="1" xfId="0" applyFont="1" applyFill="1" applyBorder="1" applyAlignment="1" applyProtection="1">
      <alignment vertical="center"/>
    </xf>
    <xf numFmtId="49" fontId="5" fillId="10" borderId="1" xfId="1" applyNumberFormat="1" applyFont="1" applyFill="1" applyBorder="1" applyAlignment="1" applyProtection="1">
      <alignment horizontal="center" vertical="center"/>
    </xf>
    <xf numFmtId="0" fontId="5" fillId="10" borderId="1" xfId="1" applyFont="1" applyFill="1" applyBorder="1" applyAlignment="1" applyProtection="1">
      <alignment vertical="center" wrapText="1"/>
    </xf>
    <xf numFmtId="0" fontId="5" fillId="10" borderId="6" xfId="1" applyFont="1" applyFill="1" applyBorder="1" applyAlignment="1" applyProtection="1">
      <alignment vertical="center" wrapText="1"/>
    </xf>
    <xf numFmtId="0" fontId="5" fillId="10" borderId="6" xfId="1" applyFont="1" applyFill="1" applyBorder="1" applyAlignment="1" applyProtection="1">
      <alignment horizontal="left" vertical="center" wrapText="1"/>
    </xf>
    <xf numFmtId="0" fontId="4" fillId="13" borderId="7" xfId="1" applyFont="1" applyFill="1" applyBorder="1" applyAlignment="1" applyProtection="1">
      <alignment vertical="center" wrapText="1"/>
    </xf>
    <xf numFmtId="0" fontId="4" fillId="33" borderId="1" xfId="1" applyFont="1" applyFill="1" applyBorder="1" applyAlignment="1" applyProtection="1">
      <alignment vertical="center" wrapText="1"/>
    </xf>
    <xf numFmtId="0" fontId="4" fillId="0" borderId="1" xfId="1" applyFont="1" applyBorder="1" applyAlignment="1" applyProtection="1">
      <alignment vertical="center" wrapText="1"/>
    </xf>
    <xf numFmtId="0" fontId="4" fillId="13" borderId="1" xfId="1" applyFont="1" applyFill="1" applyBorder="1" applyAlignment="1" applyProtection="1">
      <alignment vertical="center" wrapText="1"/>
    </xf>
    <xf numFmtId="0" fontId="4" fillId="0" borderId="7" xfId="1" applyFont="1" applyBorder="1" applyAlignment="1" applyProtection="1">
      <alignment vertical="center" wrapText="1"/>
    </xf>
    <xf numFmtId="0" fontId="4" fillId="33"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1" xfId="1" applyFont="1" applyBorder="1" applyAlignment="1" applyProtection="1">
      <alignment horizontal="center" vertical="center"/>
    </xf>
    <xf numFmtId="49" fontId="4" fillId="12" borderId="3" xfId="1" applyNumberFormat="1" applyFont="1" applyFill="1" applyBorder="1" applyAlignment="1" applyProtection="1">
      <alignment horizontal="center" vertical="center"/>
    </xf>
    <xf numFmtId="0" fontId="4" fillId="12" borderId="8" xfId="0" applyFont="1" applyFill="1" applyBorder="1" applyAlignment="1" applyProtection="1">
      <alignment horizontal="center" vertical="center"/>
    </xf>
    <xf numFmtId="0" fontId="5" fillId="9" borderId="11" xfId="0" applyFont="1" applyFill="1" applyBorder="1" applyAlignment="1" applyProtection="1">
      <alignment vertical="center"/>
    </xf>
    <xf numFmtId="0" fontId="5" fillId="9" borderId="5" xfId="0" applyFont="1" applyFill="1" applyBorder="1" applyAlignment="1" applyProtection="1">
      <alignment vertical="center"/>
    </xf>
    <xf numFmtId="0" fontId="5" fillId="9" borderId="5" xfId="0" applyFont="1" applyFill="1" applyBorder="1" applyAlignment="1" applyProtection="1">
      <alignment horizontal="left" vertical="center"/>
    </xf>
    <xf numFmtId="0" fontId="5" fillId="9" borderId="12" xfId="0" applyFont="1" applyFill="1" applyBorder="1" applyAlignment="1" applyProtection="1">
      <alignment vertical="center" wrapText="1"/>
    </xf>
    <xf numFmtId="0" fontId="5" fillId="9" borderId="5" xfId="0" applyFont="1" applyFill="1" applyBorder="1" applyAlignment="1" applyProtection="1">
      <alignment vertical="center" wrapText="1"/>
    </xf>
    <xf numFmtId="0" fontId="5" fillId="9" borderId="6"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8" xfId="0" applyFont="1" applyFill="1" applyBorder="1" applyAlignment="1" applyProtection="1">
      <alignment vertical="center" wrapText="1"/>
    </xf>
    <xf numFmtId="0" fontId="5" fillId="10" borderId="8" xfId="0" applyFont="1" applyFill="1" applyBorder="1" applyAlignment="1" applyProtection="1">
      <alignment horizontal="left" vertical="center" wrapText="1"/>
    </xf>
    <xf numFmtId="0" fontId="4" fillId="10" borderId="7" xfId="0" applyFont="1" applyFill="1" applyBorder="1" applyAlignment="1" applyProtection="1">
      <alignment vertical="center"/>
    </xf>
    <xf numFmtId="0" fontId="4" fillId="0" borderId="1" xfId="0" applyFont="1" applyBorder="1" applyAlignment="1" applyProtection="1">
      <alignment horizontal="justify" vertical="center" wrapText="1"/>
    </xf>
    <xf numFmtId="0" fontId="4" fillId="12" borderId="0" xfId="0" applyFont="1" applyFill="1" applyAlignment="1" applyProtection="1">
      <alignment vertical="center"/>
    </xf>
    <xf numFmtId="0" fontId="4" fillId="12" borderId="6" xfId="0" applyFont="1" applyFill="1" applyBorder="1" applyAlignment="1" applyProtection="1">
      <alignment vertical="center"/>
    </xf>
    <xf numFmtId="0" fontId="5" fillId="10" borderId="6" xfId="0" applyFont="1" applyFill="1" applyBorder="1" applyAlignment="1" applyProtection="1">
      <alignment vertical="center" wrapText="1"/>
    </xf>
    <xf numFmtId="0" fontId="5" fillId="10" borderId="6" xfId="0" applyFont="1" applyFill="1" applyBorder="1" applyAlignment="1" applyProtection="1">
      <alignment horizontal="left" vertical="center" wrapText="1"/>
    </xf>
    <xf numFmtId="0" fontId="4" fillId="0" borderId="3" xfId="0" applyFont="1" applyBorder="1" applyAlignment="1" applyProtection="1">
      <alignment vertical="center" wrapText="1"/>
    </xf>
    <xf numFmtId="0" fontId="4" fillId="13" borderId="2" xfId="1" applyFont="1" applyFill="1" applyBorder="1" applyAlignment="1" applyProtection="1">
      <alignment horizontal="center" vertical="center" wrapText="1"/>
    </xf>
    <xf numFmtId="164" fontId="11" fillId="0" borderId="13" xfId="0" applyNumberFormat="1" applyFont="1" applyBorder="1" applyAlignment="1" applyProtection="1">
      <alignment horizontal="center" vertical="center" wrapText="1"/>
    </xf>
    <xf numFmtId="164" fontId="11" fillId="12" borderId="1" xfId="0" applyNumberFormat="1" applyFont="1" applyFill="1" applyBorder="1" applyAlignment="1" applyProtection="1">
      <alignment horizontal="center" vertical="center" wrapText="1"/>
    </xf>
    <xf numFmtId="0" fontId="5" fillId="9" borderId="12" xfId="0" applyFont="1" applyFill="1" applyBorder="1" applyAlignment="1" applyProtection="1">
      <alignment vertical="center"/>
    </xf>
    <xf numFmtId="0" fontId="5" fillId="9" borderId="12" xfId="0" applyFont="1" applyFill="1" applyBorder="1" applyAlignment="1" applyProtection="1">
      <alignment horizontal="left" vertical="center"/>
    </xf>
    <xf numFmtId="0" fontId="4" fillId="10" borderId="11" xfId="0" applyFont="1" applyFill="1" applyBorder="1" applyAlignment="1" applyProtection="1">
      <alignment vertical="center"/>
    </xf>
    <xf numFmtId="0" fontId="4" fillId="10" borderId="6" xfId="0" applyFont="1" applyFill="1" applyBorder="1" applyAlignment="1" applyProtection="1">
      <alignment vertical="center"/>
    </xf>
    <xf numFmtId="0" fontId="10" fillId="14" borderId="9" xfId="0" applyFont="1" applyFill="1" applyBorder="1" applyAlignment="1" applyProtection="1">
      <alignment horizontal="center" vertical="center"/>
    </xf>
    <xf numFmtId="164" fontId="10" fillId="14" borderId="9" xfId="0" applyNumberFormat="1" applyFont="1" applyFill="1" applyBorder="1" applyAlignment="1" applyProtection="1">
      <alignment horizontal="center" vertical="center"/>
    </xf>
    <xf numFmtId="0" fontId="5" fillId="14" borderId="9" xfId="0" applyFont="1" applyFill="1" applyBorder="1" applyAlignment="1" applyProtection="1">
      <alignment horizontal="center" vertical="center"/>
    </xf>
    <xf numFmtId="0" fontId="5" fillId="9" borderId="1" xfId="2" applyFont="1" applyFill="1" applyBorder="1" applyAlignment="1" applyProtection="1">
      <alignment horizontal="center" vertical="center"/>
    </xf>
    <xf numFmtId="0" fontId="5" fillId="9" borderId="5" xfId="2" applyFont="1" applyFill="1" applyBorder="1" applyAlignment="1" applyProtection="1">
      <alignment horizontal="left" vertical="center"/>
    </xf>
    <xf numFmtId="0" fontId="5" fillId="9" borderId="7" xfId="2" applyFont="1" applyFill="1" applyBorder="1" applyAlignment="1" applyProtection="1">
      <alignment horizontal="center" vertical="center" wrapText="1"/>
    </xf>
    <xf numFmtId="0" fontId="5" fillId="9" borderId="5" xfId="2" applyFont="1" applyFill="1" applyBorder="1" applyAlignment="1" applyProtection="1">
      <alignment horizontal="center" vertical="center" wrapText="1"/>
    </xf>
    <xf numFmtId="0" fontId="5" fillId="10" borderId="1" xfId="2" applyFont="1" applyFill="1" applyBorder="1" applyAlignment="1" applyProtection="1">
      <alignment horizontal="center" vertical="center"/>
    </xf>
    <xf numFmtId="0" fontId="5" fillId="10" borderId="1" xfId="2" applyFont="1" applyFill="1" applyBorder="1" applyAlignment="1" applyProtection="1">
      <alignment vertical="center" wrapText="1"/>
    </xf>
    <xf numFmtId="0" fontId="5" fillId="10" borderId="3" xfId="2" applyFont="1" applyFill="1" applyBorder="1" applyAlignment="1" applyProtection="1">
      <alignment vertical="center" wrapText="1"/>
    </xf>
    <xf numFmtId="0" fontId="4" fillId="10" borderId="3" xfId="2" applyFont="1" applyFill="1" applyBorder="1" applyAlignment="1" applyProtection="1">
      <alignment horizontal="center" vertical="center" wrapText="1"/>
    </xf>
    <xf numFmtId="0" fontId="4" fillId="10" borderId="3" xfId="0" applyFont="1" applyFill="1" applyBorder="1" applyAlignment="1" applyProtection="1">
      <alignment vertical="center"/>
    </xf>
    <xf numFmtId="0" fontId="4" fillId="0" borderId="7" xfId="2" applyFont="1" applyBorder="1" applyAlignment="1" applyProtection="1">
      <alignment vertical="center" wrapText="1"/>
    </xf>
    <xf numFmtId="0" fontId="4" fillId="33" borderId="1" xfId="2" applyFont="1" applyFill="1" applyBorder="1" applyAlignment="1" applyProtection="1">
      <alignment vertical="center" wrapText="1"/>
    </xf>
    <xf numFmtId="0" fontId="4" fillId="0" borderId="1" xfId="2" applyFont="1" applyBorder="1" applyAlignment="1" applyProtection="1">
      <alignment vertical="center" wrapText="1"/>
    </xf>
    <xf numFmtId="164" fontId="4" fillId="0" borderId="1" xfId="2" applyNumberFormat="1" applyFont="1" applyBorder="1" applyAlignment="1" applyProtection="1">
      <alignment vertical="center" wrapText="1"/>
    </xf>
    <xf numFmtId="0" fontId="0" fillId="0" borderId="1" xfId="0" applyBorder="1" applyAlignment="1" applyProtection="1">
      <alignment vertical="center"/>
    </xf>
    <xf numFmtId="0" fontId="2" fillId="0" borderId="1" xfId="0" applyFont="1" applyBorder="1" applyAlignment="1" applyProtection="1">
      <alignment horizontal="center" vertical="center"/>
    </xf>
    <xf numFmtId="0" fontId="0" fillId="0" borderId="0" xfId="0" applyAlignment="1" applyProtection="1">
      <alignment horizontal="center" vertical="center"/>
    </xf>
    <xf numFmtId="0" fontId="15" fillId="0" borderId="1" xfId="0" applyFont="1" applyBorder="1" applyAlignment="1" applyProtection="1">
      <alignment horizontal="center" vertical="center"/>
    </xf>
    <xf numFmtId="0" fontId="4" fillId="0" borderId="7" xfId="2" applyFont="1" applyBorder="1" applyAlignment="1" applyProtection="1">
      <alignment horizontal="center" vertical="center" wrapText="1"/>
    </xf>
    <xf numFmtId="0" fontId="15" fillId="15" borderId="1" xfId="0" applyFont="1" applyFill="1" applyBorder="1" applyAlignment="1" applyProtection="1">
      <alignment horizontal="center" vertical="center" wrapText="1"/>
    </xf>
    <xf numFmtId="0" fontId="4" fillId="12" borderId="1" xfId="2" applyFont="1" applyFill="1" applyBorder="1" applyAlignment="1" applyProtection="1">
      <alignment horizontal="center" vertical="center"/>
    </xf>
    <xf numFmtId="164" fontId="5" fillId="12" borderId="1" xfId="0" applyNumberFormat="1" applyFont="1" applyFill="1" applyBorder="1" applyAlignment="1" applyProtection="1">
      <alignment horizontal="center" vertical="center"/>
    </xf>
    <xf numFmtId="0" fontId="5" fillId="10" borderId="1" xfId="2" applyFont="1" applyFill="1" applyBorder="1" applyAlignment="1" applyProtection="1">
      <alignment horizontal="center" vertical="center" wrapText="1"/>
    </xf>
    <xf numFmtId="0" fontId="4" fillId="0" borderId="3" xfId="2" quotePrefix="1" applyFont="1" applyBorder="1" applyAlignment="1" applyProtection="1">
      <alignment horizontal="justify" vertical="center" wrapText="1"/>
    </xf>
    <xf numFmtId="0" fontId="4" fillId="0" borderId="1" xfId="2" applyFont="1" applyBorder="1" applyAlignment="1" applyProtection="1">
      <alignment horizontal="justify" vertical="center" wrapText="1"/>
    </xf>
    <xf numFmtId="0" fontId="4" fillId="12" borderId="9" xfId="0" applyFont="1" applyFill="1" applyBorder="1" applyAlignment="1" applyProtection="1">
      <alignment vertical="center"/>
    </xf>
    <xf numFmtId="0" fontId="5" fillId="9" borderId="1" xfId="2" applyFont="1" applyFill="1" applyBorder="1" applyAlignment="1" applyProtection="1">
      <alignment vertical="center"/>
    </xf>
    <xf numFmtId="0" fontId="5" fillId="9" borderId="6" xfId="2" applyFont="1" applyFill="1" applyBorder="1" applyAlignment="1" applyProtection="1">
      <alignment vertical="center"/>
    </xf>
    <xf numFmtId="0" fontId="11" fillId="10" borderId="1" xfId="2" applyFont="1" applyFill="1" applyBorder="1" applyAlignment="1" applyProtection="1">
      <alignment horizontal="center" vertical="center" wrapText="1"/>
    </xf>
    <xf numFmtId="0" fontId="4" fillId="0" borderId="1" xfId="2" applyFont="1" applyBorder="1" applyAlignment="1" applyProtection="1">
      <alignment horizontal="center" vertical="center" wrapText="1"/>
    </xf>
    <xf numFmtId="0" fontId="4" fillId="0" borderId="2" xfId="2" applyFont="1" applyBorder="1" applyAlignment="1" applyProtection="1">
      <alignment vertical="center" wrapText="1"/>
    </xf>
    <xf numFmtId="0" fontId="11" fillId="0" borderId="2" xfId="0" applyFont="1" applyBorder="1" applyAlignment="1" applyProtection="1">
      <alignment horizontal="center" vertical="center"/>
    </xf>
    <xf numFmtId="164" fontId="11" fillId="0" borderId="2" xfId="0" applyNumberFormat="1" applyFont="1" applyBorder="1" applyAlignment="1" applyProtection="1">
      <alignment horizontal="center" vertical="center" wrapText="1"/>
    </xf>
    <xf numFmtId="0" fontId="5" fillId="10" borderId="3" xfId="2" applyFont="1" applyFill="1" applyBorder="1" applyAlignment="1" applyProtection="1">
      <alignment horizontal="center" vertical="center"/>
    </xf>
    <xf numFmtId="0" fontId="5" fillId="10" borderId="3" xfId="2" applyFont="1" applyFill="1" applyBorder="1" applyAlignment="1" applyProtection="1">
      <alignment horizontal="justify" vertical="center" wrapText="1"/>
    </xf>
    <xf numFmtId="0" fontId="5" fillId="10" borderId="3" xfId="2" applyFont="1" applyFill="1" applyBorder="1" applyAlignment="1" applyProtection="1">
      <alignment horizontal="center" vertical="center" wrapText="1"/>
    </xf>
    <xf numFmtId="0" fontId="4" fillId="0" borderId="1" xfId="2" quotePrefix="1" applyFont="1" applyBorder="1" applyAlignment="1" applyProtection="1">
      <alignment horizontal="justify" vertical="center" wrapText="1"/>
    </xf>
    <xf numFmtId="164" fontId="4" fillId="0" borderId="1" xfId="0" applyNumberFormat="1" applyFont="1" applyBorder="1" applyAlignment="1" applyProtection="1">
      <alignment horizontal="center" vertical="center" wrapText="1"/>
    </xf>
    <xf numFmtId="0" fontId="4" fillId="9" borderId="5" xfId="2" applyFont="1" applyFill="1" applyBorder="1" applyAlignment="1" applyProtection="1">
      <alignment horizontal="center" vertical="center"/>
    </xf>
    <xf numFmtId="0" fontId="4" fillId="10" borderId="3" xfId="2" applyFont="1" applyFill="1" applyBorder="1" applyAlignment="1" applyProtection="1">
      <alignment horizontal="center" vertical="center"/>
    </xf>
    <xf numFmtId="0" fontId="4" fillId="10" borderId="3" xfId="2" applyFont="1" applyFill="1" applyBorder="1" applyAlignment="1" applyProtection="1">
      <alignment vertical="center" wrapText="1"/>
    </xf>
    <xf numFmtId="0" fontId="4" fillId="10" borderId="1" xfId="2" applyFont="1" applyFill="1" applyBorder="1" applyAlignment="1" applyProtection="1">
      <alignment horizontal="center" vertical="center"/>
    </xf>
    <xf numFmtId="0" fontId="4" fillId="10" borderId="1" xfId="2" applyFont="1" applyFill="1" applyBorder="1" applyAlignment="1" applyProtection="1">
      <alignment vertical="center" wrapText="1"/>
    </xf>
    <xf numFmtId="0" fontId="11" fillId="10" borderId="1" xfId="2" applyFont="1" applyFill="1" applyBorder="1" applyAlignment="1" applyProtection="1">
      <alignment horizontal="justify" vertical="center" wrapText="1"/>
    </xf>
    <xf numFmtId="0" fontId="11" fillId="0" borderId="1" xfId="0" applyFont="1" applyBorder="1" applyAlignment="1" applyProtection="1">
      <alignment horizontal="center" vertical="center" wrapText="1"/>
    </xf>
    <xf numFmtId="1" fontId="11" fillId="11" borderId="1" xfId="1"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pplyProtection="1">
      <alignment horizontal="center" vertical="center" wrapText="1"/>
    </xf>
    <xf numFmtId="164" fontId="13" fillId="4" borderId="1" xfId="0" applyNumberFormat="1" applyFont="1" applyFill="1" applyBorder="1" applyAlignment="1" applyProtection="1">
      <alignment horizontal="center" vertical="center" wrapText="1"/>
    </xf>
    <xf numFmtId="0" fontId="10" fillId="4" borderId="1" xfId="0" quotePrefix="1" applyFont="1" applyFill="1" applyBorder="1" applyAlignment="1" applyProtection="1">
      <alignment horizontal="center" vertical="center"/>
    </xf>
    <xf numFmtId="0" fontId="10" fillId="16" borderId="1" xfId="0" applyFont="1" applyFill="1" applyBorder="1" applyAlignment="1" applyProtection="1">
      <alignment horizontal="center" vertical="center"/>
    </xf>
    <xf numFmtId="164" fontId="10" fillId="16" borderId="5" xfId="0" applyNumberFormat="1" applyFont="1" applyFill="1" applyBorder="1" applyAlignment="1" applyProtection="1">
      <alignment horizontal="center" vertical="center"/>
    </xf>
    <xf numFmtId="0" fontId="10" fillId="16" borderId="6" xfId="0" applyFont="1" applyFill="1" applyBorder="1" applyAlignment="1" applyProtection="1">
      <alignment vertical="center"/>
    </xf>
    <xf numFmtId="0" fontId="10" fillId="20" borderId="1" xfId="0" applyFont="1" applyFill="1" applyBorder="1" applyAlignment="1" applyProtection="1">
      <alignment horizontal="center" vertical="top"/>
    </xf>
    <xf numFmtId="0" fontId="10" fillId="20" borderId="1" xfId="0" applyFont="1" applyFill="1" applyBorder="1" applyAlignment="1" applyProtection="1">
      <alignment horizontal="center" vertical="center"/>
    </xf>
    <xf numFmtId="164" fontId="10" fillId="20" borderId="1" xfId="0" applyNumberFormat="1" applyFont="1" applyFill="1" applyBorder="1" applyAlignment="1" applyProtection="1">
      <alignment horizontal="center" vertical="top"/>
    </xf>
    <xf numFmtId="164" fontId="4" fillId="0" borderId="1" xfId="0" applyNumberFormat="1" applyFont="1" applyBorder="1" applyAlignment="1" applyProtection="1">
      <alignment horizontal="center" vertical="top"/>
    </xf>
    <xf numFmtId="0" fontId="5" fillId="19" borderId="1" xfId="0" applyFont="1" applyFill="1" applyBorder="1" applyAlignment="1" applyProtection="1">
      <alignment horizontal="center" vertical="top"/>
    </xf>
    <xf numFmtId="0" fontId="5" fillId="19" borderId="1" xfId="0" applyFont="1" applyFill="1" applyBorder="1" applyAlignment="1" applyProtection="1">
      <alignment horizontal="center" vertical="center"/>
    </xf>
    <xf numFmtId="164" fontId="5" fillId="19" borderId="1" xfId="0" applyNumberFormat="1" applyFont="1" applyFill="1" applyBorder="1" applyAlignment="1" applyProtection="1">
      <alignment horizontal="center" vertical="top"/>
    </xf>
    <xf numFmtId="0" fontId="4" fillId="0" borderId="19" xfId="0" applyFont="1" applyBorder="1" applyAlignment="1" applyProtection="1">
      <alignment horizontal="left" vertical="top"/>
    </xf>
    <xf numFmtId="0" fontId="4" fillId="0" borderId="21" xfId="0" applyFont="1" applyBorder="1" applyAlignment="1" applyProtection="1">
      <alignment vertical="top"/>
    </xf>
    <xf numFmtId="0" fontId="4" fillId="5" borderId="1" xfId="2" applyFont="1" applyFill="1" applyBorder="1" applyAlignment="1" applyProtection="1">
      <alignment horizontal="center" vertical="center"/>
    </xf>
    <xf numFmtId="164" fontId="5" fillId="5" borderId="1" xfId="0" applyNumberFormat="1" applyFont="1" applyFill="1" applyBorder="1" applyAlignment="1" applyProtection="1">
      <alignment horizontal="center" vertical="top"/>
    </xf>
    <xf numFmtId="0" fontId="4" fillId="5" borderId="1" xfId="0" applyFont="1" applyFill="1" applyBorder="1" applyAlignment="1" applyProtection="1">
      <alignment horizontal="center" vertical="top"/>
    </xf>
    <xf numFmtId="0" fontId="4" fillId="18" borderId="16" xfId="0" applyFont="1" applyFill="1" applyBorder="1" applyAlignment="1" applyProtection="1">
      <alignment vertical="top"/>
    </xf>
    <xf numFmtId="0" fontId="5" fillId="18" borderId="17" xfId="0" applyFont="1" applyFill="1" applyBorder="1" applyAlignment="1" applyProtection="1">
      <alignment horizontal="center" vertical="top" wrapText="1"/>
    </xf>
    <xf numFmtId="0" fontId="4" fillId="0" borderId="23" xfId="0" applyFont="1" applyBorder="1" applyAlignment="1" applyProtection="1">
      <alignmen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center" vertical="top"/>
    </xf>
    <xf numFmtId="0" fontId="4" fillId="0" borderId="0" xfId="0" applyFont="1" applyAlignment="1" applyProtection="1">
      <alignment horizontal="left" vertical="top"/>
    </xf>
    <xf numFmtId="0" fontId="4" fillId="0" borderId="20" xfId="0" applyFont="1" applyBorder="1" applyAlignment="1" applyProtection="1">
      <alignment horizontal="left" vertical="top"/>
    </xf>
    <xf numFmtId="0" fontId="4" fillId="0" borderId="21" xfId="0" applyFont="1" applyBorder="1" applyAlignment="1" applyProtection="1">
      <alignment horizontal="center" vertical="top"/>
    </xf>
    <xf numFmtId="164" fontId="10" fillId="16" borderId="6" xfId="0" applyNumberFormat="1" applyFont="1" applyFill="1" applyBorder="1" applyAlignment="1" applyProtection="1">
      <alignment horizontal="center" vertical="center"/>
    </xf>
    <xf numFmtId="0" fontId="4" fillId="19" borderId="1" xfId="0" applyFont="1" applyFill="1" applyBorder="1" applyAlignment="1" applyProtection="1">
      <alignment vertical="center"/>
    </xf>
    <xf numFmtId="0" fontId="4" fillId="19" borderId="1" xfId="0" applyFont="1" applyFill="1" applyBorder="1" applyAlignment="1" applyProtection="1">
      <alignment horizontal="center" vertical="center"/>
    </xf>
    <xf numFmtId="0" fontId="5" fillId="19" borderId="1" xfId="0" applyFont="1" applyFill="1" applyBorder="1" applyAlignment="1" applyProtection="1">
      <alignment vertical="center"/>
    </xf>
    <xf numFmtId="0" fontId="0" fillId="19" borderId="1" xfId="0" applyFill="1" applyBorder="1" applyProtection="1"/>
    <xf numFmtId="164" fontId="4" fillId="19" borderId="1" xfId="0" applyNumberFormat="1" applyFont="1" applyFill="1" applyBorder="1" applyAlignment="1" applyProtection="1">
      <alignment vertical="center"/>
    </xf>
    <xf numFmtId="0" fontId="5" fillId="0" borderId="1" xfId="0" applyFont="1" applyBorder="1" applyAlignment="1" applyProtection="1">
      <alignment vertical="center"/>
    </xf>
    <xf numFmtId="164" fontId="4" fillId="0" borderId="1" xfId="0" applyNumberFormat="1" applyFont="1" applyBorder="1" applyAlignment="1" applyProtection="1">
      <alignment vertical="center"/>
    </xf>
    <xf numFmtId="0" fontId="5" fillId="18" borderId="17" xfId="0" applyFont="1" applyFill="1" applyBorder="1" applyAlignment="1" applyProtection="1">
      <alignment horizontal="left" vertical="top" wrapText="1"/>
    </xf>
    <xf numFmtId="0" fontId="22" fillId="0" borderId="21" xfId="0" applyFont="1" applyBorder="1" applyAlignment="1" applyProtection="1">
      <alignment horizontal="center" vertical="top"/>
    </xf>
    <xf numFmtId="2" fontId="5" fillId="0" borderId="1" xfId="0" applyNumberFormat="1" applyFont="1" applyBorder="1" applyAlignment="1" applyProtection="1">
      <alignment horizontal="center" vertical="center"/>
    </xf>
    <xf numFmtId="0" fontId="5" fillId="0" borderId="1" xfId="0" applyFont="1" applyBorder="1" applyAlignment="1" applyProtection="1">
      <alignment vertical="center" wrapText="1"/>
    </xf>
    <xf numFmtId="164" fontId="4" fillId="0" borderId="1" xfId="0" applyNumberFormat="1" applyFont="1" applyBorder="1" applyAlignment="1" applyProtection="1">
      <alignment vertical="center" wrapText="1"/>
    </xf>
    <xf numFmtId="0" fontId="10" fillId="20" borderId="2" xfId="0" applyFont="1" applyFill="1" applyBorder="1" applyAlignment="1" applyProtection="1">
      <alignment horizontal="center" vertical="top"/>
    </xf>
    <xf numFmtId="164" fontId="5" fillId="0" borderId="1" xfId="0" applyNumberFormat="1" applyFont="1" applyBorder="1" applyAlignment="1" applyProtection="1">
      <alignment horizontal="center" vertical="center" wrapText="1"/>
    </xf>
    <xf numFmtId="0" fontId="4" fillId="5" borderId="3" xfId="2" applyFont="1" applyFill="1" applyBorder="1" applyAlignment="1" applyProtection="1">
      <alignment horizontal="center" vertical="center"/>
    </xf>
    <xf numFmtId="0" fontId="10" fillId="16" borderId="5" xfId="0" applyFont="1" applyFill="1" applyBorder="1" applyAlignment="1" applyProtection="1">
      <alignment horizontal="center" vertical="center"/>
    </xf>
    <xf numFmtId="0" fontId="4" fillId="0" borderId="10" xfId="0" applyFont="1" applyBorder="1" applyAlignment="1" applyProtection="1">
      <alignment horizontal="center" vertical="top"/>
    </xf>
    <xf numFmtId="0" fontId="0" fillId="33" borderId="1" xfId="0" applyFill="1" applyBorder="1" applyAlignment="1" applyProtection="1">
      <alignment horizontal="center" vertical="center"/>
    </xf>
    <xf numFmtId="0" fontId="10" fillId="20" borderId="1"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18" fillId="5" borderId="1" xfId="0" applyFont="1" applyFill="1" applyBorder="1" applyAlignment="1" applyProtection="1">
      <alignment horizontal="center" vertical="center" wrapText="1"/>
    </xf>
    <xf numFmtId="164" fontId="18" fillId="5" borderId="1" xfId="0" applyNumberFormat="1" applyFont="1" applyFill="1" applyBorder="1" applyAlignment="1" applyProtection="1">
      <alignment horizontal="center" vertical="center" wrapText="1"/>
    </xf>
    <xf numFmtId="0" fontId="11" fillId="5" borderId="1" xfId="0" quotePrefix="1" applyFont="1" applyFill="1" applyBorder="1" applyAlignment="1" applyProtection="1">
      <alignment horizontal="center" vertical="center"/>
    </xf>
    <xf numFmtId="0" fontId="11" fillId="23" borderId="1" xfId="0" applyFont="1" applyFill="1" applyBorder="1" applyAlignment="1" applyProtection="1">
      <alignment horizontal="center" vertical="center"/>
    </xf>
    <xf numFmtId="0" fontId="11" fillId="23" borderId="5" xfId="0" applyFont="1" applyFill="1" applyBorder="1" applyAlignment="1" applyProtection="1">
      <alignment horizontal="center" vertical="center"/>
    </xf>
    <xf numFmtId="164" fontId="11" fillId="23" borderId="5" xfId="0" applyNumberFormat="1" applyFont="1" applyFill="1" applyBorder="1" applyAlignment="1" applyProtection="1">
      <alignment horizontal="center" vertical="center"/>
    </xf>
    <xf numFmtId="0" fontId="11" fillId="23" borderId="6" xfId="0" applyFont="1" applyFill="1" applyBorder="1" applyAlignment="1" applyProtection="1">
      <alignment vertical="center"/>
    </xf>
    <xf numFmtId="0" fontId="11" fillId="21" borderId="1" xfId="0" applyFont="1" applyFill="1" applyBorder="1" applyAlignment="1" applyProtection="1">
      <alignment horizontal="center" vertical="top"/>
    </xf>
    <xf numFmtId="0" fontId="11" fillId="21" borderId="1" xfId="0" applyFont="1" applyFill="1" applyBorder="1" applyAlignment="1" applyProtection="1">
      <alignment horizontal="center" vertical="center"/>
    </xf>
    <xf numFmtId="164" fontId="11" fillId="21" borderId="1" xfId="0" applyNumberFormat="1" applyFont="1" applyFill="1" applyBorder="1" applyAlignment="1" applyProtection="1">
      <alignment horizontal="center" vertical="center"/>
    </xf>
    <xf numFmtId="0" fontId="11" fillId="22" borderId="1" xfId="0" applyFont="1" applyFill="1" applyBorder="1" applyAlignment="1" applyProtection="1">
      <alignment horizontal="center" vertical="top"/>
    </xf>
    <xf numFmtId="0" fontId="12" fillId="22" borderId="1" xfId="0" applyFont="1" applyFill="1" applyBorder="1" applyAlignment="1" applyProtection="1">
      <alignment horizontal="center" vertical="center"/>
    </xf>
    <xf numFmtId="0" fontId="12" fillId="22" borderId="1" xfId="0" applyFont="1" applyFill="1" applyBorder="1" applyAlignment="1" applyProtection="1">
      <alignment horizontal="center" vertical="top"/>
    </xf>
    <xf numFmtId="164" fontId="11" fillId="22" borderId="1" xfId="0" applyNumberFormat="1" applyFont="1" applyFill="1" applyBorder="1" applyAlignment="1" applyProtection="1">
      <alignment horizontal="center" vertical="center"/>
    </xf>
    <xf numFmtId="164" fontId="5" fillId="24" borderId="1" xfId="0" applyNumberFormat="1" applyFont="1" applyFill="1" applyBorder="1" applyAlignment="1" applyProtection="1">
      <alignment horizontal="center" vertical="center"/>
    </xf>
    <xf numFmtId="0" fontId="4" fillId="24" borderId="1" xfId="0" applyFont="1" applyFill="1" applyBorder="1" applyAlignment="1" applyProtection="1">
      <alignment vertical="top"/>
    </xf>
    <xf numFmtId="0" fontId="25" fillId="0" borderId="18" xfId="0" applyFont="1" applyBorder="1" applyAlignment="1" applyProtection="1">
      <alignment horizontal="left" vertical="center" wrapText="1"/>
    </xf>
    <xf numFmtId="0" fontId="26" fillId="0" borderId="19" xfId="0" applyFont="1" applyBorder="1" applyAlignment="1" applyProtection="1">
      <alignment vertical="top" wrapText="1"/>
    </xf>
    <xf numFmtId="0" fontId="25" fillId="0" borderId="18" xfId="0" applyFont="1" applyBorder="1" applyAlignment="1" applyProtection="1">
      <alignment vertical="center" wrapText="1"/>
    </xf>
    <xf numFmtId="0" fontId="11" fillId="21" borderId="6" xfId="0" applyFont="1" applyFill="1" applyBorder="1" applyAlignment="1" applyProtection="1">
      <alignment horizontal="center" vertical="top"/>
    </xf>
    <xf numFmtId="0" fontId="11" fillId="22" borderId="6" xfId="0" applyFont="1" applyFill="1" applyBorder="1" applyAlignment="1" applyProtection="1">
      <alignment horizontal="center" vertical="top"/>
    </xf>
    <xf numFmtId="0" fontId="5" fillId="0" borderId="6" xfId="0" applyFont="1" applyBorder="1" applyAlignment="1" applyProtection="1">
      <alignment horizontal="center" vertical="center" wrapText="1"/>
    </xf>
    <xf numFmtId="0" fontId="5" fillId="33" borderId="1" xfId="0" applyFont="1" applyFill="1" applyBorder="1" applyAlignment="1" applyProtection="1">
      <alignment horizontal="center" vertical="center" wrapText="1"/>
    </xf>
    <xf numFmtId="164" fontId="11" fillId="23" borderId="1" xfId="0" applyNumberFormat="1" applyFont="1" applyFill="1" applyBorder="1" applyAlignment="1" applyProtection="1">
      <alignment horizontal="center" vertical="center"/>
    </xf>
    <xf numFmtId="0" fontId="11" fillId="23" borderId="1" xfId="0" applyFont="1" applyFill="1" applyBorder="1" applyAlignment="1" applyProtection="1">
      <alignment vertical="center"/>
    </xf>
    <xf numFmtId="0" fontId="11" fillId="0" borderId="1" xfId="0" applyFont="1" applyBorder="1" applyAlignment="1" applyProtection="1">
      <alignment horizontal="center" vertical="top"/>
    </xf>
    <xf numFmtId="0" fontId="11" fillId="22" borderId="1" xfId="0" applyFont="1" applyFill="1" applyBorder="1" applyAlignment="1" applyProtection="1">
      <alignment horizontal="center" vertical="center"/>
    </xf>
    <xf numFmtId="0" fontId="11" fillId="22" borderId="1" xfId="0" applyFont="1" applyFill="1" applyBorder="1" applyAlignment="1" applyProtection="1">
      <alignment horizontal="center" vertical="center" wrapText="1"/>
    </xf>
    <xf numFmtId="0" fontId="4" fillId="0" borderId="1" xfId="0" applyFont="1" applyBorder="1" applyAlignment="1" applyProtection="1">
      <alignment vertical="top"/>
      <protection locked="0"/>
    </xf>
    <xf numFmtId="0" fontId="4" fillId="0" borderId="1" xfId="0" applyFont="1" applyBorder="1" applyAlignment="1" applyProtection="1">
      <alignment vertical="center" wrapText="1"/>
      <protection locked="0"/>
    </xf>
    <xf numFmtId="0" fontId="14" fillId="6" borderId="1" xfId="0"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0" fontId="5" fillId="6" borderId="1" xfId="0" quotePrefix="1" applyFont="1" applyFill="1" applyBorder="1" applyAlignment="1" applyProtection="1">
      <alignment horizontal="center" vertical="center"/>
    </xf>
    <xf numFmtId="0" fontId="11" fillId="26" borderId="1" xfId="0" applyFont="1" applyFill="1" applyBorder="1" applyAlignment="1" applyProtection="1">
      <alignment horizontal="center" vertical="center"/>
    </xf>
    <xf numFmtId="0" fontId="11" fillId="26" borderId="1" xfId="0" applyFont="1" applyFill="1" applyBorder="1" applyAlignment="1" applyProtection="1">
      <alignment horizontal="center" vertical="center" wrapText="1"/>
    </xf>
    <xf numFmtId="164" fontId="11" fillId="26" borderId="1" xfId="0" applyNumberFormat="1" applyFont="1" applyFill="1" applyBorder="1" applyAlignment="1" applyProtection="1">
      <alignment horizontal="center" vertical="center"/>
    </xf>
    <xf numFmtId="0" fontId="5" fillId="25" borderId="1" xfId="0" applyFont="1" applyFill="1" applyBorder="1" applyAlignment="1" applyProtection="1">
      <alignment horizontal="center" vertical="center"/>
    </xf>
    <xf numFmtId="0" fontId="9" fillId="25" borderId="1" xfId="0" applyFont="1" applyFill="1" applyBorder="1" applyAlignment="1" applyProtection="1">
      <alignment vertical="center" wrapText="1"/>
    </xf>
    <xf numFmtId="0" fontId="9" fillId="25" borderId="1" xfId="0" applyFont="1" applyFill="1" applyBorder="1" applyAlignment="1" applyProtection="1">
      <alignment horizontal="left" vertical="center" wrapText="1"/>
    </xf>
    <xf numFmtId="0" fontId="4" fillId="25" borderId="1" xfId="0" applyFont="1" applyFill="1" applyBorder="1" applyAlignment="1" applyProtection="1">
      <alignment vertical="center"/>
    </xf>
    <xf numFmtId="164" fontId="4" fillId="25" borderId="1" xfId="0" applyNumberFormat="1" applyFont="1" applyFill="1" applyBorder="1" applyAlignment="1" applyProtection="1">
      <alignment vertical="center"/>
    </xf>
    <xf numFmtId="0" fontId="11" fillId="33" borderId="1" xfId="0" applyFont="1" applyFill="1" applyBorder="1" applyAlignment="1" applyProtection="1">
      <alignment horizontal="center" vertical="center"/>
    </xf>
    <xf numFmtId="0" fontId="4" fillId="15" borderId="1" xfId="0" applyFont="1" applyFill="1" applyBorder="1" applyAlignment="1" applyProtection="1">
      <alignment horizontal="center" vertical="center"/>
    </xf>
    <xf numFmtId="164" fontId="11" fillId="15" borderId="1" xfId="0" applyNumberFormat="1" applyFont="1" applyFill="1" applyBorder="1" applyAlignment="1" applyProtection="1">
      <alignment horizontal="center" vertical="center" wrapText="1"/>
    </xf>
    <xf numFmtId="0" fontId="4" fillId="15" borderId="1" xfId="0" applyFont="1" applyFill="1" applyBorder="1" applyAlignment="1" applyProtection="1">
      <alignment vertical="center"/>
    </xf>
    <xf numFmtId="0" fontId="4" fillId="13" borderId="1" xfId="1" applyFont="1" applyFill="1" applyBorder="1" applyAlignment="1" applyProtection="1">
      <alignment horizontal="center" vertical="center" wrapText="1"/>
    </xf>
    <xf numFmtId="0" fontId="4" fillId="33" borderId="1" xfId="1" applyFont="1" applyFill="1" applyBorder="1" applyAlignment="1" applyProtection="1">
      <alignment horizontal="center" vertical="center" wrapText="1"/>
    </xf>
    <xf numFmtId="0" fontId="4" fillId="0" borderId="1" xfId="1" applyFont="1" applyBorder="1" applyAlignment="1" applyProtection="1">
      <alignment horizontal="center" vertical="center" wrapText="1"/>
    </xf>
    <xf numFmtId="0" fontId="4" fillId="0" borderId="1" xfId="2" applyFont="1" applyBorder="1" applyAlignment="1" applyProtection="1">
      <alignment horizontal="left" vertical="center" wrapText="1"/>
    </xf>
    <xf numFmtId="0" fontId="5" fillId="25" borderId="1" xfId="0" applyFont="1" applyFill="1" applyBorder="1" applyAlignment="1" applyProtection="1">
      <alignment horizontal="center" vertical="center" wrapText="1"/>
    </xf>
    <xf numFmtId="164" fontId="5" fillId="25" borderId="1" xfId="0" applyNumberFormat="1" applyFont="1" applyFill="1" applyBorder="1" applyAlignment="1" applyProtection="1">
      <alignment vertical="center"/>
    </xf>
    <xf numFmtId="0" fontId="5" fillId="25" borderId="1" xfId="0" applyFont="1" applyFill="1" applyBorder="1" applyAlignment="1" applyProtection="1">
      <alignment vertical="center" wrapText="1"/>
    </xf>
    <xf numFmtId="164" fontId="5" fillId="0" borderId="1" xfId="0" applyNumberFormat="1" applyFont="1" applyBorder="1" applyAlignment="1" applyProtection="1">
      <alignment horizontal="center" vertical="center"/>
      <protection locked="0"/>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4" xfId="2" applyFont="1" applyBorder="1" applyAlignment="1" applyProtection="1">
      <alignment horizontal="center" vertical="center"/>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0" fontId="4" fillId="0" borderId="2" xfId="2" applyFont="1" applyBorder="1" applyAlignment="1" applyProtection="1">
      <alignment horizontal="center" vertical="center"/>
    </xf>
    <xf numFmtId="49" fontId="4" fillId="13" borderId="1" xfId="1" applyNumberFormat="1" applyFont="1" applyFill="1" applyBorder="1" applyAlignment="1" applyProtection="1">
      <alignment horizontal="center" vertical="center"/>
    </xf>
    <xf numFmtId="0" fontId="5" fillId="0" borderId="1" xfId="0" applyFont="1" applyBorder="1" applyAlignment="1" applyProtection="1">
      <alignment horizontal="center" vertical="top"/>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top"/>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3"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wrapText="1"/>
    </xf>
    <xf numFmtId="0" fontId="10" fillId="20" borderId="1" xfId="0" applyFont="1" applyFill="1" applyBorder="1" applyAlignment="1" applyProtection="1">
      <alignment horizontal="left" vertical="top" wrapText="1"/>
    </xf>
    <xf numFmtId="0" fontId="11" fillId="22" borderId="1" xfId="0" applyFont="1" applyFill="1" applyBorder="1" applyAlignment="1" applyProtection="1">
      <alignment horizontal="left" vertical="top" wrapText="1"/>
    </xf>
    <xf numFmtId="0" fontId="4" fillId="33" borderId="1" xfId="0" applyFont="1" applyFill="1" applyBorder="1" applyAlignment="1" applyProtection="1">
      <alignment horizontal="center" vertical="center"/>
    </xf>
    <xf numFmtId="0" fontId="4" fillId="0" borderId="1" xfId="0" applyFont="1" applyBorder="1" applyAlignment="1" applyProtection="1">
      <alignment horizontal="left" vertical="center" wrapText="1"/>
    </xf>
    <xf numFmtId="0" fontId="4" fillId="0" borderId="1" xfId="2" applyFont="1" applyBorder="1" applyAlignment="1" applyProtection="1">
      <alignment horizontal="center" vertical="center"/>
    </xf>
    <xf numFmtId="0" fontId="34" fillId="0" borderId="0" xfId="0" applyFont="1" applyProtection="1">
      <protection locked="0"/>
    </xf>
    <xf numFmtId="0" fontId="36" fillId="0" borderId="0" xfId="0" applyFont="1" applyProtection="1">
      <protection locked="0"/>
    </xf>
    <xf numFmtId="0" fontId="32" fillId="0" borderId="0" xfId="0" applyFont="1" applyProtection="1">
      <protection locked="0"/>
    </xf>
    <xf numFmtId="0" fontId="0" fillId="0" borderId="0" xfId="0" applyAlignment="1" applyProtection="1">
      <alignment vertical="center"/>
      <protection locked="0"/>
    </xf>
    <xf numFmtId="0" fontId="35" fillId="0" borderId="1" xfId="0" applyFont="1" applyBorder="1" applyProtection="1">
      <protection locked="0"/>
    </xf>
    <xf numFmtId="0" fontId="35" fillId="0" borderId="1" xfId="0" applyFont="1" applyBorder="1" applyAlignment="1" applyProtection="1">
      <alignment vertical="center"/>
      <protection locked="0"/>
    </xf>
    <xf numFmtId="0" fontId="0" fillId="0" borderId="0" xfId="0" applyAlignment="1" applyProtection="1">
      <alignment wrapText="1"/>
      <protection locked="0"/>
    </xf>
    <xf numFmtId="0" fontId="33" fillId="29" borderId="15" xfId="0" applyFont="1" applyFill="1" applyBorder="1" applyAlignment="1" applyProtection="1">
      <alignment horizontal="left"/>
    </xf>
    <xf numFmtId="0" fontId="33" fillId="29" borderId="0" xfId="0" applyFont="1" applyFill="1" applyAlignment="1" applyProtection="1">
      <alignment horizontal="left"/>
    </xf>
    <xf numFmtId="0" fontId="33" fillId="29" borderId="27" xfId="0" applyFont="1" applyFill="1" applyBorder="1" applyAlignment="1" applyProtection="1">
      <alignment horizontal="left"/>
    </xf>
    <xf numFmtId="0" fontId="33" fillId="29" borderId="11" xfId="0" applyFont="1" applyFill="1" applyBorder="1" applyAlignment="1" applyProtection="1">
      <alignment horizontal="center" wrapText="1"/>
    </xf>
    <xf numFmtId="0" fontId="33" fillId="29" borderId="12" xfId="0" applyFont="1" applyFill="1" applyBorder="1" applyAlignment="1" applyProtection="1">
      <alignment horizontal="center"/>
    </xf>
    <xf numFmtId="0" fontId="33" fillId="29" borderId="8" xfId="0" applyFont="1" applyFill="1" applyBorder="1" applyAlignment="1" applyProtection="1">
      <alignment horizontal="center"/>
    </xf>
    <xf numFmtId="0" fontId="0" fillId="0" borderId="0" xfId="0" applyAlignment="1" applyProtection="1">
      <alignment wrapText="1"/>
    </xf>
    <xf numFmtId="0" fontId="2" fillId="0" borderId="0" xfId="0" applyFont="1" applyProtection="1">
      <protection locked="0"/>
    </xf>
    <xf numFmtId="0" fontId="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0" fillId="0"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2" fontId="10" fillId="27"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4" fillId="0" borderId="0" xfId="0" applyFont="1" applyAlignment="1">
      <alignment horizontal="center"/>
    </xf>
    <xf numFmtId="0" fontId="31" fillId="7" borderId="2" xfId="0" applyFont="1" applyFill="1" applyBorder="1" applyAlignment="1">
      <alignment horizontal="right" vertical="center"/>
    </xf>
    <xf numFmtId="2" fontId="12" fillId="13" borderId="1" xfId="4" applyNumberFormat="1" applyFont="1" applyFill="1" applyBorder="1" applyAlignment="1" applyProtection="1">
      <alignment horizontal="center" vertical="center" wrapText="1"/>
    </xf>
    <xf numFmtId="0" fontId="0" fillId="0" borderId="0" xfId="0" applyAlignment="1">
      <alignment wrapText="1"/>
    </xf>
    <xf numFmtId="0" fontId="4" fillId="0" borderId="0" xfId="0" applyFont="1" applyAlignment="1" applyProtection="1">
      <alignment wrapText="1"/>
      <protection locked="0"/>
    </xf>
    <xf numFmtId="2" fontId="7" fillId="0" borderId="1" xfId="0" applyNumberFormat="1" applyFont="1" applyBorder="1" applyAlignment="1">
      <alignment horizontal="center"/>
    </xf>
    <xf numFmtId="2" fontId="12" fillId="35" borderId="1" xfId="4" applyNumberFormat="1" applyFont="1" applyBorder="1" applyAlignment="1" applyProtection="1">
      <alignment horizontal="center" vertical="center" wrapText="1"/>
      <protection locked="0"/>
    </xf>
    <xf numFmtId="0" fontId="4" fillId="0" borderId="1" xfId="0" applyFont="1" applyBorder="1" applyAlignment="1"/>
    <xf numFmtId="0" fontId="12" fillId="35" borderId="1" xfId="4" applyFont="1" applyBorder="1" applyAlignment="1" applyProtection="1">
      <alignment horizontal="center"/>
      <protection locked="0"/>
    </xf>
    <xf numFmtId="2" fontId="4" fillId="0" borderId="0" xfId="0" applyNumberFormat="1" applyFont="1" applyAlignment="1">
      <alignment horizontal="center"/>
    </xf>
    <xf numFmtId="2" fontId="7" fillId="0" borderId="1" xfId="0" applyNumberFormat="1" applyFont="1" applyBorder="1" applyAlignment="1" applyProtection="1">
      <alignment horizontal="center"/>
    </xf>
    <xf numFmtId="0" fontId="6" fillId="8" borderId="1" xfId="0" applyFont="1" applyFill="1" applyBorder="1" applyAlignment="1" applyProtection="1">
      <alignment horizontal="center" vertical="center"/>
      <protection locked="0"/>
    </xf>
    <xf numFmtId="0" fontId="4" fillId="0" borderId="2"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32" fillId="0" borderId="1" xfId="0" applyFont="1" applyBorder="1" applyAlignment="1" applyProtection="1">
      <alignment horizontal="left" vertical="center" wrapText="1"/>
    </xf>
    <xf numFmtId="0" fontId="39" fillId="0" borderId="1" xfId="0" applyFont="1" applyBorder="1" applyAlignment="1" applyProtection="1">
      <alignment horizontal="left" vertical="center" wrapText="1"/>
    </xf>
    <xf numFmtId="0" fontId="32" fillId="0" borderId="1" xfId="0" applyFont="1" applyBorder="1" applyAlignment="1" applyProtection="1">
      <alignment horizontal="left" vertical="top" wrapText="1"/>
    </xf>
    <xf numFmtId="0" fontId="33" fillId="0" borderId="1" xfId="0" applyFont="1" applyBorder="1" applyAlignment="1" applyProtection="1">
      <alignment horizontal="center"/>
    </xf>
    <xf numFmtId="0" fontId="35" fillId="0" borderId="3" xfId="0" applyFont="1" applyBorder="1" applyAlignment="1" applyProtection="1">
      <alignment horizontal="left" vertical="center"/>
    </xf>
    <xf numFmtId="0" fontId="35" fillId="0" borderId="1" xfId="0" applyFont="1" applyBorder="1" applyAlignment="1" applyProtection="1">
      <alignment horizontal="left" vertical="center"/>
    </xf>
    <xf numFmtId="0" fontId="3" fillId="2" borderId="1" xfId="0" applyFont="1" applyFill="1" applyBorder="1" applyAlignment="1" applyProtection="1">
      <alignment horizontal="center"/>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11" fillId="32" borderId="1" xfId="0" applyFont="1" applyFill="1" applyBorder="1" applyAlignment="1" applyProtection="1">
      <alignment horizontal="left" vertical="center"/>
    </xf>
    <xf numFmtId="0" fontId="11" fillId="34" borderId="1" xfId="0" applyFont="1" applyFill="1" applyBorder="1" applyAlignment="1" applyProtection="1">
      <alignment horizontal="left" vertical="center"/>
    </xf>
    <xf numFmtId="0" fontId="13" fillId="30"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0" fillId="15" borderId="1"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4" fillId="0" borderId="4" xfId="2" applyFont="1" applyBorder="1" applyAlignment="1" applyProtection="1">
      <alignment horizontal="center" vertical="center"/>
    </xf>
    <xf numFmtId="0" fontId="4" fillId="0" borderId="15" xfId="2" applyFont="1" applyBorder="1" applyAlignment="1" applyProtection="1">
      <alignment horizontal="center" vertical="center"/>
    </xf>
    <xf numFmtId="0" fontId="4" fillId="0" borderId="2" xfId="2" applyFont="1" applyBorder="1" applyAlignment="1" applyProtection="1">
      <alignment horizontal="left" vertical="top" wrapText="1"/>
    </xf>
    <xf numFmtId="0" fontId="4" fillId="0" borderId="3" xfId="2" applyFont="1" applyBorder="1" applyAlignment="1" applyProtection="1">
      <alignment horizontal="left" vertical="top" wrapText="1"/>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164" fontId="5" fillId="0" borderId="7" xfId="0" applyNumberFormat="1" applyFont="1" applyBorder="1" applyAlignment="1" applyProtection="1">
      <alignment horizontal="center" vertical="center"/>
    </xf>
    <xf numFmtId="0" fontId="5" fillId="12" borderId="1" xfId="2" applyFont="1" applyFill="1" applyBorder="1" applyAlignment="1" applyProtection="1">
      <alignment horizontal="right" vertical="center" wrapText="1"/>
    </xf>
    <xf numFmtId="0" fontId="5" fillId="12" borderId="7" xfId="2" applyFont="1" applyFill="1" applyBorder="1" applyAlignment="1" applyProtection="1">
      <alignment horizontal="right" vertical="center" wrapText="1"/>
    </xf>
    <xf numFmtId="0" fontId="5" fillId="12" borderId="5" xfId="2" applyFont="1" applyFill="1" applyBorder="1" applyAlignment="1" applyProtection="1">
      <alignment horizontal="right" vertical="center" wrapText="1"/>
    </xf>
    <xf numFmtId="0" fontId="18" fillId="3" borderId="7"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4" fillId="0" borderId="2" xfId="2" applyFont="1" applyBorder="1" applyAlignment="1" applyProtection="1">
      <alignment horizontal="center" vertical="center"/>
    </xf>
    <xf numFmtId="0" fontId="4" fillId="0" borderId="10" xfId="2" applyFont="1" applyBorder="1" applyAlignment="1" applyProtection="1">
      <alignment horizontal="center" vertical="center"/>
    </xf>
    <xf numFmtId="0" fontId="5" fillId="9" borderId="7" xfId="2" applyFont="1" applyFill="1" applyBorder="1" applyAlignment="1" applyProtection="1">
      <alignment horizontal="left" vertical="center"/>
    </xf>
    <xf numFmtId="0" fontId="5" fillId="9" borderId="6" xfId="2" applyFont="1" applyFill="1" applyBorder="1" applyAlignment="1" applyProtection="1">
      <alignment horizontal="left" vertical="center"/>
    </xf>
    <xf numFmtId="0" fontId="4" fillId="0" borderId="3" xfId="2" applyFont="1" applyBorder="1" applyAlignment="1" applyProtection="1">
      <alignment horizontal="center" vertical="center"/>
    </xf>
    <xf numFmtId="0" fontId="4" fillId="0" borderId="2"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49" fontId="4" fillId="13" borderId="2" xfId="1" applyNumberFormat="1" applyFont="1" applyFill="1" applyBorder="1" applyAlignment="1" applyProtection="1">
      <alignment horizontal="center" vertical="center"/>
    </xf>
    <xf numFmtId="49" fontId="4" fillId="13" borderId="10" xfId="1" applyNumberFormat="1" applyFont="1" applyFill="1" applyBorder="1" applyAlignment="1" applyProtection="1">
      <alignment horizontal="center" vertical="center"/>
    </xf>
    <xf numFmtId="49" fontId="4" fillId="13" borderId="1" xfId="1" applyNumberFormat="1" applyFont="1" applyFill="1" applyBorder="1" applyAlignment="1" applyProtection="1">
      <alignment horizontal="center" vertical="center"/>
    </xf>
    <xf numFmtId="0" fontId="5" fillId="12" borderId="6" xfId="2" applyFont="1" applyFill="1" applyBorder="1" applyAlignment="1" applyProtection="1">
      <alignment horizontal="right" vertical="center" wrapText="1"/>
    </xf>
    <xf numFmtId="0" fontId="10" fillId="14" borderId="1" xfId="0" applyFont="1" applyFill="1" applyBorder="1" applyAlignment="1" applyProtection="1">
      <alignment horizontal="left" vertical="center" wrapText="1"/>
    </xf>
    <xf numFmtId="0" fontId="10" fillId="14" borderId="7" xfId="0" applyFont="1" applyFill="1" applyBorder="1" applyAlignment="1" applyProtection="1">
      <alignment horizontal="left" vertical="center"/>
    </xf>
    <xf numFmtId="0" fontId="10" fillId="14" borderId="5" xfId="0" applyFont="1" applyFill="1" applyBorder="1" applyAlignment="1" applyProtection="1">
      <alignment horizontal="left" vertical="center"/>
    </xf>
    <xf numFmtId="0" fontId="10" fillId="14" borderId="6" xfId="0" applyFont="1" applyFill="1" applyBorder="1" applyAlignment="1" applyProtection="1">
      <alignment horizontal="left" vertical="center"/>
    </xf>
    <xf numFmtId="0" fontId="5" fillId="0" borderId="1" xfId="0" applyFont="1" applyBorder="1" applyAlignment="1" applyProtection="1">
      <alignment horizontal="center" vertical="top"/>
      <protection locked="0"/>
    </xf>
    <xf numFmtId="0" fontId="5" fillId="33" borderId="7" xfId="0" applyFont="1" applyFill="1" applyBorder="1" applyAlignment="1" applyProtection="1">
      <alignment horizontal="center" vertical="center"/>
    </xf>
    <xf numFmtId="0" fontId="5" fillId="33" borderId="1" xfId="0" applyFont="1" applyFill="1" applyBorder="1" applyAlignment="1" applyProtection="1">
      <alignment horizontal="center" vertical="center"/>
    </xf>
    <xf numFmtId="0" fontId="5" fillId="0" borderId="7" xfId="0" applyFont="1" applyBorder="1" applyAlignment="1" applyProtection="1">
      <alignment horizontal="center" vertical="top"/>
    </xf>
    <xf numFmtId="0" fontId="5" fillId="0" borderId="1" xfId="0" applyFont="1" applyBorder="1" applyAlignment="1" applyProtection="1">
      <alignment horizontal="center" vertical="top"/>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5" borderId="7" xfId="2" applyFont="1" applyFill="1" applyBorder="1" applyAlignment="1" applyProtection="1">
      <alignment horizontal="right" vertical="center" wrapText="1"/>
    </xf>
    <xf numFmtId="0" fontId="5" fillId="5" borderId="5" xfId="2" applyFont="1" applyFill="1" applyBorder="1" applyAlignment="1" applyProtection="1">
      <alignment horizontal="right" vertical="center" wrapText="1"/>
    </xf>
    <xf numFmtId="0" fontId="5" fillId="5" borderId="6" xfId="2" applyFont="1" applyFill="1" applyBorder="1" applyAlignment="1" applyProtection="1">
      <alignment horizontal="right" vertical="center" wrapText="1"/>
    </xf>
    <xf numFmtId="0" fontId="4" fillId="0" borderId="5" xfId="0" applyFont="1" applyBorder="1" applyAlignment="1" applyProtection="1">
      <alignment horizontal="left" vertical="top" wrapText="1"/>
    </xf>
    <xf numFmtId="0" fontId="10" fillId="20" borderId="5" xfId="0" applyFont="1" applyFill="1" applyBorder="1" applyAlignment="1" applyProtection="1">
      <alignment horizontal="left" vertical="top"/>
    </xf>
    <xf numFmtId="0" fontId="10" fillId="20" borderId="6" xfId="0" applyFont="1" applyFill="1" applyBorder="1" applyAlignment="1" applyProtection="1">
      <alignment horizontal="left" vertical="top"/>
    </xf>
    <xf numFmtId="0" fontId="4" fillId="0" borderId="5" xfId="0" applyFont="1" applyBorder="1" applyAlignment="1" applyProtection="1">
      <alignment horizontal="left" vertical="top"/>
    </xf>
    <xf numFmtId="0" fontId="5" fillId="19" borderId="9" xfId="0" applyFont="1" applyFill="1" applyBorder="1" applyAlignment="1" applyProtection="1">
      <alignment horizontal="left" vertical="top"/>
    </xf>
    <xf numFmtId="0" fontId="5" fillId="19" borderId="2" xfId="0" applyFont="1" applyFill="1" applyBorder="1" applyAlignment="1" applyProtection="1">
      <alignment horizontal="left" vertical="top"/>
    </xf>
    <xf numFmtId="0" fontId="5" fillId="19" borderId="1" xfId="0" applyFont="1" applyFill="1" applyBorder="1" applyAlignment="1" applyProtection="1">
      <alignment horizontal="left" vertical="top"/>
    </xf>
    <xf numFmtId="0" fontId="4" fillId="0" borderId="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5" fillId="18" borderId="16" xfId="0" applyFont="1" applyFill="1" applyBorder="1" applyAlignment="1" applyProtection="1">
      <alignment horizontal="left" vertical="top"/>
    </xf>
    <xf numFmtId="0" fontId="5" fillId="18" borderId="17" xfId="0" applyFont="1" applyFill="1" applyBorder="1" applyAlignment="1" applyProtection="1">
      <alignment horizontal="left" vertical="top"/>
    </xf>
    <xf numFmtId="0" fontId="4" fillId="0" borderId="1" xfId="0" applyFont="1" applyBorder="1" applyAlignment="1" applyProtection="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10" xfId="0" applyNumberFormat="1" applyFont="1" applyBorder="1" applyAlignment="1" applyProtection="1">
      <alignment horizontal="center" vertical="center"/>
    </xf>
    <xf numFmtId="0" fontId="4" fillId="0" borderId="4"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5" xfId="0" applyFont="1" applyBorder="1" applyAlignment="1" applyProtection="1">
      <alignment horizontal="left" vertical="center" wrapText="1"/>
    </xf>
    <xf numFmtId="164" fontId="5" fillId="0" borderId="3"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wrapText="1"/>
    </xf>
    <xf numFmtId="164" fontId="5" fillId="0" borderId="3" xfId="0" applyNumberFormat="1" applyFont="1" applyBorder="1" applyAlignment="1" applyProtection="1">
      <alignment horizontal="center" vertical="center" wrapText="1"/>
    </xf>
    <xf numFmtId="0" fontId="21" fillId="0" borderId="0" xfId="0" applyFont="1" applyAlignment="1" applyProtection="1">
      <alignment horizontal="left" vertical="top" wrapText="1"/>
    </xf>
    <xf numFmtId="0" fontId="0" fillId="0" borderId="5" xfId="0" applyBorder="1" applyAlignment="1" applyProtection="1">
      <alignment horizontal="left" vertical="top" wrapText="1"/>
    </xf>
    <xf numFmtId="0" fontId="5" fillId="0" borderId="23" xfId="0" applyFont="1" applyBorder="1" applyAlignment="1" applyProtection="1">
      <alignment horizontal="center" vertical="top"/>
    </xf>
    <xf numFmtId="0" fontId="5" fillId="0" borderId="24" xfId="0" applyFont="1" applyBorder="1" applyAlignment="1" applyProtection="1">
      <alignment horizontal="center" vertical="top"/>
    </xf>
    <xf numFmtId="0" fontId="10" fillId="20" borderId="7" xfId="0" applyFont="1" applyFill="1" applyBorder="1" applyAlignment="1" applyProtection="1">
      <alignment horizontal="left" vertical="top"/>
    </xf>
    <xf numFmtId="0" fontId="4" fillId="0" borderId="24" xfId="0" applyFont="1" applyBorder="1" applyAlignment="1" applyProtection="1">
      <alignment horizontal="center" vertical="top" wrapText="1"/>
    </xf>
    <xf numFmtId="0" fontId="4" fillId="0" borderId="25"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7"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33" borderId="2" xfId="0" applyFont="1" applyFill="1" applyBorder="1" applyAlignment="1" applyProtection="1">
      <alignment horizontal="center" vertical="center"/>
    </xf>
    <xf numFmtId="0" fontId="4" fillId="33" borderId="10" xfId="0" applyFont="1" applyFill="1" applyBorder="1" applyAlignment="1" applyProtection="1">
      <alignment horizontal="center" vertical="center"/>
    </xf>
    <xf numFmtId="0" fontId="4" fillId="33" borderId="3" xfId="0" applyFont="1" applyFill="1" applyBorder="1" applyAlignment="1" applyProtection="1">
      <alignment horizontal="center" vertical="center"/>
    </xf>
    <xf numFmtId="0" fontId="4" fillId="0" borderId="1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0" fillId="16" borderId="7" xfId="0" applyFont="1" applyFill="1" applyBorder="1" applyAlignment="1" applyProtection="1">
      <alignment horizontal="left" vertical="top"/>
    </xf>
    <xf numFmtId="0" fontId="10" fillId="16" borderId="5" xfId="0" applyFont="1" applyFill="1" applyBorder="1" applyAlignment="1" applyProtection="1">
      <alignment horizontal="left" vertical="top"/>
    </xf>
    <xf numFmtId="0" fontId="4" fillId="0" borderId="1" xfId="0" applyFont="1" applyBorder="1" applyAlignment="1" applyProtection="1">
      <alignment horizontal="left" vertical="top" wrapText="1"/>
    </xf>
    <xf numFmtId="0" fontId="10" fillId="20" borderId="1"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8" fillId="4" borderId="7"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4" fillId="19" borderId="5" xfId="0" applyFont="1" applyFill="1" applyBorder="1" applyAlignment="1" applyProtection="1">
      <alignment horizontal="left" vertical="top" wrapText="1"/>
    </xf>
    <xf numFmtId="0" fontId="4" fillId="0" borderId="4"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2"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26" xfId="0" applyFont="1" applyBorder="1" applyAlignment="1" applyProtection="1">
      <alignment horizontal="center"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5" fillId="17" borderId="16" xfId="0" applyFont="1" applyFill="1" applyBorder="1" applyAlignment="1" applyProtection="1">
      <alignment horizontal="center" vertical="top" wrapText="1"/>
    </xf>
    <xf numFmtId="0" fontId="5" fillId="17" borderId="17" xfId="0" applyFont="1" applyFill="1" applyBorder="1" applyAlignment="1" applyProtection="1">
      <alignment horizontal="center" vertical="top" wrapText="1"/>
    </xf>
    <xf numFmtId="0" fontId="29" fillId="0" borderId="18" xfId="0" applyFont="1" applyBorder="1" applyAlignment="1" applyProtection="1">
      <alignment horizontal="left" vertical="top" wrapText="1"/>
    </xf>
    <xf numFmtId="0" fontId="29" fillId="0" borderId="19" xfId="0" applyFont="1" applyBorder="1" applyAlignment="1" applyProtection="1">
      <alignment horizontal="left" vertical="top" wrapText="1"/>
    </xf>
    <xf numFmtId="0" fontId="28" fillId="0" borderId="20" xfId="0" applyFont="1" applyBorder="1" applyAlignment="1" applyProtection="1">
      <alignment horizontal="left" vertical="top" wrapText="1"/>
    </xf>
    <xf numFmtId="0" fontId="28" fillId="0" borderId="21" xfId="0" applyFont="1" applyBorder="1" applyAlignment="1" applyProtection="1">
      <alignment horizontal="left" vertical="top" wrapText="1"/>
    </xf>
    <xf numFmtId="0" fontId="11" fillId="21" borderId="5" xfId="0" applyFont="1" applyFill="1" applyBorder="1" applyAlignment="1" applyProtection="1">
      <alignment horizontal="left" vertical="top" wrapText="1"/>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24" fillId="5" borderId="7"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11" fillId="23" borderId="7" xfId="0" applyFont="1" applyFill="1" applyBorder="1" applyAlignment="1" applyProtection="1">
      <alignment horizontal="left" vertical="top"/>
    </xf>
    <xf numFmtId="0" fontId="11" fillId="23" borderId="5" xfId="0" applyFont="1" applyFill="1" applyBorder="1" applyAlignment="1" applyProtection="1">
      <alignment horizontal="left" vertical="top"/>
    </xf>
    <xf numFmtId="0" fontId="11" fillId="21" borderId="5" xfId="0" applyFont="1" applyFill="1" applyBorder="1" applyAlignment="1" applyProtection="1">
      <alignment horizontal="left" vertical="top"/>
    </xf>
    <xf numFmtId="0" fontId="11" fillId="21" borderId="6" xfId="0" applyFont="1" applyFill="1" applyBorder="1" applyAlignment="1" applyProtection="1">
      <alignment horizontal="left" vertical="top"/>
    </xf>
    <xf numFmtId="0" fontId="11" fillId="22" borderId="1" xfId="0" applyFont="1" applyFill="1" applyBorder="1" applyAlignment="1" applyProtection="1">
      <alignment horizontal="left" vertical="top"/>
    </xf>
    <xf numFmtId="0" fontId="11" fillId="21" borderId="6" xfId="0" applyFont="1" applyFill="1" applyBorder="1" applyAlignment="1" applyProtection="1">
      <alignment horizontal="left" vertical="top" wrapText="1"/>
    </xf>
    <xf numFmtId="0" fontId="11" fillId="22" borderId="5" xfId="0" applyFont="1" applyFill="1" applyBorder="1" applyAlignment="1" applyProtection="1">
      <alignment horizontal="left" vertical="top" wrapText="1"/>
    </xf>
    <xf numFmtId="0" fontId="4" fillId="0" borderId="4"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11" xfId="0" applyFont="1" applyBorder="1" applyAlignment="1" applyProtection="1">
      <alignment horizontal="center" vertical="top"/>
    </xf>
    <xf numFmtId="0" fontId="4" fillId="0" borderId="15"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27" xfId="0" applyFont="1" applyBorder="1" applyAlignment="1" applyProtection="1">
      <alignment horizontal="left" vertical="top" wrapText="1"/>
    </xf>
    <xf numFmtId="0" fontId="11" fillId="21" borderId="1" xfId="0" applyFont="1" applyFill="1" applyBorder="1" applyAlignment="1" applyProtection="1">
      <alignment horizontal="left" vertical="top" wrapText="1"/>
    </xf>
    <xf numFmtId="0" fontId="11" fillId="21" borderId="1" xfId="0" applyFont="1" applyFill="1" applyBorder="1" applyAlignment="1" applyProtection="1">
      <alignment horizontal="left" vertical="top"/>
    </xf>
    <xf numFmtId="0" fontId="11" fillId="22" borderId="1" xfId="0" applyFont="1" applyFill="1" applyBorder="1" applyAlignment="1" applyProtection="1">
      <alignment horizontal="left" vertical="top" wrapText="1"/>
    </xf>
    <xf numFmtId="0" fontId="5" fillId="0" borderId="1" xfId="0" applyFont="1" applyBorder="1" applyAlignment="1" applyProtection="1">
      <alignment horizontal="left" vertical="top" wrapText="1"/>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5" fillId="24" borderId="1" xfId="0" applyFont="1" applyFill="1" applyBorder="1" applyAlignment="1" applyProtection="1">
      <alignment horizontal="right" vertical="center"/>
    </xf>
    <xf numFmtId="0" fontId="11" fillId="23" borderId="1" xfId="0" applyFont="1" applyFill="1" applyBorder="1" applyAlignment="1" applyProtection="1">
      <alignment horizontal="left" vertical="top"/>
    </xf>
    <xf numFmtId="0" fontId="11" fillId="22" borderId="1" xfId="0" applyFont="1" applyFill="1" applyBorder="1" applyAlignment="1" applyProtection="1">
      <alignment horizontal="left" vertical="center" wrapText="1"/>
    </xf>
    <xf numFmtId="0" fontId="4" fillId="33" borderId="1" xfId="0" applyFont="1" applyFill="1" applyBorder="1" applyAlignment="1" applyProtection="1">
      <alignment horizontal="center" vertical="center"/>
    </xf>
    <xf numFmtId="0" fontId="21" fillId="0" borderId="1" xfId="0" applyFont="1" applyBorder="1" applyAlignment="1" applyProtection="1">
      <alignment horizontal="left" vertical="top" wrapText="1"/>
    </xf>
    <xf numFmtId="0" fontId="12" fillId="0" borderId="1" xfId="0" applyFont="1" applyBorder="1" applyAlignment="1" applyProtection="1">
      <alignment horizontal="left" vertical="top" wrapText="1"/>
    </xf>
    <xf numFmtId="0" fontId="5" fillId="15" borderId="1" xfId="2" applyFont="1" applyFill="1" applyBorder="1" applyAlignment="1" applyProtection="1">
      <alignment horizontal="right" vertical="center" wrapText="1"/>
    </xf>
    <xf numFmtId="0" fontId="24" fillId="6" borderId="1" xfId="0" applyFont="1" applyFill="1" applyBorder="1" applyAlignment="1" applyProtection="1">
      <alignment horizontal="center" vertical="center"/>
    </xf>
    <xf numFmtId="0" fontId="11" fillId="26"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 xfId="2" applyFont="1" applyBorder="1" applyAlignment="1" applyProtection="1">
      <alignment horizontal="center" vertical="center"/>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10" fillId="27" borderId="1" xfId="0" applyNumberFormat="1" applyFont="1" applyFill="1" applyBorder="1" applyAlignment="1">
      <alignment horizontal="center" vertical="center" wrapText="1"/>
    </xf>
    <xf numFmtId="0" fontId="10" fillId="27" borderId="1" xfId="0" applyFont="1" applyFill="1" applyBorder="1" applyAlignment="1">
      <alignment horizontal="center" vertical="center" wrapText="1"/>
    </xf>
    <xf numFmtId="2" fontId="5" fillId="28" borderId="1" xfId="0" applyNumberFormat="1" applyFont="1" applyFill="1" applyBorder="1" applyAlignment="1">
      <alignment horizontal="center" vertical="center"/>
    </xf>
    <xf numFmtId="0" fontId="5" fillId="28"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7" borderId="1" xfId="0" applyFont="1" applyFill="1" applyBorder="1" applyAlignment="1">
      <alignment horizontal="center" vertical="center"/>
    </xf>
    <xf numFmtId="2" fontId="12"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xf>
    <xf numFmtId="0" fontId="12" fillId="0" borderId="1" xfId="0" applyFont="1" applyBorder="1" applyAlignment="1">
      <alignment horizontal="center" vertical="center"/>
    </xf>
    <xf numFmtId="2" fontId="4" fillId="0" borderId="1" xfId="0" applyNumberFormat="1" applyFont="1" applyBorder="1" applyAlignment="1">
      <alignment horizontal="center"/>
    </xf>
    <xf numFmtId="2" fontId="12" fillId="0" borderId="7" xfId="0" applyNumberFormat="1" applyFont="1" applyBorder="1" applyAlignment="1">
      <alignment horizontal="center" vertical="center"/>
    </xf>
    <xf numFmtId="2" fontId="12" fillId="0" borderId="6"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12" fillId="35" borderId="1" xfId="4" applyNumberFormat="1" applyFont="1" applyBorder="1" applyAlignment="1" applyProtection="1">
      <alignment horizontal="center" vertical="center"/>
      <protection locked="0"/>
    </xf>
    <xf numFmtId="0" fontId="42" fillId="0" borderId="28" xfId="0" applyFont="1" applyBorder="1" applyAlignment="1">
      <alignment horizontal="center" vertical="top" wrapText="1"/>
    </xf>
    <xf numFmtId="0" fontId="42" fillId="0" borderId="29" xfId="0" applyFont="1" applyBorder="1" applyAlignment="1">
      <alignment horizontal="center" vertical="top" wrapText="1"/>
    </xf>
    <xf numFmtId="0" fontId="42" fillId="0" borderId="30" xfId="0" applyFont="1" applyBorder="1" applyAlignment="1">
      <alignment horizontal="center" vertical="top" wrapText="1"/>
    </xf>
    <xf numFmtId="0" fontId="5" fillId="28" borderId="7" xfId="0" applyFont="1" applyFill="1" applyBorder="1" applyAlignment="1">
      <alignment horizontal="left" vertical="center"/>
    </xf>
    <xf numFmtId="0" fontId="5" fillId="28" borderId="6" xfId="0" applyFont="1" applyFill="1" applyBorder="1" applyAlignment="1">
      <alignment horizontal="left" vertical="center"/>
    </xf>
    <xf numFmtId="0" fontId="12" fillId="0" borderId="1" xfId="0" applyFont="1" applyBorder="1" applyAlignment="1">
      <alignment horizontal="center" vertical="center" wrapText="1"/>
    </xf>
    <xf numFmtId="2" fontId="8" fillId="7" borderId="1" xfId="0" applyNumberFormat="1" applyFont="1" applyFill="1" applyBorder="1" applyAlignment="1">
      <alignment horizontal="center" vertical="center"/>
    </xf>
    <xf numFmtId="0" fontId="42" fillId="0" borderId="24" xfId="0" applyFont="1" applyBorder="1" applyAlignment="1">
      <alignment horizontal="center" vertical="top" wrapText="1"/>
    </xf>
    <xf numFmtId="0" fontId="42" fillId="0" borderId="0" xfId="0" applyFont="1" applyBorder="1" applyAlignment="1">
      <alignment horizontal="center" vertical="top" wrapText="1"/>
    </xf>
    <xf numFmtId="0" fontId="42" fillId="0" borderId="35" xfId="0" applyFont="1" applyBorder="1" applyAlignment="1">
      <alignment horizontal="center" vertical="top" wrapText="1"/>
    </xf>
    <xf numFmtId="0" fontId="44" fillId="0" borderId="31"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10" fillId="27" borderId="1" xfId="0" applyFont="1" applyFill="1" applyBorder="1" applyAlignment="1">
      <alignment horizontal="left" vertical="center"/>
    </xf>
    <xf numFmtId="0" fontId="0" fillId="0" borderId="1" xfId="0" applyBorder="1" applyAlignment="1">
      <alignment horizontal="center"/>
    </xf>
    <xf numFmtId="2" fontId="12" fillId="0" borderId="5" xfId="0" applyNumberFormat="1" applyFont="1" applyBorder="1" applyAlignment="1">
      <alignment horizontal="center" vertical="center"/>
    </xf>
    <xf numFmtId="166" fontId="12" fillId="0" borderId="1" xfId="0" applyNumberFormat="1" applyFont="1" applyBorder="1" applyAlignment="1">
      <alignment horizontal="center" vertic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0"/>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326745</xdr:rowOff>
    </xdr:from>
    <xdr:ext cx="6038384" cy="34278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684775" y="808598"/>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317753</xdr:colOff>
      <xdr:row>2</xdr:row>
      <xdr:rowOff>494424</xdr:rowOff>
    </xdr:from>
    <xdr:to>
      <xdr:col>1</xdr:col>
      <xdr:colOff>2135687</xdr:colOff>
      <xdr:row>2</xdr:row>
      <xdr:rowOff>498138</xdr:rowOff>
    </xdr:to>
    <xdr:cxnSp macro="">
      <xdr:nvCxnSpPr>
        <xdr:cNvPr id="4" name="Straight Arrow Connector 3">
          <a:extLst>
            <a:ext uri="{FF2B5EF4-FFF2-40B4-BE49-F238E27FC236}">
              <a16:creationId xmlns:a16="http://schemas.microsoft.com/office/drawing/2014/main" id="{00000000-0008-0000-0700-000004000000}"/>
            </a:ext>
          </a:extLst>
        </xdr:cNvPr>
        <xdr:cNvCxnSpPr>
          <a:stCxn id="3" idx="1"/>
        </xdr:cNvCxnSpPr>
      </xdr:nvCxnSpPr>
      <xdr:spPr>
        <a:xfrm flipH="1" flipV="1">
          <a:off x="866841" y="976277"/>
          <a:ext cx="1817934" cy="3714"/>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228600</xdr:rowOff>
        </xdr:from>
        <xdr:to>
          <xdr:col>1</xdr:col>
          <xdr:colOff>314325</xdr:colOff>
          <xdr:row>3</xdr:row>
          <xdr:rowOff>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efreshError="1">
        <row r="6">
          <cell r="E6">
            <v>3</v>
          </cell>
          <cell r="F6">
            <v>0</v>
          </cell>
          <cell r="L6">
            <v>10.5</v>
          </cell>
          <cell r="M6">
            <v>0</v>
          </cell>
        </row>
        <row r="7">
          <cell r="B7" t="str">
            <v>General Project Requirement</v>
          </cell>
          <cell r="E7">
            <v>3</v>
          </cell>
          <cell r="F7">
            <v>0</v>
          </cell>
          <cell r="I7" t="str">
            <v>Softscape</v>
          </cell>
          <cell r="L7">
            <v>1</v>
          </cell>
          <cell r="M7">
            <v>0</v>
          </cell>
        </row>
        <row r="8">
          <cell r="E8">
            <v>11.5</v>
          </cell>
          <cell r="F8">
            <v>0</v>
          </cell>
          <cell r="I8" t="str">
            <v>Hardscape</v>
          </cell>
          <cell r="L8">
            <v>3.5</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v>
          </cell>
          <cell r="M10">
            <v>0</v>
          </cell>
        </row>
        <row r="11">
          <cell r="A11" t="str">
            <v>Part B - Façade System</v>
          </cell>
          <cell r="E11">
            <v>4</v>
          </cell>
          <cell r="F11">
            <v>0</v>
          </cell>
          <cell r="I11" t="str">
            <v>Water Retaining Structures</v>
          </cell>
          <cell r="L11">
            <v>3</v>
          </cell>
          <cell r="M11">
            <v>0</v>
          </cell>
        </row>
        <row r="12">
          <cell r="B12" t="str">
            <v>Cladding system: Tile/ Stone/ Metal/ Others</v>
          </cell>
          <cell r="E12">
            <v>4</v>
          </cell>
          <cell r="F12">
            <v>0</v>
          </cell>
          <cell r="I12" t="str">
            <v>Standalone Structures</v>
          </cell>
          <cell r="L12">
            <v>2</v>
          </cell>
          <cell r="M12">
            <v>0</v>
          </cell>
        </row>
        <row r="13">
          <cell r="B13" t="str">
            <v>Curtain Wall: Glazing/ Others</v>
          </cell>
          <cell r="L13">
            <v>2</v>
          </cell>
          <cell r="M13">
            <v>0</v>
          </cell>
        </row>
        <row r="14">
          <cell r="B14" t="str">
            <v>Masonry and Lightweight Concrete Panels</v>
          </cell>
          <cell r="I14" t="str">
            <v>Outdoor games court</v>
          </cell>
          <cell r="L14">
            <v>2</v>
          </cell>
          <cell r="M14">
            <v>0</v>
          </cell>
        </row>
        <row r="15">
          <cell r="A15" t="str">
            <v>Part C - Others</v>
          </cell>
          <cell r="E15">
            <v>7</v>
          </cell>
          <cell r="F15">
            <v>0</v>
          </cell>
          <cell r="L15">
            <v>5</v>
          </cell>
          <cell r="M15">
            <v>0</v>
          </cell>
        </row>
        <row r="16">
          <cell r="B16" t="str">
            <v>Façade Features/ considerations</v>
          </cell>
          <cell r="E16">
            <v>3</v>
          </cell>
          <cell r="F16">
            <v>0</v>
          </cell>
          <cell r="I16" t="str">
            <v>Innovation features in labour-saving/maintenance-free</v>
          </cell>
          <cell r="L16">
            <v>5</v>
          </cell>
          <cell r="M16">
            <v>0</v>
          </cell>
        </row>
        <row r="17">
          <cell r="B17" t="str">
            <v>Entrance lobby/ Integrated drop-off points at blocks</v>
          </cell>
          <cell r="E17">
            <v>2</v>
          </cell>
          <cell r="F17">
            <v>0</v>
          </cell>
        </row>
        <row r="18">
          <cell r="B18" t="str">
            <v>Exposed corridors and link bridges</v>
          </cell>
          <cell r="E18">
            <v>2</v>
          </cell>
          <cell r="F18">
            <v>0</v>
          </cell>
          <cell r="H18" t="str">
            <v>Section 1 BONUS POINTS</v>
          </cell>
          <cell r="L18">
            <v>3</v>
          </cell>
          <cell r="M18">
            <v>0</v>
          </cell>
        </row>
        <row r="19">
          <cell r="B19" t="str">
            <v>Roof</v>
          </cell>
          <cell r="E19" t="str">
            <v>Pre-req</v>
          </cell>
          <cell r="H19" t="str">
            <v>Section 5 BONUS POINTS</v>
          </cell>
          <cell r="L19">
            <v>1</v>
          </cell>
          <cell r="M19">
            <v>0</v>
          </cell>
        </row>
        <row r="20">
          <cell r="E20">
            <v>18.5</v>
          </cell>
          <cell r="F20">
            <v>0</v>
          </cell>
        </row>
        <row r="21">
          <cell r="B21" t="str">
            <v>Floors</v>
          </cell>
          <cell r="E21">
            <v>2.5</v>
          </cell>
          <cell r="F21">
            <v>0</v>
          </cell>
        </row>
        <row r="22">
          <cell r="B22" t="str">
            <v>Walls and Partitions</v>
          </cell>
          <cell r="E22">
            <v>1</v>
          </cell>
          <cell r="F22">
            <v>0</v>
          </cell>
          <cell r="K22">
            <v>0</v>
          </cell>
          <cell r="N22">
            <v>0</v>
          </cell>
        </row>
        <row r="23">
          <cell r="B23" t="str">
            <v>Ceiling</v>
          </cell>
          <cell r="E23">
            <v>4</v>
          </cell>
          <cell r="F23">
            <v>0</v>
          </cell>
          <cell r="K23">
            <v>71</v>
          </cell>
        </row>
        <row r="24">
          <cell r="B24" t="str">
            <v xml:space="preserve">Common toilets </v>
          </cell>
          <cell r="E24">
            <v>7</v>
          </cell>
          <cell r="F24">
            <v>0</v>
          </cell>
          <cell r="K24">
            <v>0</v>
          </cell>
        </row>
        <row r="25">
          <cell r="B25" t="str">
            <v>Basements</v>
          </cell>
          <cell r="E25">
            <v>4</v>
          </cell>
          <cell r="F25">
            <v>0</v>
          </cell>
          <cell r="K25">
            <v>0</v>
          </cell>
          <cell r="M25">
            <v>0</v>
          </cell>
        </row>
        <row r="26">
          <cell r="E26">
            <v>10</v>
          </cell>
          <cell r="F26">
            <v>0</v>
          </cell>
        </row>
        <row r="27">
          <cell r="B27" t="str">
            <v xml:space="preserve">Air Conditioning System-Direct Expansion System 
(DX Units) </v>
          </cell>
          <cell r="E27">
            <v>2</v>
          </cell>
          <cell r="F27">
            <v>0</v>
          </cell>
        </row>
        <row r="28">
          <cell r="B28" t="str">
            <v>Air Conditioning System - Variable Refrigerant Flow (VRF) System</v>
          </cell>
          <cell r="E28" t="str">
            <v>Pre-req</v>
          </cell>
        </row>
        <row r="29">
          <cell r="B29" t="str">
            <v>Air Distribution System</v>
          </cell>
          <cell r="E29">
            <v>1</v>
          </cell>
          <cell r="F29">
            <v>0</v>
          </cell>
        </row>
        <row r="30">
          <cell r="B30" t="str">
            <v>Domestic Water Supply</v>
          </cell>
          <cell r="E30" t="str">
            <v>Pre-req</v>
          </cell>
          <cell r="M30" t="str">
            <v/>
          </cell>
        </row>
        <row r="31">
          <cell r="B31" t="str">
            <v>Sanitary System</v>
          </cell>
          <cell r="E31">
            <v>3</v>
          </cell>
          <cell r="F31">
            <v>0</v>
          </cell>
          <cell r="M31">
            <v>0</v>
          </cell>
        </row>
        <row r="32">
          <cell r="B32" t="str">
            <v xml:space="preserve">Fire Protection System </v>
          </cell>
          <cell r="E32">
            <v>1</v>
          </cell>
          <cell r="F32">
            <v>0</v>
          </cell>
        </row>
        <row r="33">
          <cell r="B33" t="str">
            <v>Swimming Pool System</v>
          </cell>
          <cell r="E33">
            <v>3</v>
          </cell>
          <cell r="F33">
            <v>0</v>
          </cell>
        </row>
        <row r="35">
          <cell r="E35">
            <v>10.5</v>
          </cell>
          <cell r="F35">
            <v>0</v>
          </cell>
        </row>
        <row r="36">
          <cell r="B36" t="str">
            <v>Lighting System</v>
          </cell>
          <cell r="E36">
            <v>1.5</v>
          </cell>
          <cell r="F36">
            <v>0</v>
          </cell>
        </row>
        <row r="37">
          <cell r="B37" t="str">
            <v>Power Distribution System</v>
          </cell>
          <cell r="E37">
            <v>3</v>
          </cell>
          <cell r="F37">
            <v>0</v>
          </cell>
        </row>
        <row r="38">
          <cell r="B38" t="str">
            <v>Extra Low Voltage System</v>
          </cell>
          <cell r="E38">
            <v>3</v>
          </cell>
          <cell r="F38">
            <v>0</v>
          </cell>
        </row>
        <row r="39">
          <cell r="B39" t="str">
            <v>Lightning Protection System</v>
          </cell>
          <cell r="E39">
            <v>1</v>
          </cell>
          <cell r="F39">
            <v>0</v>
          </cell>
        </row>
        <row r="40">
          <cell r="B40" t="str">
            <v>Vertical Transportation System</v>
          </cell>
          <cell r="E40">
            <v>2</v>
          </cell>
          <cell r="F40">
            <v>0</v>
          </cell>
        </row>
        <row r="41">
          <cell r="B41" t="str">
            <v>Carpark Entry System</v>
          </cell>
          <cell r="E41" t="str">
            <v>Pre-req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Facilities"/>
      <sheetName val="7. Smart FM"/>
    </sheetNames>
    <sheetDataSet>
      <sheetData sheetId="0">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row>
        <row r="18">
          <cell r="F18">
            <v>0</v>
          </cell>
          <cell r="M18">
            <v>0</v>
          </cell>
        </row>
        <row r="19">
          <cell r="M19">
            <v>0</v>
          </cell>
        </row>
        <row r="20">
          <cell r="F20">
            <v>0</v>
          </cell>
        </row>
        <row r="21">
          <cell r="F21">
            <v>0</v>
          </cell>
        </row>
        <row r="22">
          <cell r="F22">
            <v>0</v>
          </cell>
          <cell r="K22">
            <v>0</v>
          </cell>
          <cell r="N22">
            <v>0</v>
          </cell>
        </row>
        <row r="23">
          <cell r="F23">
            <v>0</v>
          </cell>
        </row>
        <row r="24">
          <cell r="F24">
            <v>0</v>
          </cell>
          <cell r="K24">
            <v>0</v>
          </cell>
        </row>
        <row r="25">
          <cell r="F25">
            <v>0</v>
          </cell>
          <cell r="K25">
            <v>0</v>
          </cell>
          <cell r="M25">
            <v>0</v>
          </cell>
        </row>
        <row r="26">
          <cell r="F26">
            <v>0</v>
          </cell>
        </row>
        <row r="27">
          <cell r="F27">
            <v>0</v>
          </cell>
        </row>
        <row r="29">
          <cell r="F29">
            <v>0</v>
          </cell>
        </row>
        <row r="30">
          <cell r="M30" t="str">
            <v/>
          </cell>
        </row>
        <row r="31">
          <cell r="F31">
            <v>0</v>
          </cell>
          <cell r="M31">
            <v>0</v>
          </cell>
        </row>
        <row r="32">
          <cell r="F32">
            <v>0</v>
          </cell>
        </row>
        <row r="33">
          <cell r="F33">
            <v>0</v>
          </cell>
        </row>
        <row r="35">
          <cell r="F35">
            <v>0</v>
          </cell>
        </row>
        <row r="36">
          <cell r="F36">
            <v>0</v>
          </cell>
        </row>
        <row r="37">
          <cell r="F37">
            <v>0</v>
          </cell>
        </row>
        <row r="38">
          <cell r="F38">
            <v>0</v>
          </cell>
        </row>
        <row r="39">
          <cell r="F39">
            <v>0</v>
          </cell>
        </row>
        <row r="40">
          <cell r="F4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tabSelected="1" zoomScaleNormal="100" workbookViewId="0">
      <selection activeCell="A7" sqref="A7:C7"/>
    </sheetView>
  </sheetViews>
  <sheetFormatPr defaultColWidth="8.85546875" defaultRowHeight="15" x14ac:dyDescent="0.25"/>
  <cols>
    <col min="1" max="1" width="33.85546875" style="310" customWidth="1"/>
    <col min="2" max="2" width="11.85546875" style="17" customWidth="1"/>
    <col min="3" max="3" width="63" style="17" customWidth="1"/>
    <col min="4" max="5" width="50.7109375" style="17" customWidth="1"/>
    <col min="6" max="6" width="8.85546875" style="17"/>
    <col min="7" max="7" width="63" style="306" hidden="1" customWidth="1"/>
    <col min="8" max="16384" width="8.85546875" style="17"/>
  </cols>
  <sheetData>
    <row r="1" spans="1:7" x14ac:dyDescent="0.25">
      <c r="A1" s="317"/>
      <c r="B1" s="28"/>
      <c r="C1" s="28"/>
    </row>
    <row r="2" spans="1:7" s="304" customFormat="1" ht="20.25" x14ac:dyDescent="0.3">
      <c r="A2" s="352"/>
      <c r="B2" s="352"/>
      <c r="C2" s="352"/>
    </row>
    <row r="3" spans="1:7" s="304" customFormat="1" ht="20.25" x14ac:dyDescent="0.3">
      <c r="A3" s="311"/>
      <c r="B3" s="312"/>
      <c r="C3" s="313"/>
    </row>
    <row r="4" spans="1:7" s="304" customFormat="1" ht="20.25" x14ac:dyDescent="0.3">
      <c r="A4" s="311" t="s">
        <v>515</v>
      </c>
      <c r="B4" s="312"/>
      <c r="C4" s="313"/>
    </row>
    <row r="5" spans="1:7" s="304" customFormat="1" ht="20.25" x14ac:dyDescent="0.3">
      <c r="A5" s="311"/>
      <c r="B5" s="312"/>
      <c r="C5" s="313"/>
    </row>
    <row r="6" spans="1:7" s="304" customFormat="1" ht="31.5" customHeight="1" x14ac:dyDescent="0.3">
      <c r="A6" s="314"/>
      <c r="B6" s="315"/>
      <c r="C6" s="316"/>
    </row>
    <row r="7" spans="1:7" ht="20.100000000000001" customHeight="1" x14ac:dyDescent="0.25">
      <c r="A7" s="353" t="s">
        <v>0</v>
      </c>
      <c r="B7" s="353"/>
      <c r="C7" s="353"/>
      <c r="G7" s="305" t="s">
        <v>1</v>
      </c>
    </row>
    <row r="8" spans="1:7" ht="20.100000000000001" customHeight="1" x14ac:dyDescent="0.25">
      <c r="A8" s="349" t="s">
        <v>2</v>
      </c>
      <c r="B8" s="349"/>
      <c r="C8" s="19"/>
    </row>
    <row r="9" spans="1:7" ht="20.100000000000001" customHeight="1" x14ac:dyDescent="0.25">
      <c r="A9" s="349" t="s">
        <v>3</v>
      </c>
      <c r="B9" s="349"/>
      <c r="C9" s="19"/>
    </row>
    <row r="10" spans="1:7" ht="20.100000000000001" customHeight="1" x14ac:dyDescent="0.25">
      <c r="A10" s="349" t="s">
        <v>4</v>
      </c>
      <c r="B10" s="349"/>
      <c r="C10" s="19"/>
      <c r="G10" s="307" t="s">
        <v>5</v>
      </c>
    </row>
    <row r="11" spans="1:7" ht="20.100000000000001" customHeight="1" x14ac:dyDescent="0.25">
      <c r="A11" s="349" t="s">
        <v>6</v>
      </c>
      <c r="B11" s="349"/>
      <c r="C11" s="20"/>
      <c r="G11" s="307"/>
    </row>
    <row r="12" spans="1:7" ht="20.100000000000001" customHeight="1" x14ac:dyDescent="0.25">
      <c r="A12" s="349" t="s">
        <v>7</v>
      </c>
      <c r="B12" s="349"/>
      <c r="C12" s="20"/>
      <c r="G12" s="307"/>
    </row>
    <row r="13" spans="1:7" ht="20.100000000000001" customHeight="1" x14ac:dyDescent="0.25">
      <c r="A13" s="349" t="s">
        <v>8</v>
      </c>
      <c r="B13" s="349"/>
      <c r="C13" s="20"/>
      <c r="G13" s="307"/>
    </row>
    <row r="14" spans="1:7" ht="20.100000000000001" customHeight="1" x14ac:dyDescent="0.25">
      <c r="A14" s="354"/>
      <c r="B14" s="354"/>
      <c r="C14" s="308"/>
      <c r="G14" s="307"/>
    </row>
    <row r="15" spans="1:7" ht="20.100000000000001" customHeight="1" x14ac:dyDescent="0.25">
      <c r="A15" s="354" t="s">
        <v>9</v>
      </c>
      <c r="B15" s="354"/>
      <c r="C15" s="309"/>
      <c r="G15" s="307"/>
    </row>
    <row r="16" spans="1:7" ht="20.100000000000001" customHeight="1" x14ac:dyDescent="0.25">
      <c r="A16" s="349" t="s">
        <v>10</v>
      </c>
      <c r="B16" s="349"/>
      <c r="C16" s="21"/>
      <c r="G16" s="307" t="s">
        <v>11</v>
      </c>
    </row>
    <row r="17" spans="1:3" ht="20.100000000000001" customHeight="1" x14ac:dyDescent="0.25">
      <c r="A17" s="349" t="s">
        <v>12</v>
      </c>
      <c r="B17" s="349"/>
      <c r="C17" s="22"/>
    </row>
    <row r="18" spans="1:3" ht="20.100000000000001" customHeight="1" x14ac:dyDescent="0.25">
      <c r="A18" s="349" t="s">
        <v>13</v>
      </c>
      <c r="B18" s="349"/>
      <c r="C18" s="21"/>
    </row>
    <row r="19" spans="1:3" ht="20.100000000000001" customHeight="1" x14ac:dyDescent="0.25">
      <c r="A19" s="349" t="s">
        <v>14</v>
      </c>
      <c r="B19" s="349"/>
      <c r="C19" s="23"/>
    </row>
    <row r="20" spans="1:3" ht="20.100000000000001" customHeight="1" x14ac:dyDescent="0.25">
      <c r="A20" s="350" t="s">
        <v>15</v>
      </c>
      <c r="B20" s="350"/>
      <c r="C20" s="24"/>
    </row>
    <row r="21" spans="1:3" ht="20.100000000000001" customHeight="1" x14ac:dyDescent="0.25">
      <c r="A21" s="350" t="s">
        <v>16</v>
      </c>
      <c r="B21" s="350"/>
      <c r="C21" s="25"/>
    </row>
    <row r="22" spans="1:3" ht="20.100000000000001" customHeight="1" x14ac:dyDescent="0.25">
      <c r="A22" s="350" t="s">
        <v>17</v>
      </c>
      <c r="B22" s="350"/>
      <c r="C22" s="26"/>
    </row>
    <row r="23" spans="1:3" ht="20.100000000000001" customHeight="1" x14ac:dyDescent="0.25">
      <c r="A23" s="349" t="s">
        <v>18</v>
      </c>
      <c r="B23" s="349"/>
      <c r="C23" s="18"/>
    </row>
    <row r="24" spans="1:3" x14ac:dyDescent="0.25">
      <c r="A24" s="349"/>
      <c r="B24" s="349"/>
      <c r="C24" s="39"/>
    </row>
    <row r="25" spans="1:3" ht="104.25" customHeight="1" x14ac:dyDescent="0.25">
      <c r="A25" s="351" t="s">
        <v>508</v>
      </c>
      <c r="B25" s="351"/>
      <c r="C25" s="18"/>
    </row>
  </sheetData>
  <sheetProtection formatCells="0" selectLockedCells="1"/>
  <mergeCells count="20">
    <mergeCell ref="A17:B17"/>
    <mergeCell ref="A16:B16"/>
    <mergeCell ref="A2:C2"/>
    <mergeCell ref="A7:C7"/>
    <mergeCell ref="A8:B8"/>
    <mergeCell ref="A9:B9"/>
    <mergeCell ref="A10:B10"/>
    <mergeCell ref="A11:B11"/>
    <mergeCell ref="A12:B12"/>
    <mergeCell ref="A13:B13"/>
    <mergeCell ref="A14:B14"/>
    <mergeCell ref="A15:B15"/>
    <mergeCell ref="A18:B18"/>
    <mergeCell ref="A19:B19"/>
    <mergeCell ref="A20:B20"/>
    <mergeCell ref="A21:B21"/>
    <mergeCell ref="A25:B25"/>
    <mergeCell ref="A24:B24"/>
    <mergeCell ref="A22:B22"/>
    <mergeCell ref="A23:B23"/>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zoomScaleNormal="100" workbookViewId="0">
      <selection activeCell="A2" sqref="A2"/>
    </sheetView>
  </sheetViews>
  <sheetFormatPr defaultColWidth="9.140625" defaultRowHeight="15" x14ac:dyDescent="0.25"/>
  <cols>
    <col min="1" max="1" width="29.85546875" style="17" customWidth="1"/>
    <col min="2" max="2" width="26.28515625" style="17" customWidth="1"/>
    <col min="3" max="3" width="26.140625" style="17" customWidth="1"/>
    <col min="4" max="4" width="23.5703125" style="17" customWidth="1"/>
    <col min="5" max="6" width="50.7109375" style="17" customWidth="1"/>
    <col min="7" max="16384" width="9.140625" style="17"/>
  </cols>
  <sheetData>
    <row r="1" spans="1:4" ht="31.5" x14ac:dyDescent="0.5">
      <c r="A1" s="27" t="s">
        <v>516</v>
      </c>
      <c r="B1" s="28"/>
      <c r="C1" s="28"/>
      <c r="D1" s="28"/>
    </row>
    <row r="2" spans="1:4" x14ac:dyDescent="0.25">
      <c r="A2" s="29" t="s">
        <v>19</v>
      </c>
    </row>
    <row r="3" spans="1:4" x14ac:dyDescent="0.25">
      <c r="A3" s="29" t="s">
        <v>20</v>
      </c>
    </row>
    <row r="4" spans="1:4" x14ac:dyDescent="0.25">
      <c r="A4" s="29" t="s">
        <v>21</v>
      </c>
    </row>
    <row r="5" spans="1:4" x14ac:dyDescent="0.25">
      <c r="A5" s="28"/>
      <c r="B5" s="28"/>
      <c r="C5" s="28"/>
      <c r="D5" s="28"/>
    </row>
    <row r="6" spans="1:4" ht="31.5" x14ac:dyDescent="0.5">
      <c r="A6" s="28"/>
      <c r="B6" s="355" t="s">
        <v>22</v>
      </c>
      <c r="C6" s="355"/>
      <c r="D6" s="355"/>
    </row>
    <row r="7" spans="1:4" ht="18.75" x14ac:dyDescent="0.3">
      <c r="A7" s="30"/>
      <c r="B7" s="31" t="s">
        <v>23</v>
      </c>
      <c r="C7" s="279" t="s">
        <v>24</v>
      </c>
      <c r="D7" s="279" t="s">
        <v>25</v>
      </c>
    </row>
    <row r="8" spans="1:4" ht="18.75" x14ac:dyDescent="0.3">
      <c r="A8" s="32" t="s">
        <v>26</v>
      </c>
      <c r="B8" s="33">
        <v>15</v>
      </c>
      <c r="C8" s="34">
        <f>'4. Resilience'!F2</f>
        <v>0</v>
      </c>
      <c r="D8" s="346"/>
    </row>
    <row r="9" spans="1:4" ht="18.75" x14ac:dyDescent="0.3">
      <c r="A9" s="35" t="s">
        <v>27</v>
      </c>
      <c r="B9" s="33">
        <v>15</v>
      </c>
      <c r="C9" s="34">
        <f>'5. Whole Life Carbon'!H2</f>
        <v>0</v>
      </c>
      <c r="D9" s="346"/>
    </row>
    <row r="10" spans="1:4" ht="18.75" x14ac:dyDescent="0.3">
      <c r="A10" s="36" t="s">
        <v>28</v>
      </c>
      <c r="B10" s="33">
        <v>15</v>
      </c>
      <c r="C10" s="34">
        <f>'6. Health&amp;Wellbeing'!H2</f>
        <v>0</v>
      </c>
      <c r="D10" s="346"/>
    </row>
    <row r="11" spans="1:4" ht="18.75" x14ac:dyDescent="0.3">
      <c r="A11" s="37" t="s">
        <v>29</v>
      </c>
      <c r="B11" s="33">
        <v>15</v>
      </c>
      <c r="C11" s="34">
        <f>'7. Intelligence'!F2</f>
        <v>0</v>
      </c>
      <c r="D11" s="346"/>
    </row>
    <row r="12" spans="1:4" ht="18.75" x14ac:dyDescent="0.3">
      <c r="A12" s="280" t="s">
        <v>30</v>
      </c>
      <c r="B12" s="33">
        <v>15</v>
      </c>
      <c r="C12" s="345">
        <f>D32</f>
        <v>0</v>
      </c>
      <c r="D12" s="346"/>
    </row>
    <row r="13" spans="1:4" ht="18.75" x14ac:dyDescent="0.3">
      <c r="A13" s="38" t="s">
        <v>31</v>
      </c>
      <c r="B13" s="279">
        <v>75</v>
      </c>
      <c r="C13" s="34">
        <f>SUM(C8:C12)</f>
        <v>0</v>
      </c>
      <c r="D13" s="39"/>
    </row>
    <row r="14" spans="1:4" x14ac:dyDescent="0.25">
      <c r="A14" s="28"/>
      <c r="B14" s="28"/>
      <c r="C14" s="28"/>
      <c r="D14" s="28"/>
    </row>
    <row r="15" spans="1:4" x14ac:dyDescent="0.25">
      <c r="A15" s="28"/>
      <c r="B15" s="28"/>
      <c r="C15" s="28"/>
      <c r="D15" s="28"/>
    </row>
    <row r="16" spans="1:4" x14ac:dyDescent="0.25">
      <c r="A16" s="28"/>
      <c r="B16" s="28"/>
      <c r="C16" s="28"/>
      <c r="D16" s="28"/>
    </row>
    <row r="17" spans="1:4" ht="18.75" x14ac:dyDescent="0.3">
      <c r="A17" s="356" t="s">
        <v>32</v>
      </c>
      <c r="B17" s="356"/>
      <c r="C17" s="279" t="s">
        <v>23</v>
      </c>
      <c r="D17" s="279" t="s">
        <v>24</v>
      </c>
    </row>
    <row r="18" spans="1:4" ht="18.75" x14ac:dyDescent="0.3">
      <c r="A18" s="32" t="s">
        <v>33</v>
      </c>
      <c r="B18" s="32" t="s">
        <v>34</v>
      </c>
      <c r="C18" s="33">
        <v>5</v>
      </c>
      <c r="D18" s="34">
        <f>'4. Resilience'!F3</f>
        <v>0</v>
      </c>
    </row>
    <row r="19" spans="1:4" ht="18.75" x14ac:dyDescent="0.3">
      <c r="A19" s="32" t="s">
        <v>35</v>
      </c>
      <c r="B19" s="32" t="s">
        <v>36</v>
      </c>
      <c r="C19" s="33">
        <v>5</v>
      </c>
      <c r="D19" s="33">
        <f>'4. Resilience'!F28</f>
        <v>0</v>
      </c>
    </row>
    <row r="20" spans="1:4" ht="18.75" x14ac:dyDescent="0.3">
      <c r="A20" s="32" t="s">
        <v>37</v>
      </c>
      <c r="B20" s="32" t="s">
        <v>38</v>
      </c>
      <c r="C20" s="33">
        <v>5</v>
      </c>
      <c r="D20" s="34">
        <f>'4. Resilience'!F54</f>
        <v>0</v>
      </c>
    </row>
    <row r="21" spans="1:4" ht="18.75" x14ac:dyDescent="0.3">
      <c r="A21" s="35" t="s">
        <v>39</v>
      </c>
      <c r="B21" s="35" t="s">
        <v>40</v>
      </c>
      <c r="C21" s="33">
        <v>5</v>
      </c>
      <c r="D21" s="33">
        <f>'5. Whole Life Carbon'!H3</f>
        <v>0</v>
      </c>
    </row>
    <row r="22" spans="1:4" ht="18.75" x14ac:dyDescent="0.3">
      <c r="A22" s="35" t="s">
        <v>41</v>
      </c>
      <c r="B22" s="35" t="s">
        <v>42</v>
      </c>
      <c r="C22" s="33">
        <v>5</v>
      </c>
      <c r="D22" s="33">
        <f>'5. Whole Life Carbon'!H30</f>
        <v>0</v>
      </c>
    </row>
    <row r="23" spans="1:4" ht="18.75" x14ac:dyDescent="0.3">
      <c r="A23" s="35" t="s">
        <v>43</v>
      </c>
      <c r="B23" s="35" t="s">
        <v>44</v>
      </c>
      <c r="C23" s="33">
        <v>5</v>
      </c>
      <c r="D23" s="33">
        <f>'5. Whole Life Carbon'!H69</f>
        <v>0</v>
      </c>
    </row>
    <row r="24" spans="1:4" ht="18.75" x14ac:dyDescent="0.3">
      <c r="A24" s="36" t="s">
        <v>45</v>
      </c>
      <c r="B24" s="36" t="s">
        <v>46</v>
      </c>
      <c r="C24" s="33">
        <v>5</v>
      </c>
      <c r="D24" s="33">
        <f>'6. Health&amp;Wellbeing'!H3</f>
        <v>0</v>
      </c>
    </row>
    <row r="25" spans="1:4" ht="18.75" x14ac:dyDescent="0.3">
      <c r="A25" s="36" t="s">
        <v>47</v>
      </c>
      <c r="B25" s="36" t="s">
        <v>48</v>
      </c>
      <c r="C25" s="33">
        <v>5</v>
      </c>
      <c r="D25" s="33">
        <f>'6. Health&amp;Wellbeing'!H46</f>
        <v>0</v>
      </c>
    </row>
    <row r="26" spans="1:4" ht="18.75" x14ac:dyDescent="0.3">
      <c r="A26" s="36" t="s">
        <v>49</v>
      </c>
      <c r="B26" s="36" t="s">
        <v>50</v>
      </c>
      <c r="C26" s="33">
        <v>5</v>
      </c>
      <c r="D26" s="33">
        <f>'6. Health&amp;Wellbeing'!H71</f>
        <v>0</v>
      </c>
    </row>
    <row r="27" spans="1:4" ht="18.75" x14ac:dyDescent="0.3">
      <c r="A27" s="37" t="s">
        <v>51</v>
      </c>
      <c r="B27" s="37" t="s">
        <v>52</v>
      </c>
      <c r="C27" s="33">
        <v>5</v>
      </c>
      <c r="D27" s="33">
        <f>'7. Intelligence'!F3</f>
        <v>0</v>
      </c>
    </row>
    <row r="28" spans="1:4" ht="18.75" x14ac:dyDescent="0.3">
      <c r="A28" s="37" t="s">
        <v>53</v>
      </c>
      <c r="B28" s="37" t="s">
        <v>54</v>
      </c>
      <c r="C28" s="33">
        <v>5</v>
      </c>
      <c r="D28" s="33">
        <f>'7. Intelligence'!F20</f>
        <v>0</v>
      </c>
    </row>
    <row r="29" spans="1:4" ht="18.75" x14ac:dyDescent="0.3">
      <c r="A29" s="37" t="s">
        <v>55</v>
      </c>
      <c r="B29" s="37" t="s">
        <v>56</v>
      </c>
      <c r="C29" s="33">
        <v>5</v>
      </c>
      <c r="D29" s="33">
        <f>'7. Intelligence'!F31</f>
        <v>0</v>
      </c>
    </row>
    <row r="30" spans="1:4" x14ac:dyDescent="0.25">
      <c r="A30" s="28"/>
      <c r="B30" s="28"/>
      <c r="C30" s="28"/>
      <c r="D30" s="28"/>
    </row>
    <row r="31" spans="1:4" ht="37.5" x14ac:dyDescent="0.25">
      <c r="A31" s="357" t="s">
        <v>30</v>
      </c>
      <c r="B31" s="40" t="s">
        <v>57</v>
      </c>
      <c r="C31" s="40" t="s">
        <v>58</v>
      </c>
      <c r="D31" s="40" t="s">
        <v>59</v>
      </c>
    </row>
    <row r="32" spans="1:4" ht="18.75" customHeight="1" x14ac:dyDescent="0.3">
      <c r="A32" s="357"/>
      <c r="B32" s="41">
        <f>'8. Maintainability'!C7</f>
        <v>71</v>
      </c>
      <c r="C32" s="340">
        <f>IF(AND('8. Maintainability'!E60=0,'8. Maintainability'!G60=""),0,IF('8. Maintainability'!E60=0,'8. Maintainability'!G60,'8. Maintainability'!E60))</f>
        <v>0</v>
      </c>
      <c r="D32" s="340">
        <f>IF(AND('8. Maintainability'!C63=0,'8. Maintainability'!G63=""),0,IF('8. Maintainability'!C63=0,'8. Maintainability'!G63,'8. Maintainability'!C63))</f>
        <v>0</v>
      </c>
    </row>
  </sheetData>
  <sheetProtection formatCells="0" selectLockedCells="1"/>
  <mergeCells count="3">
    <mergeCell ref="B6:D6"/>
    <mergeCell ref="A17:B17"/>
    <mergeCell ref="A31:A32"/>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C7" sqref="C7"/>
    </sheetView>
  </sheetViews>
  <sheetFormatPr defaultColWidth="9.140625" defaultRowHeight="15" x14ac:dyDescent="0.25"/>
  <cols>
    <col min="1" max="1" width="8.7109375" style="17" customWidth="1"/>
    <col min="2" max="2" width="65.7109375" style="17" customWidth="1"/>
    <col min="3" max="4" width="10.7109375" style="17" customWidth="1"/>
    <col min="5" max="6" width="50.7109375" style="17" customWidth="1"/>
    <col min="7" max="7" width="15.5703125" style="17" customWidth="1"/>
    <col min="8" max="8" width="17.28515625" style="17" customWidth="1"/>
    <col min="9" max="16384" width="9.140625" style="17"/>
  </cols>
  <sheetData>
    <row r="1" spans="1:4" ht="31.5" x14ac:dyDescent="0.25">
      <c r="A1" s="361" t="s">
        <v>60</v>
      </c>
      <c r="B1" s="361"/>
      <c r="C1" s="42" t="s">
        <v>61</v>
      </c>
      <c r="D1" s="42" t="s">
        <v>62</v>
      </c>
    </row>
    <row r="2" spans="1:4" ht="21" x14ac:dyDescent="0.25">
      <c r="A2" s="360" t="s">
        <v>63</v>
      </c>
      <c r="B2" s="360"/>
      <c r="C2" s="43"/>
      <c r="D2" s="43"/>
    </row>
    <row r="3" spans="1:4" ht="15.75" x14ac:dyDescent="0.25">
      <c r="A3" s="39"/>
      <c r="B3" s="44" t="s">
        <v>64</v>
      </c>
      <c r="C3" s="16"/>
      <c r="D3" s="45" t="s">
        <v>65</v>
      </c>
    </row>
    <row r="4" spans="1:4" ht="15.75" x14ac:dyDescent="0.25">
      <c r="A4" s="359" t="s">
        <v>66</v>
      </c>
      <c r="B4" s="359"/>
      <c r="C4" s="46"/>
      <c r="D4" s="46"/>
    </row>
    <row r="5" spans="1:4" ht="15.75" x14ac:dyDescent="0.25">
      <c r="A5" s="47"/>
      <c r="B5" s="48" t="s">
        <v>67</v>
      </c>
      <c r="C5" s="49"/>
      <c r="D5" s="49" t="s">
        <v>68</v>
      </c>
    </row>
    <row r="6" spans="1:4" ht="15.75" x14ac:dyDescent="0.25">
      <c r="A6" s="358" t="s">
        <v>69</v>
      </c>
      <c r="B6" s="358"/>
      <c r="C6" s="50"/>
      <c r="D6" s="50"/>
    </row>
    <row r="7" spans="1:4" ht="15.75" x14ac:dyDescent="0.25">
      <c r="A7" s="282" t="s">
        <v>70</v>
      </c>
      <c r="B7" s="51" t="s">
        <v>509</v>
      </c>
      <c r="C7" s="16"/>
      <c r="D7" s="45" t="s">
        <v>68</v>
      </c>
    </row>
    <row r="8" spans="1:4" ht="15.75" x14ac:dyDescent="0.25">
      <c r="A8" s="282" t="s">
        <v>71</v>
      </c>
      <c r="B8" s="52" t="s">
        <v>72</v>
      </c>
      <c r="C8" s="16"/>
      <c r="D8" s="45" t="s">
        <v>73</v>
      </c>
    </row>
    <row r="9" spans="1:4" ht="15.75" x14ac:dyDescent="0.25">
      <c r="A9" s="362" t="s">
        <v>74</v>
      </c>
      <c r="B9" s="52" t="s">
        <v>75</v>
      </c>
      <c r="C9" s="16"/>
      <c r="D9" s="45" t="s">
        <v>68</v>
      </c>
    </row>
    <row r="10" spans="1:4" ht="15.75" x14ac:dyDescent="0.25">
      <c r="A10" s="362"/>
      <c r="B10" s="52" t="s">
        <v>76</v>
      </c>
      <c r="C10" s="45"/>
      <c r="D10" s="45"/>
    </row>
    <row r="11" spans="1:4" ht="15.75" x14ac:dyDescent="0.25">
      <c r="A11" s="362"/>
      <c r="B11" s="52" t="s">
        <v>77</v>
      </c>
      <c r="C11" s="16"/>
      <c r="D11" s="45" t="s">
        <v>68</v>
      </c>
    </row>
    <row r="12" spans="1:4" ht="15.75" x14ac:dyDescent="0.25">
      <c r="A12" s="362"/>
      <c r="B12" s="52" t="s">
        <v>78</v>
      </c>
      <c r="C12" s="16"/>
      <c r="D12" s="45" t="s">
        <v>68</v>
      </c>
    </row>
    <row r="13" spans="1:4" ht="15.75" x14ac:dyDescent="0.25">
      <c r="A13" s="282" t="s">
        <v>79</v>
      </c>
      <c r="B13" s="52" t="s">
        <v>80</v>
      </c>
      <c r="C13" s="16"/>
      <c r="D13" s="45" t="s">
        <v>68</v>
      </c>
    </row>
    <row r="14" spans="1:4" ht="15.75" x14ac:dyDescent="0.25">
      <c r="A14" s="282" t="s">
        <v>81</v>
      </c>
      <c r="B14" s="52" t="s">
        <v>82</v>
      </c>
      <c r="C14" s="16"/>
      <c r="D14" s="53" t="s">
        <v>73</v>
      </c>
    </row>
    <row r="15" spans="1:4" ht="15.75" x14ac:dyDescent="0.25">
      <c r="A15" s="362" t="s">
        <v>83</v>
      </c>
      <c r="B15" s="52" t="s">
        <v>84</v>
      </c>
      <c r="C15" s="39"/>
      <c r="D15" s="39"/>
    </row>
    <row r="16" spans="1:4" ht="47.25" x14ac:dyDescent="0.25">
      <c r="A16" s="362"/>
      <c r="B16" s="54" t="s">
        <v>85</v>
      </c>
      <c r="C16" s="16"/>
      <c r="D16" s="45" t="s">
        <v>65</v>
      </c>
    </row>
    <row r="17" spans="1:4" ht="15.75" x14ac:dyDescent="0.25">
      <c r="A17" s="362"/>
      <c r="B17" s="55" t="s">
        <v>86</v>
      </c>
      <c r="C17" s="16"/>
      <c r="D17" s="45" t="s">
        <v>65</v>
      </c>
    </row>
    <row r="18" spans="1:4" ht="31.5" x14ac:dyDescent="0.25">
      <c r="A18" s="362"/>
      <c r="B18" s="54" t="s">
        <v>87</v>
      </c>
      <c r="C18" s="16"/>
      <c r="D18" s="45" t="s">
        <v>65</v>
      </c>
    </row>
    <row r="19" spans="1:4" ht="47.25" x14ac:dyDescent="0.25">
      <c r="A19" s="362"/>
      <c r="B19" s="54" t="s">
        <v>88</v>
      </c>
      <c r="C19" s="16"/>
      <c r="D19" s="45" t="s">
        <v>65</v>
      </c>
    </row>
    <row r="20" spans="1:4" ht="31.5" x14ac:dyDescent="0.25">
      <c r="A20" s="282" t="s">
        <v>89</v>
      </c>
      <c r="B20" s="54" t="s">
        <v>90</v>
      </c>
      <c r="C20" s="59"/>
      <c r="D20" s="45" t="s">
        <v>68</v>
      </c>
    </row>
    <row r="21" spans="1:4" ht="31.5" x14ac:dyDescent="0.25">
      <c r="A21" s="282" t="s">
        <v>91</v>
      </c>
      <c r="B21" s="54" t="s">
        <v>92</v>
      </c>
      <c r="C21" s="59"/>
      <c r="D21" s="45" t="s">
        <v>68</v>
      </c>
    </row>
    <row r="22" spans="1:4" ht="15.75" x14ac:dyDescent="0.25">
      <c r="A22" s="359" t="s">
        <v>93</v>
      </c>
      <c r="B22" s="359"/>
      <c r="C22" s="56"/>
      <c r="D22" s="56"/>
    </row>
    <row r="23" spans="1:4" ht="15.75" x14ac:dyDescent="0.25">
      <c r="A23" s="57" t="s">
        <v>70</v>
      </c>
      <c r="B23" s="58" t="s">
        <v>94</v>
      </c>
      <c r="C23" s="49"/>
      <c r="D23" s="49" t="s">
        <v>68</v>
      </c>
    </row>
    <row r="24" spans="1:4" ht="15.75" x14ac:dyDescent="0.25">
      <c r="A24" s="57" t="s">
        <v>71</v>
      </c>
      <c r="B24" s="58" t="s">
        <v>95</v>
      </c>
      <c r="C24" s="49"/>
      <c r="D24" s="49" t="s">
        <v>68</v>
      </c>
    </row>
  </sheetData>
  <sheetProtection formatCells="0" selectLockedCells="1"/>
  <mergeCells count="7">
    <mergeCell ref="A6:B6"/>
    <mergeCell ref="A4:B4"/>
    <mergeCell ref="A2:B2"/>
    <mergeCell ref="A1:B1"/>
    <mergeCell ref="A22:B22"/>
    <mergeCell ref="A9:A12"/>
    <mergeCell ref="A15:A19"/>
  </mergeCells>
  <dataValidations count="3">
    <dataValidation type="decimal" allowBlank="1" showInputMessage="1" showErrorMessage="1" sqref="C20:C21" xr:uid="{00000000-0002-0000-0200-000000000000}">
      <formula1>0</formula1>
      <formula2>100</formula2>
    </dataValidation>
    <dataValidation type="list" allowBlank="1" showInputMessage="1" showErrorMessage="1" sqref="C3 C23:C24 C16:C19" xr:uid="{00000000-0002-0000-0200-000001000000}">
      <formula1>"Y,N"</formula1>
    </dataValidation>
    <dataValidation type="decimal" allowBlank="1" showInputMessage="1" showErrorMessage="1" sqref="C5 C7:C14" xr:uid="{00000000-0002-0000-0200-000002000000}">
      <formula1>0</formula1>
      <formula2>1000</formula2>
    </dataValidation>
  </dataValidation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C6" sqref="C6"/>
    </sheetView>
  </sheetViews>
  <sheetFormatPr defaultColWidth="9.140625" defaultRowHeight="15.75" x14ac:dyDescent="0.25"/>
  <cols>
    <col min="1" max="1" width="8.28515625" style="325" customWidth="1"/>
    <col min="2" max="2" width="65.7109375" style="17" customWidth="1"/>
    <col min="3" max="4" width="10.7109375" style="17" customWidth="1"/>
    <col min="5" max="5" width="19" style="17" customWidth="1"/>
    <col min="6" max="6" width="10.7109375" style="17" customWidth="1"/>
    <col min="7" max="7" width="30.7109375" style="17" customWidth="1"/>
    <col min="8" max="8" width="8.7109375" style="17" customWidth="1"/>
    <col min="9" max="9" width="10.7109375" style="17" customWidth="1"/>
    <col min="10" max="11" width="15.7109375" style="17" customWidth="1"/>
    <col min="12" max="12" width="50.7109375" style="17" customWidth="1"/>
    <col min="13" max="16384" width="9.140625" style="17"/>
  </cols>
  <sheetData>
    <row r="1" spans="1:11" ht="31.5" x14ac:dyDescent="0.25">
      <c r="A1" s="60"/>
      <c r="B1" s="281" t="s">
        <v>96</v>
      </c>
      <c r="C1" s="42" t="s">
        <v>61</v>
      </c>
      <c r="D1" s="42" t="s">
        <v>62</v>
      </c>
      <c r="E1" s="61" t="s">
        <v>97</v>
      </c>
      <c r="F1" s="42" t="s">
        <v>98</v>
      </c>
      <c r="G1" s="281" t="s">
        <v>99</v>
      </c>
    </row>
    <row r="2" spans="1:11" ht="21" x14ac:dyDescent="0.25">
      <c r="A2" s="378" t="s">
        <v>26</v>
      </c>
      <c r="B2" s="379"/>
      <c r="C2" s="379"/>
      <c r="D2" s="380"/>
      <c r="E2" s="62">
        <v>15</v>
      </c>
      <c r="F2" s="63">
        <f>MIN(SUM(F3,F28,F54,F66), 15)</f>
        <v>0</v>
      </c>
      <c r="G2" s="64" t="s">
        <v>100</v>
      </c>
      <c r="H2" s="363"/>
      <c r="I2" s="364"/>
      <c r="J2" s="364"/>
      <c r="K2" s="364"/>
    </row>
    <row r="3" spans="1:11" x14ac:dyDescent="0.25">
      <c r="A3" s="65" t="s">
        <v>101</v>
      </c>
      <c r="B3" s="392" t="s">
        <v>102</v>
      </c>
      <c r="C3" s="392"/>
      <c r="D3" s="392"/>
      <c r="E3" s="66">
        <v>5</v>
      </c>
      <c r="F3" s="67">
        <f>MIN(SUM(F27,F23,F20,F16,F8),5)</f>
        <v>0</v>
      </c>
      <c r="G3" s="65"/>
      <c r="H3" s="363"/>
      <c r="I3" s="364"/>
      <c r="J3" s="364"/>
      <c r="K3" s="364"/>
    </row>
    <row r="4" spans="1:11" x14ac:dyDescent="0.25">
      <c r="A4" s="68" t="s">
        <v>103</v>
      </c>
      <c r="B4" s="69" t="s">
        <v>104</v>
      </c>
      <c r="C4" s="70"/>
      <c r="D4" s="71"/>
      <c r="E4" s="72"/>
      <c r="F4" s="73"/>
      <c r="G4" s="74"/>
      <c r="H4" s="363"/>
      <c r="I4" s="364"/>
      <c r="J4" s="364"/>
      <c r="K4" s="364"/>
    </row>
    <row r="5" spans="1:11" x14ac:dyDescent="0.25">
      <c r="A5" s="75" t="s">
        <v>105</v>
      </c>
      <c r="B5" s="76" t="s">
        <v>106</v>
      </c>
      <c r="C5" s="77"/>
      <c r="D5" s="78"/>
      <c r="E5" s="79"/>
      <c r="F5" s="80"/>
      <c r="G5" s="81"/>
      <c r="H5" s="363"/>
      <c r="I5" s="364"/>
      <c r="J5" s="364"/>
      <c r="K5" s="364"/>
    </row>
    <row r="6" spans="1:11" ht="47.25" x14ac:dyDescent="0.25">
      <c r="A6" s="295" t="s">
        <v>70</v>
      </c>
      <c r="B6" s="44" t="s">
        <v>107</v>
      </c>
      <c r="C6" s="4"/>
      <c r="D6" s="45" t="s">
        <v>65</v>
      </c>
      <c r="E6" s="284" t="s">
        <v>108</v>
      </c>
      <c r="F6" s="82">
        <f>IF(C6="Y",1,0)</f>
        <v>0</v>
      </c>
      <c r="G6" s="171"/>
      <c r="H6" s="363"/>
      <c r="I6" s="364"/>
      <c r="J6" s="364"/>
      <c r="K6" s="364"/>
    </row>
    <row r="7" spans="1:11" ht="47.25" x14ac:dyDescent="0.25">
      <c r="A7" s="295" t="s">
        <v>71</v>
      </c>
      <c r="B7" s="44" t="s">
        <v>109</v>
      </c>
      <c r="C7" s="4"/>
      <c r="D7" s="45" t="s">
        <v>65</v>
      </c>
      <c r="E7" s="292" t="s">
        <v>108</v>
      </c>
      <c r="F7" s="82">
        <f>IF((C7="Y")*AND(C6="Y"),1,0)</f>
        <v>0</v>
      </c>
      <c r="G7" s="171"/>
      <c r="H7" s="363"/>
      <c r="I7" s="364"/>
      <c r="J7" s="364"/>
      <c r="K7" s="364"/>
    </row>
    <row r="8" spans="1:11" x14ac:dyDescent="0.25">
      <c r="A8" s="83"/>
      <c r="B8" s="376" t="s">
        <v>110</v>
      </c>
      <c r="C8" s="377"/>
      <c r="D8" s="377"/>
      <c r="E8" s="377"/>
      <c r="F8" s="84">
        <f>MIN((F6+F7),2)</f>
        <v>0</v>
      </c>
      <c r="G8" s="85"/>
      <c r="H8" s="363"/>
      <c r="I8" s="364"/>
      <c r="J8" s="364"/>
      <c r="K8" s="364"/>
    </row>
    <row r="9" spans="1:11" x14ac:dyDescent="0.25">
      <c r="A9" s="86" t="s">
        <v>111</v>
      </c>
      <c r="B9" s="87" t="s">
        <v>112</v>
      </c>
      <c r="C9" s="88"/>
      <c r="D9" s="89"/>
      <c r="E9" s="79"/>
      <c r="F9" s="75"/>
      <c r="G9" s="81"/>
      <c r="H9" s="363"/>
      <c r="I9" s="364"/>
      <c r="J9" s="364"/>
      <c r="K9" s="364"/>
    </row>
    <row r="10" spans="1:11" ht="31.5" x14ac:dyDescent="0.25">
      <c r="A10" s="388" t="s">
        <v>70</v>
      </c>
      <c r="B10" s="90" t="s">
        <v>113</v>
      </c>
      <c r="C10" s="91"/>
      <c r="D10" s="92"/>
      <c r="E10" s="93"/>
      <c r="F10" s="52"/>
      <c r="G10" s="323"/>
      <c r="H10" s="363"/>
      <c r="I10" s="364"/>
      <c r="J10" s="364"/>
      <c r="K10" s="364"/>
    </row>
    <row r="11" spans="1:11" x14ac:dyDescent="0.25">
      <c r="A11" s="389"/>
      <c r="B11" s="94" t="s">
        <v>114</v>
      </c>
      <c r="C11" s="95" t="s">
        <v>115</v>
      </c>
      <c r="D11" s="96" t="s">
        <v>115</v>
      </c>
      <c r="E11" s="284" t="s">
        <v>115</v>
      </c>
      <c r="F11" s="96" t="s">
        <v>115</v>
      </c>
      <c r="G11" s="323"/>
      <c r="H11" s="363"/>
      <c r="I11" s="364"/>
      <c r="J11" s="364"/>
      <c r="K11" s="364"/>
    </row>
    <row r="12" spans="1:11" x14ac:dyDescent="0.25">
      <c r="A12" s="389"/>
      <c r="B12" s="94" t="s">
        <v>116</v>
      </c>
      <c r="C12" s="95" t="s">
        <v>115</v>
      </c>
      <c r="D12" s="96" t="s">
        <v>115</v>
      </c>
      <c r="E12" s="284" t="s">
        <v>115</v>
      </c>
      <c r="F12" s="96" t="s">
        <v>115</v>
      </c>
      <c r="G12" s="323"/>
      <c r="H12" s="363"/>
      <c r="I12" s="364"/>
      <c r="J12" s="364"/>
      <c r="K12" s="364"/>
    </row>
    <row r="13" spans="1:11" x14ac:dyDescent="0.25">
      <c r="A13" s="389"/>
      <c r="B13" s="94" t="s">
        <v>117</v>
      </c>
      <c r="C13" s="95" t="s">
        <v>115</v>
      </c>
      <c r="D13" s="96" t="s">
        <v>115</v>
      </c>
      <c r="E13" s="284" t="s">
        <v>115</v>
      </c>
      <c r="F13" s="96" t="s">
        <v>115</v>
      </c>
      <c r="G13" s="323"/>
      <c r="H13" s="363"/>
      <c r="I13" s="364"/>
      <c r="J13" s="364"/>
      <c r="K13" s="364"/>
    </row>
    <row r="14" spans="1:11" x14ac:dyDescent="0.25">
      <c r="A14" s="390" t="s">
        <v>71</v>
      </c>
      <c r="B14" s="93" t="s">
        <v>118</v>
      </c>
      <c r="C14" s="95" t="s">
        <v>115</v>
      </c>
      <c r="D14" s="96" t="s">
        <v>115</v>
      </c>
      <c r="E14" s="284" t="s">
        <v>115</v>
      </c>
      <c r="F14" s="96" t="s">
        <v>115</v>
      </c>
      <c r="G14" s="323"/>
      <c r="H14" s="363"/>
      <c r="I14" s="364"/>
      <c r="J14" s="364"/>
      <c r="K14" s="364"/>
    </row>
    <row r="15" spans="1:11" x14ac:dyDescent="0.25">
      <c r="A15" s="390"/>
      <c r="B15" s="92" t="s">
        <v>119</v>
      </c>
      <c r="C15" s="170"/>
      <c r="D15" s="53" t="s">
        <v>73</v>
      </c>
      <c r="E15" s="97" t="s">
        <v>108</v>
      </c>
      <c r="F15" s="296">
        <f>IF((C15&gt;=90),1,0)</f>
        <v>0</v>
      </c>
      <c r="G15" s="171"/>
      <c r="H15" s="363"/>
      <c r="I15" s="364"/>
      <c r="J15" s="364"/>
      <c r="K15" s="364"/>
    </row>
    <row r="16" spans="1:11" x14ac:dyDescent="0.25">
      <c r="A16" s="98"/>
      <c r="B16" s="376" t="s">
        <v>120</v>
      </c>
      <c r="C16" s="377"/>
      <c r="D16" s="377"/>
      <c r="E16" s="391"/>
      <c r="F16" s="84">
        <f>F15</f>
        <v>0</v>
      </c>
      <c r="G16" s="99"/>
      <c r="H16" s="363"/>
      <c r="I16" s="364"/>
      <c r="J16" s="364"/>
      <c r="K16" s="364"/>
    </row>
    <row r="17" spans="1:11" x14ac:dyDescent="0.25">
      <c r="A17" s="68" t="s">
        <v>121</v>
      </c>
      <c r="B17" s="100" t="s">
        <v>122</v>
      </c>
      <c r="C17" s="101"/>
      <c r="D17" s="102"/>
      <c r="E17" s="103"/>
      <c r="F17" s="104"/>
      <c r="G17" s="105"/>
      <c r="H17" s="363"/>
      <c r="I17" s="364"/>
      <c r="J17" s="364"/>
      <c r="K17" s="364"/>
    </row>
    <row r="18" spans="1:11" x14ac:dyDescent="0.25">
      <c r="A18" s="75" t="s">
        <v>123</v>
      </c>
      <c r="B18" s="106" t="s">
        <v>124</v>
      </c>
      <c r="C18" s="107"/>
      <c r="D18" s="108"/>
      <c r="E18" s="79"/>
      <c r="F18" s="109"/>
      <c r="G18" s="81"/>
      <c r="H18" s="363"/>
      <c r="I18" s="364"/>
      <c r="J18" s="364"/>
      <c r="K18" s="364"/>
    </row>
    <row r="19" spans="1:11" ht="126" x14ac:dyDescent="0.25">
      <c r="A19" s="52"/>
      <c r="B19" s="110" t="s">
        <v>125</v>
      </c>
      <c r="C19" s="4"/>
      <c r="D19" s="45" t="s">
        <v>65</v>
      </c>
      <c r="E19" s="284" t="s">
        <v>126</v>
      </c>
      <c r="F19" s="82">
        <f>IF(C19="Y",2,0)</f>
        <v>0</v>
      </c>
      <c r="G19" s="171"/>
      <c r="H19" s="363"/>
      <c r="I19" s="364"/>
      <c r="J19" s="364"/>
      <c r="K19" s="364"/>
    </row>
    <row r="20" spans="1:11" x14ac:dyDescent="0.25">
      <c r="A20" s="111"/>
      <c r="B20" s="376" t="s">
        <v>127</v>
      </c>
      <c r="C20" s="377"/>
      <c r="D20" s="377"/>
      <c r="E20" s="377"/>
      <c r="F20" s="84">
        <f>F19</f>
        <v>0</v>
      </c>
      <c r="G20" s="112"/>
      <c r="H20" s="363"/>
      <c r="I20" s="364"/>
      <c r="J20" s="364"/>
      <c r="K20" s="364"/>
    </row>
    <row r="21" spans="1:11" x14ac:dyDescent="0.25">
      <c r="A21" s="75" t="s">
        <v>128</v>
      </c>
      <c r="B21" s="106" t="s">
        <v>129</v>
      </c>
      <c r="C21" s="113"/>
      <c r="D21" s="114"/>
      <c r="E21" s="79"/>
      <c r="F21" s="109"/>
      <c r="G21" s="81"/>
      <c r="H21" s="363"/>
      <c r="I21" s="364"/>
      <c r="J21" s="364"/>
      <c r="K21" s="364"/>
    </row>
    <row r="22" spans="1:11" ht="63" x14ac:dyDescent="0.25">
      <c r="A22" s="295"/>
      <c r="B22" s="115" t="s">
        <v>130</v>
      </c>
      <c r="C22" s="170"/>
      <c r="D22" s="53" t="s">
        <v>73</v>
      </c>
      <c r="E22" s="116" t="s">
        <v>131</v>
      </c>
      <c r="F22" s="117">
        <f>IF(AND(C22&gt;=50, C22&lt;80),0.5,0) + IF(C22&gt;=80,1,0)</f>
        <v>0</v>
      </c>
      <c r="G22" s="172"/>
      <c r="H22" s="363"/>
      <c r="I22" s="364"/>
      <c r="J22" s="364"/>
      <c r="K22" s="364"/>
    </row>
    <row r="23" spans="1:11" x14ac:dyDescent="0.25">
      <c r="A23" s="83"/>
      <c r="B23" s="376" t="s">
        <v>132</v>
      </c>
      <c r="C23" s="377"/>
      <c r="D23" s="377"/>
      <c r="E23" s="377"/>
      <c r="F23" s="118">
        <f>MIN(F22, 1)</f>
        <v>0</v>
      </c>
      <c r="G23" s="83"/>
      <c r="H23" s="363"/>
      <c r="I23" s="364"/>
      <c r="J23" s="364"/>
      <c r="K23" s="364"/>
    </row>
    <row r="24" spans="1:11" x14ac:dyDescent="0.25">
      <c r="A24" s="68" t="s">
        <v>133</v>
      </c>
      <c r="B24" s="100" t="s">
        <v>134</v>
      </c>
      <c r="C24" s="119"/>
      <c r="D24" s="120"/>
      <c r="E24" s="103"/>
      <c r="F24" s="103"/>
      <c r="G24" s="105"/>
      <c r="H24" s="363"/>
      <c r="I24" s="364"/>
      <c r="J24" s="364"/>
      <c r="K24" s="364"/>
    </row>
    <row r="25" spans="1:11" x14ac:dyDescent="0.25">
      <c r="A25" s="75" t="s">
        <v>133</v>
      </c>
      <c r="B25" s="106" t="s">
        <v>135</v>
      </c>
      <c r="C25" s="107"/>
      <c r="D25" s="108"/>
      <c r="E25" s="79"/>
      <c r="F25" s="121"/>
      <c r="G25" s="122"/>
      <c r="H25" s="363"/>
      <c r="I25" s="364"/>
      <c r="J25" s="364"/>
      <c r="K25" s="364"/>
    </row>
    <row r="26" spans="1:11" ht="47.25" x14ac:dyDescent="0.25">
      <c r="A26" s="52"/>
      <c r="B26" s="110" t="s">
        <v>136</v>
      </c>
      <c r="C26" s="4"/>
      <c r="D26" s="45" t="s">
        <v>65</v>
      </c>
      <c r="E26" s="284" t="s">
        <v>126</v>
      </c>
      <c r="F26" s="82">
        <f>IF(C26="Y",2,0)</f>
        <v>0</v>
      </c>
      <c r="G26" s="171"/>
      <c r="H26" s="363"/>
      <c r="I26" s="364"/>
      <c r="J26" s="364"/>
      <c r="K26" s="364"/>
    </row>
    <row r="27" spans="1:11" x14ac:dyDescent="0.25">
      <c r="A27" s="85"/>
      <c r="B27" s="376" t="s">
        <v>137</v>
      </c>
      <c r="C27" s="377"/>
      <c r="D27" s="377"/>
      <c r="E27" s="377"/>
      <c r="F27" s="118">
        <f>F26</f>
        <v>0</v>
      </c>
      <c r="G27" s="112"/>
      <c r="H27" s="363"/>
      <c r="I27" s="364"/>
      <c r="J27" s="364"/>
      <c r="K27" s="364"/>
    </row>
    <row r="28" spans="1:11" x14ac:dyDescent="0.25">
      <c r="A28" s="65" t="s">
        <v>138</v>
      </c>
      <c r="B28" s="393" t="s">
        <v>139</v>
      </c>
      <c r="C28" s="394"/>
      <c r="D28" s="395"/>
      <c r="E28" s="123">
        <v>5</v>
      </c>
      <c r="F28" s="124">
        <f>MIN(SUM(F53,F47,F39,F35),5)</f>
        <v>0</v>
      </c>
      <c r="G28" s="125"/>
      <c r="H28" s="363"/>
      <c r="I28" s="364"/>
      <c r="J28" s="364"/>
      <c r="K28" s="364"/>
    </row>
    <row r="29" spans="1:11" x14ac:dyDescent="0.25">
      <c r="A29" s="126" t="s">
        <v>140</v>
      </c>
      <c r="B29" s="383" t="s">
        <v>141</v>
      </c>
      <c r="C29" s="384"/>
      <c r="D29" s="127"/>
      <c r="E29" s="128"/>
      <c r="F29" s="129"/>
      <c r="G29" s="74"/>
      <c r="H29" s="363"/>
      <c r="I29" s="364"/>
      <c r="J29" s="364"/>
      <c r="K29" s="364"/>
    </row>
    <row r="30" spans="1:11" x14ac:dyDescent="0.25">
      <c r="A30" s="130" t="s">
        <v>142</v>
      </c>
      <c r="B30" s="131" t="s">
        <v>143</v>
      </c>
      <c r="C30" s="131"/>
      <c r="D30" s="132"/>
      <c r="E30" s="79"/>
      <c r="F30" s="133"/>
      <c r="G30" s="134"/>
      <c r="H30" s="363"/>
      <c r="I30" s="364"/>
      <c r="J30" s="364"/>
      <c r="K30" s="364"/>
    </row>
    <row r="31" spans="1:11" ht="31.5" x14ac:dyDescent="0.25">
      <c r="A31" s="381" t="s">
        <v>70</v>
      </c>
      <c r="B31" s="135" t="s">
        <v>144</v>
      </c>
      <c r="C31" s="136"/>
      <c r="D31" s="137"/>
      <c r="E31" s="137"/>
      <c r="F31" s="138"/>
      <c r="G31" s="171"/>
      <c r="I31" s="139"/>
      <c r="J31" s="140" t="s">
        <v>145</v>
      </c>
      <c r="K31" s="141"/>
    </row>
    <row r="32" spans="1:11" ht="26.45" customHeight="1" x14ac:dyDescent="0.25">
      <c r="A32" s="382"/>
      <c r="B32" s="137" t="s">
        <v>146</v>
      </c>
      <c r="C32" s="173"/>
      <c r="D32" s="53" t="s">
        <v>68</v>
      </c>
      <c r="E32" s="386" t="s">
        <v>147</v>
      </c>
      <c r="F32" s="373">
        <f>MIN(SUM(C32*0.25,C33*0.5),0.5)</f>
        <v>0</v>
      </c>
      <c r="G32" s="171"/>
      <c r="I32" s="142">
        <f>IF(C32&gt;0,C32*0.25,0)</f>
        <v>0</v>
      </c>
      <c r="J32" s="365">
        <f>IF(SUM(I32+I33)&gt;=0.5,"0.5",I32+I33)</f>
        <v>0</v>
      </c>
      <c r="K32" s="366" t="s">
        <v>148</v>
      </c>
    </row>
    <row r="33" spans="1:11" ht="27" customHeight="1" x14ac:dyDescent="0.25">
      <c r="A33" s="385"/>
      <c r="B33" s="137" t="s">
        <v>149</v>
      </c>
      <c r="C33" s="173"/>
      <c r="D33" s="53" t="s">
        <v>68</v>
      </c>
      <c r="E33" s="387"/>
      <c r="F33" s="374"/>
      <c r="G33" s="171"/>
      <c r="I33" s="142">
        <f>IF(C33&gt;0,C33*0.5,0)</f>
        <v>0</v>
      </c>
      <c r="J33" s="365"/>
      <c r="K33" s="367"/>
    </row>
    <row r="34" spans="1:11" ht="39.75" customHeight="1" x14ac:dyDescent="0.25">
      <c r="A34" s="303" t="s">
        <v>71</v>
      </c>
      <c r="B34" s="137" t="s">
        <v>150</v>
      </c>
      <c r="C34" s="173"/>
      <c r="D34" s="53" t="s">
        <v>68</v>
      </c>
      <c r="E34" s="143" t="s">
        <v>151</v>
      </c>
      <c r="F34" s="82">
        <f>IF(I34&gt;=0.5,0.5,I34)</f>
        <v>0</v>
      </c>
      <c r="G34" s="171"/>
      <c r="I34" s="142">
        <f>IF(C34&gt;0,C34*0.25,0)</f>
        <v>0</v>
      </c>
      <c r="J34" s="144">
        <f>IF(I34&gt;=0.5,"0.5",I34)</f>
        <v>0</v>
      </c>
      <c r="K34" s="282" t="s">
        <v>148</v>
      </c>
    </row>
    <row r="35" spans="1:11" x14ac:dyDescent="0.25">
      <c r="A35" s="145"/>
      <c r="B35" s="376" t="s">
        <v>152</v>
      </c>
      <c r="C35" s="377"/>
      <c r="D35" s="377"/>
      <c r="E35" s="377"/>
      <c r="F35" s="146">
        <f>MIN(F32+F34,1)</f>
        <v>0</v>
      </c>
      <c r="G35" s="83"/>
      <c r="H35" s="363"/>
      <c r="I35" s="364"/>
      <c r="J35" s="364"/>
      <c r="K35" s="364"/>
    </row>
    <row r="36" spans="1:11" x14ac:dyDescent="0.25">
      <c r="A36" s="130" t="s">
        <v>153</v>
      </c>
      <c r="B36" s="131" t="s">
        <v>154</v>
      </c>
      <c r="C36" s="131"/>
      <c r="D36" s="131"/>
      <c r="E36" s="79"/>
      <c r="F36" s="147"/>
      <c r="G36" s="81"/>
      <c r="H36" s="363"/>
      <c r="I36" s="364"/>
      <c r="J36" s="364"/>
      <c r="K36" s="364"/>
    </row>
    <row r="37" spans="1:11" ht="31.5" x14ac:dyDescent="0.25">
      <c r="A37" s="283" t="s">
        <v>70</v>
      </c>
      <c r="B37" s="148" t="s">
        <v>155</v>
      </c>
      <c r="C37" s="4"/>
      <c r="D37" s="45" t="s">
        <v>65</v>
      </c>
      <c r="E37" s="284" t="s">
        <v>108</v>
      </c>
      <c r="F37" s="82">
        <f>IF(C37="Y",1,0)</f>
        <v>0</v>
      </c>
      <c r="G37" s="172"/>
      <c r="H37" s="363"/>
      <c r="I37" s="364"/>
      <c r="J37" s="364"/>
      <c r="K37" s="364"/>
    </row>
    <row r="38" spans="1:11" ht="31.5" x14ac:dyDescent="0.25">
      <c r="A38" s="303" t="s">
        <v>71</v>
      </c>
      <c r="B38" s="149" t="s">
        <v>156</v>
      </c>
      <c r="C38" s="95" t="s">
        <v>115</v>
      </c>
      <c r="D38" s="96" t="s">
        <v>115</v>
      </c>
      <c r="E38" s="284" t="s">
        <v>115</v>
      </c>
      <c r="F38" s="96" t="s">
        <v>115</v>
      </c>
      <c r="G38" s="174"/>
      <c r="H38" s="363"/>
      <c r="I38" s="364"/>
      <c r="J38" s="364"/>
      <c r="K38" s="364"/>
    </row>
    <row r="39" spans="1:11" x14ac:dyDescent="0.25">
      <c r="A39" s="145"/>
      <c r="B39" s="376" t="s">
        <v>157</v>
      </c>
      <c r="C39" s="377"/>
      <c r="D39" s="377"/>
      <c r="E39" s="377"/>
      <c r="F39" s="84">
        <f>MIN(SUM(F37,F38),2)</f>
        <v>0</v>
      </c>
      <c r="G39" s="150"/>
      <c r="H39" s="363"/>
      <c r="I39" s="364"/>
      <c r="J39" s="364"/>
      <c r="K39" s="364"/>
    </row>
    <row r="40" spans="1:11" x14ac:dyDescent="0.25">
      <c r="A40" s="126" t="s">
        <v>158</v>
      </c>
      <c r="B40" s="151" t="s">
        <v>159</v>
      </c>
      <c r="C40" s="152"/>
      <c r="D40" s="127"/>
      <c r="E40" s="128"/>
      <c r="F40" s="129"/>
      <c r="G40" s="74"/>
      <c r="H40" s="363"/>
      <c r="I40" s="364"/>
      <c r="J40" s="364"/>
      <c r="K40" s="364"/>
    </row>
    <row r="41" spans="1:11" ht="31.5" x14ac:dyDescent="0.25">
      <c r="A41" s="130"/>
      <c r="B41" s="131" t="s">
        <v>160</v>
      </c>
      <c r="C41" s="131"/>
      <c r="D41" s="131"/>
      <c r="E41" s="153"/>
      <c r="F41" s="133"/>
      <c r="G41" s="134"/>
      <c r="H41" s="363"/>
      <c r="I41" s="364"/>
      <c r="J41" s="364"/>
      <c r="K41" s="364"/>
    </row>
    <row r="42" spans="1:11" x14ac:dyDescent="0.25">
      <c r="A42" s="381" t="s">
        <v>70</v>
      </c>
      <c r="B42" s="135" t="s">
        <v>161</v>
      </c>
      <c r="C42" s="136"/>
      <c r="D42" s="137"/>
      <c r="E42" s="154"/>
      <c r="F42" s="154"/>
      <c r="G42" s="171"/>
      <c r="H42" s="363"/>
      <c r="I42" s="364"/>
      <c r="J42" s="364"/>
      <c r="K42" s="364"/>
    </row>
    <row r="43" spans="1:11" x14ac:dyDescent="0.25">
      <c r="A43" s="382"/>
      <c r="B43" s="137" t="s">
        <v>162</v>
      </c>
      <c r="C43" s="4"/>
      <c r="D43" s="45" t="s">
        <v>65</v>
      </c>
      <c r="E43" s="284" t="s">
        <v>163</v>
      </c>
      <c r="F43" s="82">
        <f t="shared" ref="F43:F46" si="0">IF(C43="Y",0.5,0)</f>
        <v>0</v>
      </c>
      <c r="G43" s="174"/>
      <c r="H43" s="363"/>
      <c r="I43" s="364"/>
      <c r="J43" s="364"/>
      <c r="K43" s="364"/>
    </row>
    <row r="44" spans="1:11" x14ac:dyDescent="0.25">
      <c r="A44" s="382"/>
      <c r="B44" s="137" t="s">
        <v>164</v>
      </c>
      <c r="C44" s="4"/>
      <c r="D44" s="45" t="s">
        <v>65</v>
      </c>
      <c r="E44" s="284" t="s">
        <v>163</v>
      </c>
      <c r="F44" s="82">
        <f t="shared" si="0"/>
        <v>0</v>
      </c>
      <c r="G44" s="174"/>
      <c r="H44" s="363"/>
      <c r="I44" s="364"/>
      <c r="J44" s="364"/>
      <c r="K44" s="364"/>
    </row>
    <row r="45" spans="1:11" ht="31.5" x14ac:dyDescent="0.25">
      <c r="A45" s="286" t="s">
        <v>71</v>
      </c>
      <c r="B45" s="155" t="s">
        <v>165</v>
      </c>
      <c r="C45" s="4"/>
      <c r="D45" s="45" t="s">
        <v>65</v>
      </c>
      <c r="E45" s="284" t="s">
        <v>163</v>
      </c>
      <c r="F45" s="82">
        <f t="shared" si="0"/>
        <v>0</v>
      </c>
      <c r="G45" s="175"/>
      <c r="H45" s="363"/>
      <c r="I45" s="364"/>
      <c r="J45" s="364"/>
      <c r="K45" s="364"/>
    </row>
    <row r="46" spans="1:11" ht="63" x14ac:dyDescent="0.25">
      <c r="A46" s="286" t="s">
        <v>74</v>
      </c>
      <c r="B46" s="155" t="s">
        <v>166</v>
      </c>
      <c r="C46" s="5"/>
      <c r="D46" s="156" t="s">
        <v>65</v>
      </c>
      <c r="E46" s="291" t="s">
        <v>163</v>
      </c>
      <c r="F46" s="157">
        <f t="shared" si="0"/>
        <v>0</v>
      </c>
      <c r="G46" s="174"/>
      <c r="H46" s="363"/>
      <c r="I46" s="364"/>
      <c r="J46" s="364"/>
      <c r="K46" s="364"/>
    </row>
    <row r="47" spans="1:11" x14ac:dyDescent="0.25">
      <c r="A47" s="145"/>
      <c r="B47" s="375" t="s">
        <v>167</v>
      </c>
      <c r="C47" s="375"/>
      <c r="D47" s="375"/>
      <c r="E47" s="375"/>
      <c r="F47" s="146">
        <f>MIN(F43+F44+F45+F46,1)</f>
        <v>0</v>
      </c>
      <c r="G47" s="85"/>
      <c r="H47" s="363"/>
      <c r="I47" s="364"/>
      <c r="J47" s="364"/>
      <c r="K47" s="364"/>
    </row>
    <row r="48" spans="1:11" x14ac:dyDescent="0.25">
      <c r="A48" s="126" t="s">
        <v>168</v>
      </c>
      <c r="B48" s="151" t="s">
        <v>169</v>
      </c>
      <c r="C48" s="152"/>
      <c r="D48" s="127"/>
      <c r="E48" s="128"/>
      <c r="F48" s="129"/>
      <c r="G48" s="74"/>
      <c r="H48" s="363"/>
      <c r="I48" s="364"/>
      <c r="J48" s="364"/>
      <c r="K48" s="364"/>
    </row>
    <row r="49" spans="1:11" ht="31.5" x14ac:dyDescent="0.25">
      <c r="A49" s="158"/>
      <c r="B49" s="159" t="s">
        <v>170</v>
      </c>
      <c r="C49" s="132"/>
      <c r="D49" s="132"/>
      <c r="E49" s="160"/>
      <c r="F49" s="133"/>
      <c r="G49" s="134"/>
      <c r="H49" s="363"/>
      <c r="I49" s="364"/>
      <c r="J49" s="364"/>
      <c r="K49" s="364"/>
    </row>
    <row r="50" spans="1:11" ht="31.5" x14ac:dyDescent="0.25">
      <c r="A50" s="303" t="s">
        <v>70</v>
      </c>
      <c r="B50" s="161" t="s">
        <v>171</v>
      </c>
      <c r="C50" s="4"/>
      <c r="D50" s="45" t="s">
        <v>65</v>
      </c>
      <c r="E50" s="284" t="s">
        <v>126</v>
      </c>
      <c r="F50" s="82">
        <f>IF(C50="Y",2,0)</f>
        <v>0</v>
      </c>
      <c r="G50" s="171"/>
      <c r="H50" s="363"/>
      <c r="I50" s="364"/>
      <c r="J50" s="364"/>
      <c r="K50" s="364"/>
    </row>
    <row r="51" spans="1:11" ht="47.25" x14ac:dyDescent="0.25">
      <c r="A51" s="303" t="s">
        <v>71</v>
      </c>
      <c r="B51" s="161" t="s">
        <v>172</v>
      </c>
      <c r="C51" s="4"/>
      <c r="D51" s="45" t="s">
        <v>65</v>
      </c>
      <c r="E51" s="284" t="s">
        <v>108</v>
      </c>
      <c r="F51" s="82">
        <f>IF((C51="Y")*AND(C50="Y"),1,0)</f>
        <v>0</v>
      </c>
      <c r="G51" s="171"/>
      <c r="H51" s="363"/>
      <c r="I51" s="364"/>
      <c r="J51" s="364"/>
      <c r="K51" s="364"/>
    </row>
    <row r="52" spans="1:11" ht="31.5" x14ac:dyDescent="0.25">
      <c r="A52" s="303" t="s">
        <v>74</v>
      </c>
      <c r="B52" s="149" t="s">
        <v>173</v>
      </c>
      <c r="C52" s="95" t="s">
        <v>115</v>
      </c>
      <c r="D52" s="284" t="s">
        <v>115</v>
      </c>
      <c r="E52" s="284" t="s">
        <v>115</v>
      </c>
      <c r="F52" s="162" t="s">
        <v>115</v>
      </c>
      <c r="G52" s="171"/>
      <c r="H52" s="363"/>
      <c r="I52" s="364"/>
      <c r="J52" s="364"/>
      <c r="K52" s="364"/>
    </row>
    <row r="53" spans="1:11" x14ac:dyDescent="0.25">
      <c r="A53" s="145"/>
      <c r="B53" s="376" t="s">
        <v>174</v>
      </c>
      <c r="C53" s="377"/>
      <c r="D53" s="377"/>
      <c r="E53" s="377"/>
      <c r="F53" s="146">
        <f>MIN((F50+F51),3)</f>
        <v>0</v>
      </c>
      <c r="G53" s="85"/>
      <c r="H53" s="363"/>
      <c r="I53" s="364"/>
      <c r="J53" s="364"/>
      <c r="K53" s="364"/>
    </row>
    <row r="54" spans="1:11" x14ac:dyDescent="0.25">
      <c r="A54" s="65" t="s">
        <v>175</v>
      </c>
      <c r="B54" s="392" t="s">
        <v>176</v>
      </c>
      <c r="C54" s="392"/>
      <c r="D54" s="392"/>
      <c r="E54" s="65">
        <v>5</v>
      </c>
      <c r="F54" s="67">
        <f>MIN(SUM(F65,F60),5)</f>
        <v>0</v>
      </c>
      <c r="G54" s="65"/>
      <c r="H54" s="363"/>
      <c r="I54" s="364"/>
      <c r="J54" s="364"/>
      <c r="K54" s="364"/>
    </row>
    <row r="55" spans="1:11" x14ac:dyDescent="0.25">
      <c r="A55" s="126" t="s">
        <v>177</v>
      </c>
      <c r="B55" s="151" t="s">
        <v>178</v>
      </c>
      <c r="C55" s="152"/>
      <c r="D55" s="127"/>
      <c r="E55" s="128"/>
      <c r="F55" s="163"/>
      <c r="G55" s="74"/>
      <c r="H55" s="363"/>
      <c r="I55" s="364"/>
      <c r="J55" s="364"/>
      <c r="K55" s="364"/>
    </row>
    <row r="56" spans="1:11" ht="31.5" x14ac:dyDescent="0.25">
      <c r="A56" s="164"/>
      <c r="B56" s="159" t="s">
        <v>179</v>
      </c>
      <c r="C56" s="165"/>
      <c r="D56" s="165"/>
      <c r="E56" s="160"/>
      <c r="F56" s="164"/>
      <c r="G56" s="81"/>
      <c r="H56" s="363"/>
      <c r="I56" s="364"/>
      <c r="J56" s="364"/>
      <c r="K56" s="364"/>
    </row>
    <row r="57" spans="1:11" x14ac:dyDescent="0.25">
      <c r="A57" s="303" t="s">
        <v>70</v>
      </c>
      <c r="B57" s="149" t="s">
        <v>180</v>
      </c>
      <c r="C57" s="4"/>
      <c r="D57" s="53" t="s">
        <v>68</v>
      </c>
      <c r="E57" s="284" t="s">
        <v>108</v>
      </c>
      <c r="F57" s="82">
        <f>IF(C57&gt;5,1,0)</f>
        <v>0</v>
      </c>
      <c r="G57" s="171"/>
      <c r="H57" s="363"/>
      <c r="I57" s="364"/>
      <c r="J57" s="364"/>
      <c r="K57" s="364"/>
    </row>
    <row r="58" spans="1:11" ht="31.5" x14ac:dyDescent="0.25">
      <c r="A58" s="303" t="s">
        <v>71</v>
      </c>
      <c r="B58" s="149" t="s">
        <v>181</v>
      </c>
      <c r="C58" s="4"/>
      <c r="D58" s="45" t="s">
        <v>65</v>
      </c>
      <c r="E58" s="284" t="s">
        <v>108</v>
      </c>
      <c r="F58" s="82">
        <f t="shared" ref="F58:F59" si="1">IF(C58="Y",1,0)</f>
        <v>0</v>
      </c>
      <c r="G58" s="171"/>
      <c r="H58" s="363"/>
      <c r="I58" s="364"/>
      <c r="J58" s="364"/>
      <c r="K58" s="364"/>
    </row>
    <row r="59" spans="1:11" ht="47.25" x14ac:dyDescent="0.25">
      <c r="A59" s="303" t="s">
        <v>74</v>
      </c>
      <c r="B59" s="149" t="s">
        <v>182</v>
      </c>
      <c r="C59" s="4"/>
      <c r="D59" s="45" t="s">
        <v>65</v>
      </c>
      <c r="E59" s="284" t="s">
        <v>108</v>
      </c>
      <c r="F59" s="82">
        <f t="shared" si="1"/>
        <v>0</v>
      </c>
      <c r="G59" s="171"/>
      <c r="H59" s="363"/>
      <c r="I59" s="364"/>
      <c r="J59" s="364"/>
      <c r="K59" s="364"/>
    </row>
    <row r="60" spans="1:11" x14ac:dyDescent="0.25">
      <c r="A60" s="145"/>
      <c r="B60" s="376" t="s">
        <v>183</v>
      </c>
      <c r="C60" s="377"/>
      <c r="D60" s="377"/>
      <c r="E60" s="377"/>
      <c r="F60" s="146">
        <f>MIN(F57+F58+F59,3)</f>
        <v>0</v>
      </c>
      <c r="G60" s="112"/>
      <c r="H60" s="363"/>
      <c r="I60" s="364"/>
      <c r="J60" s="364"/>
      <c r="K60" s="364"/>
    </row>
    <row r="61" spans="1:11" x14ac:dyDescent="0.25">
      <c r="A61" s="126" t="s">
        <v>184</v>
      </c>
      <c r="B61" s="383" t="s">
        <v>185</v>
      </c>
      <c r="C61" s="384"/>
      <c r="D61" s="127"/>
      <c r="E61" s="128"/>
      <c r="F61" s="163"/>
      <c r="G61" s="74"/>
      <c r="H61" s="363"/>
      <c r="I61" s="364"/>
      <c r="J61" s="364"/>
      <c r="K61" s="364"/>
    </row>
    <row r="62" spans="1:11" ht="47.25" x14ac:dyDescent="0.25">
      <c r="A62" s="166"/>
      <c r="B62" s="131" t="s">
        <v>186</v>
      </c>
      <c r="C62" s="167"/>
      <c r="D62" s="167"/>
      <c r="E62" s="147"/>
      <c r="F62" s="164"/>
      <c r="G62" s="81"/>
      <c r="H62" s="363"/>
      <c r="I62" s="364"/>
      <c r="J62" s="364"/>
      <c r="K62" s="364"/>
    </row>
    <row r="63" spans="1:11" ht="63" x14ac:dyDescent="0.25">
      <c r="A63" s="303" t="s">
        <v>70</v>
      </c>
      <c r="B63" s="137" t="s">
        <v>187</v>
      </c>
      <c r="C63" s="4"/>
      <c r="D63" s="45" t="s">
        <v>65</v>
      </c>
      <c r="E63" s="284" t="s">
        <v>126</v>
      </c>
      <c r="F63" s="82">
        <f t="shared" ref="F63:F64" si="2">IF(C63="Y",2,0)</f>
        <v>0</v>
      </c>
      <c r="G63" s="171"/>
      <c r="H63" s="363"/>
      <c r="I63" s="364"/>
      <c r="J63" s="364"/>
      <c r="K63" s="364"/>
    </row>
    <row r="64" spans="1:11" ht="63" x14ac:dyDescent="0.25">
      <c r="A64" s="303" t="s">
        <v>71</v>
      </c>
      <c r="B64" s="137" t="s">
        <v>188</v>
      </c>
      <c r="C64" s="4"/>
      <c r="D64" s="45" t="s">
        <v>65</v>
      </c>
      <c r="E64" s="284" t="s">
        <v>126</v>
      </c>
      <c r="F64" s="82">
        <f t="shared" si="2"/>
        <v>0</v>
      </c>
      <c r="G64" s="171"/>
      <c r="H64" s="363"/>
      <c r="I64" s="364"/>
      <c r="J64" s="364"/>
      <c r="K64" s="364"/>
    </row>
    <row r="65" spans="1:11" x14ac:dyDescent="0.25">
      <c r="A65" s="145"/>
      <c r="B65" s="376" t="s">
        <v>189</v>
      </c>
      <c r="C65" s="377"/>
      <c r="D65" s="377"/>
      <c r="E65" s="377"/>
      <c r="F65" s="146">
        <f>MIN(F63+F64,4)</f>
        <v>0</v>
      </c>
      <c r="G65" s="85"/>
      <c r="H65" s="363"/>
      <c r="I65" s="364"/>
      <c r="J65" s="364"/>
      <c r="K65" s="364"/>
    </row>
    <row r="66" spans="1:11" x14ac:dyDescent="0.25">
      <c r="A66" s="65"/>
      <c r="B66" s="392" t="s">
        <v>190</v>
      </c>
      <c r="C66" s="392"/>
      <c r="D66" s="392"/>
      <c r="E66" s="66">
        <v>2</v>
      </c>
      <c r="F66" s="67">
        <f>MIN(F68+F69,2)</f>
        <v>0</v>
      </c>
      <c r="G66" s="65"/>
      <c r="H66" s="363"/>
      <c r="I66" s="364"/>
      <c r="J66" s="364"/>
      <c r="K66" s="364"/>
    </row>
    <row r="67" spans="1:11" ht="110.25" x14ac:dyDescent="0.25">
      <c r="A67" s="130"/>
      <c r="B67" s="168" t="s">
        <v>191</v>
      </c>
      <c r="C67" s="147"/>
      <c r="D67" s="147"/>
      <c r="E67" s="147" t="s">
        <v>192</v>
      </c>
      <c r="F67" s="122"/>
      <c r="G67" s="113" t="s">
        <v>193</v>
      </c>
      <c r="H67" s="363"/>
      <c r="I67" s="364"/>
      <c r="J67" s="364"/>
      <c r="K67" s="364"/>
    </row>
    <row r="68" spans="1:11" ht="136.5" customHeight="1" x14ac:dyDescent="0.25">
      <c r="A68" s="368"/>
      <c r="B68" s="370" t="s">
        <v>194</v>
      </c>
      <c r="C68" s="176"/>
      <c r="D68" s="169" t="s">
        <v>68</v>
      </c>
      <c r="E68" s="372" t="s">
        <v>195</v>
      </c>
      <c r="F68" s="82">
        <f>C68</f>
        <v>0</v>
      </c>
      <c r="G68" s="177" t="s">
        <v>196</v>
      </c>
      <c r="H68" s="363"/>
      <c r="I68" s="364"/>
      <c r="J68" s="364"/>
      <c r="K68" s="364"/>
    </row>
    <row r="69" spans="1:11" ht="135.94999999999999" customHeight="1" x14ac:dyDescent="0.25">
      <c r="A69" s="369"/>
      <c r="B69" s="371"/>
      <c r="C69" s="176"/>
      <c r="D69" s="169" t="s">
        <v>68</v>
      </c>
      <c r="E69" s="372"/>
      <c r="F69" s="82">
        <f>C69</f>
        <v>0</v>
      </c>
      <c r="G69" s="177" t="s">
        <v>197</v>
      </c>
      <c r="H69" s="363"/>
      <c r="I69" s="364"/>
      <c r="J69" s="364"/>
      <c r="K69" s="364"/>
    </row>
  </sheetData>
  <sheetProtection formatCells="0" selectLockedCells="1"/>
  <mergeCells count="93">
    <mergeCell ref="B3:D3"/>
    <mergeCell ref="B23:E23"/>
    <mergeCell ref="B28:D28"/>
    <mergeCell ref="B54:D54"/>
    <mergeCell ref="B66:D66"/>
    <mergeCell ref="B8:E8"/>
    <mergeCell ref="B60:E60"/>
    <mergeCell ref="B61:C61"/>
    <mergeCell ref="B65:E65"/>
    <mergeCell ref="H41:K41"/>
    <mergeCell ref="H42:K42"/>
    <mergeCell ref="H43:K43"/>
    <mergeCell ref="H44:K44"/>
    <mergeCell ref="A2:D2"/>
    <mergeCell ref="B39:E39"/>
    <mergeCell ref="A42:A44"/>
    <mergeCell ref="B27:E27"/>
    <mergeCell ref="B29:C29"/>
    <mergeCell ref="A31:A33"/>
    <mergeCell ref="E32:E33"/>
    <mergeCell ref="B35:E35"/>
    <mergeCell ref="A10:A13"/>
    <mergeCell ref="A14:A15"/>
    <mergeCell ref="B16:E16"/>
    <mergeCell ref="B20:E20"/>
    <mergeCell ref="H36:K36"/>
    <mergeCell ref="H37:K37"/>
    <mergeCell ref="H38:K38"/>
    <mergeCell ref="H39:K39"/>
    <mergeCell ref="H40:K40"/>
    <mergeCell ref="A68:A69"/>
    <mergeCell ref="B68:B69"/>
    <mergeCell ref="E68:E69"/>
    <mergeCell ref="F32:F33"/>
    <mergeCell ref="B47:E47"/>
    <mergeCell ref="B53:E53"/>
    <mergeCell ref="H2:K2"/>
    <mergeCell ref="H3:K3"/>
    <mergeCell ref="H4:K4"/>
    <mergeCell ref="H5:K5"/>
    <mergeCell ref="H6:K6"/>
    <mergeCell ref="H7:K7"/>
    <mergeCell ref="H8:K8"/>
    <mergeCell ref="H9:K9"/>
    <mergeCell ref="H10:K10"/>
    <mergeCell ref="H11:K11"/>
    <mergeCell ref="H12:K12"/>
    <mergeCell ref="H13:K13"/>
    <mergeCell ref="H14:K14"/>
    <mergeCell ref="H15:K15"/>
    <mergeCell ref="H16:K16"/>
    <mergeCell ref="H17:K17"/>
    <mergeCell ref="H18:K18"/>
    <mergeCell ref="H19:K19"/>
    <mergeCell ref="H20:K20"/>
    <mergeCell ref="H21:K21"/>
    <mergeCell ref="H22:K22"/>
    <mergeCell ref="H23:K23"/>
    <mergeCell ref="H24:K24"/>
    <mergeCell ref="H25:K25"/>
    <mergeCell ref="H26:K26"/>
    <mergeCell ref="H27:K27"/>
    <mergeCell ref="H28:K28"/>
    <mergeCell ref="H29:K29"/>
    <mergeCell ref="H30:K30"/>
    <mergeCell ref="H35:K35"/>
    <mergeCell ref="J32:J33"/>
    <mergeCell ref="K32:K33"/>
    <mergeCell ref="H45:K45"/>
    <mergeCell ref="H46:K46"/>
    <mergeCell ref="H47:K47"/>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3:K63"/>
    <mergeCell ref="H64:K64"/>
    <mergeCell ref="H65:K65"/>
    <mergeCell ref="H66:K66"/>
    <mergeCell ref="H67:K67"/>
    <mergeCell ref="H68:K68"/>
    <mergeCell ref="H69:K69"/>
  </mergeCells>
  <dataValidations count="9">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50:C51 C19 C43:C46 C26 C63:C64 C58:C59 C6:C7 C37" xr:uid="{00000000-0002-0000-0300-000005000000}">
      <formula1>"Y,N"</formula1>
    </dataValidation>
    <dataValidation type="decimal" allowBlank="1" showInputMessage="1" showErrorMessage="1" sqref="C15 C22"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 type="decimal" allowBlank="1" showInputMessage="1" showErrorMessage="1" sqref="C57" xr:uid="{00000000-0002-0000-0300-000008000000}">
      <formula1>0</formula1>
      <formula2>1000</formula2>
    </dataValidation>
  </dataValidations>
  <pageMargins left="0.7" right="0.7" top="0.75" bottom="0.75" header="0.3" footer="0.3"/>
  <pageSetup paperSize="9" scale="56"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3"/>
  <sheetViews>
    <sheetView showGridLines="0" zoomScale="85" zoomScaleNormal="85" workbookViewId="0">
      <selection activeCell="E15" sqref="E15"/>
    </sheetView>
  </sheetViews>
  <sheetFormatPr defaultColWidth="9.140625" defaultRowHeight="15" x14ac:dyDescent="0.25"/>
  <cols>
    <col min="1" max="1" width="8.28515625" style="17" customWidth="1"/>
    <col min="2" max="2" width="22.28515625" style="17" customWidth="1"/>
    <col min="3" max="3" width="34" style="17" customWidth="1"/>
    <col min="4" max="4" width="21.140625" style="17" customWidth="1"/>
    <col min="5" max="5" width="10.7109375" style="324" customWidth="1"/>
    <col min="6" max="6" width="16.140625" style="318" customWidth="1"/>
    <col min="7" max="7" width="18.140625" style="17" customWidth="1"/>
    <col min="8" max="8" width="10.7109375" style="17" customWidth="1"/>
    <col min="9" max="9" width="30.7109375" style="17" customWidth="1"/>
    <col min="10" max="11" width="50.7109375" style="17" customWidth="1"/>
    <col min="12" max="12" width="15.5703125" style="17" customWidth="1"/>
    <col min="13" max="13" width="17.28515625" style="17" customWidth="1"/>
    <col min="14" max="16384" width="9.140625" style="17"/>
  </cols>
  <sheetData>
    <row r="1" spans="1:9" ht="47.25" x14ac:dyDescent="0.25">
      <c r="A1" s="60"/>
      <c r="B1" s="461" t="s">
        <v>198</v>
      </c>
      <c r="C1" s="462"/>
      <c r="D1" s="463"/>
      <c r="E1" s="42" t="s">
        <v>61</v>
      </c>
      <c r="F1" s="42" t="s">
        <v>62</v>
      </c>
      <c r="G1" s="61" t="s">
        <v>97</v>
      </c>
      <c r="H1" s="42" t="s">
        <v>98</v>
      </c>
      <c r="I1" s="281" t="s">
        <v>99</v>
      </c>
    </row>
    <row r="2" spans="1:9" ht="21" x14ac:dyDescent="0.25">
      <c r="A2" s="470" t="s">
        <v>27</v>
      </c>
      <c r="B2" s="471"/>
      <c r="C2" s="471"/>
      <c r="D2" s="471"/>
      <c r="E2" s="471"/>
      <c r="F2" s="472"/>
      <c r="G2" s="178">
        <v>15</v>
      </c>
      <c r="H2" s="179">
        <f>MIN(SUM(H3,H30,H69,H80),15)</f>
        <v>0</v>
      </c>
      <c r="I2" s="180" t="s">
        <v>100</v>
      </c>
    </row>
    <row r="3" spans="1:9" ht="15.75" x14ac:dyDescent="0.25">
      <c r="A3" s="181" t="s">
        <v>199</v>
      </c>
      <c r="B3" s="464" t="s">
        <v>200</v>
      </c>
      <c r="C3" s="465"/>
      <c r="D3" s="465"/>
      <c r="E3" s="465"/>
      <c r="F3" s="465"/>
      <c r="G3" s="182">
        <v>5</v>
      </c>
      <c r="H3" s="182">
        <f>MIN(SUM(H17,H26,H29),5)</f>
        <v>0</v>
      </c>
      <c r="I3" s="183"/>
    </row>
    <row r="4" spans="1:9" ht="15.75" x14ac:dyDescent="0.25">
      <c r="A4" s="184" t="s">
        <v>201</v>
      </c>
      <c r="B4" s="414" t="s">
        <v>202</v>
      </c>
      <c r="C4" s="414"/>
      <c r="D4" s="415"/>
      <c r="E4" s="185"/>
      <c r="F4" s="184"/>
      <c r="G4" s="184"/>
      <c r="H4" s="186"/>
      <c r="I4" s="184"/>
    </row>
    <row r="5" spans="1:9" ht="15.75" x14ac:dyDescent="0.25">
      <c r="A5" s="293"/>
      <c r="B5" s="416" t="s">
        <v>203</v>
      </c>
      <c r="C5" s="416"/>
      <c r="D5" s="416"/>
      <c r="E5" s="301"/>
      <c r="F5" s="288"/>
      <c r="G5" s="293"/>
      <c r="H5" s="187"/>
      <c r="I5" s="293"/>
    </row>
    <row r="6" spans="1:9" ht="16.5" thickBot="1" x14ac:dyDescent="0.3">
      <c r="A6" s="188" t="s">
        <v>204</v>
      </c>
      <c r="B6" s="417" t="s">
        <v>205</v>
      </c>
      <c r="C6" s="418"/>
      <c r="D6" s="419"/>
      <c r="E6" s="189"/>
      <c r="F6" s="188"/>
      <c r="G6" s="188"/>
      <c r="H6" s="190"/>
      <c r="I6" s="188"/>
    </row>
    <row r="7" spans="1:9" ht="15.75" x14ac:dyDescent="0.25">
      <c r="A7" s="399"/>
      <c r="B7" s="429" t="s">
        <v>206</v>
      </c>
      <c r="C7" s="430"/>
      <c r="D7" s="448"/>
      <c r="E7" s="397"/>
      <c r="F7" s="399"/>
      <c r="G7" s="399"/>
      <c r="H7" s="374"/>
      <c r="I7" s="396"/>
    </row>
    <row r="8" spans="1:9" ht="15.75" x14ac:dyDescent="0.25">
      <c r="A8" s="399"/>
      <c r="B8" s="459" t="s">
        <v>207</v>
      </c>
      <c r="C8" s="191" t="s">
        <v>208</v>
      </c>
      <c r="D8" s="449"/>
      <c r="E8" s="397"/>
      <c r="F8" s="399"/>
      <c r="G8" s="399"/>
      <c r="H8" s="374"/>
      <c r="I8" s="396"/>
    </row>
    <row r="9" spans="1:9" ht="15.75" x14ac:dyDescent="0.25">
      <c r="A9" s="399"/>
      <c r="B9" s="459"/>
      <c r="C9" s="191" t="s">
        <v>209</v>
      </c>
      <c r="D9" s="449"/>
      <c r="E9" s="397"/>
      <c r="F9" s="399"/>
      <c r="G9" s="399"/>
      <c r="H9" s="374"/>
      <c r="I9" s="396"/>
    </row>
    <row r="10" spans="1:9" ht="15.75" x14ac:dyDescent="0.25">
      <c r="A10" s="399"/>
      <c r="B10" s="459" t="s">
        <v>210</v>
      </c>
      <c r="C10" s="191" t="s">
        <v>211</v>
      </c>
      <c r="D10" s="449"/>
      <c r="E10" s="397"/>
      <c r="F10" s="399"/>
      <c r="G10" s="399"/>
      <c r="H10" s="374"/>
      <c r="I10" s="396"/>
    </row>
    <row r="11" spans="1:9" ht="15.75" x14ac:dyDescent="0.25">
      <c r="A11" s="399"/>
      <c r="B11" s="459"/>
      <c r="C11" s="191" t="s">
        <v>212</v>
      </c>
      <c r="D11" s="449"/>
      <c r="E11" s="397"/>
      <c r="F11" s="399"/>
      <c r="G11" s="399"/>
      <c r="H11" s="374"/>
      <c r="I11" s="396"/>
    </row>
    <row r="12" spans="1:9" ht="15.75" x14ac:dyDescent="0.25">
      <c r="A12" s="399"/>
      <c r="B12" s="459"/>
      <c r="C12" s="191" t="s">
        <v>213</v>
      </c>
      <c r="D12" s="449"/>
      <c r="E12" s="397"/>
      <c r="F12" s="399"/>
      <c r="G12" s="399"/>
      <c r="H12" s="374"/>
      <c r="I12" s="396"/>
    </row>
    <row r="13" spans="1:9" ht="15.75" x14ac:dyDescent="0.25">
      <c r="A13" s="399"/>
      <c r="B13" s="459"/>
      <c r="C13" s="191" t="s">
        <v>214</v>
      </c>
      <c r="D13" s="449"/>
      <c r="E13" s="397"/>
      <c r="F13" s="399"/>
      <c r="G13" s="399"/>
      <c r="H13" s="374"/>
      <c r="I13" s="396"/>
    </row>
    <row r="14" spans="1:9" ht="16.5" thickBot="1" x14ac:dyDescent="0.3">
      <c r="A14" s="399"/>
      <c r="B14" s="460"/>
      <c r="C14" s="192" t="s">
        <v>215</v>
      </c>
      <c r="D14" s="449"/>
      <c r="E14" s="397"/>
      <c r="F14" s="399"/>
      <c r="G14" s="399"/>
      <c r="H14" s="374"/>
      <c r="I14" s="396"/>
    </row>
    <row r="15" spans="1:9" ht="98.45" customHeight="1" x14ac:dyDescent="0.25">
      <c r="A15" s="293"/>
      <c r="B15" s="413" t="s">
        <v>216</v>
      </c>
      <c r="C15" s="416"/>
      <c r="D15" s="416"/>
      <c r="E15" s="224"/>
      <c r="F15" s="294" t="s">
        <v>65</v>
      </c>
      <c r="G15" s="289" t="s">
        <v>217</v>
      </c>
      <c r="H15" s="298">
        <f>IF(E15="Y", 3, 0)</f>
        <v>0</v>
      </c>
      <c r="I15" s="347"/>
    </row>
    <row r="16" spans="1:9" ht="60.75" customHeight="1" x14ac:dyDescent="0.25">
      <c r="A16" s="293"/>
      <c r="B16" s="447" t="s">
        <v>218</v>
      </c>
      <c r="C16" s="447"/>
      <c r="D16" s="447"/>
      <c r="E16" s="301"/>
      <c r="F16" s="288"/>
      <c r="G16" s="293"/>
      <c r="H16" s="162"/>
      <c r="I16" s="225"/>
    </row>
    <row r="17" spans="1:9" ht="15.75" x14ac:dyDescent="0.25">
      <c r="A17" s="193"/>
      <c r="B17" s="410" t="s">
        <v>219</v>
      </c>
      <c r="C17" s="411"/>
      <c r="D17" s="411"/>
      <c r="E17" s="411"/>
      <c r="F17" s="411"/>
      <c r="G17" s="412"/>
      <c r="H17" s="194">
        <f>SUM(H7:H16)</f>
        <v>0</v>
      </c>
      <c r="I17" s="195"/>
    </row>
    <row r="18" spans="1:9" ht="15.75" customHeight="1" x14ac:dyDescent="0.25">
      <c r="A18" s="188" t="s">
        <v>220</v>
      </c>
      <c r="B18" s="417" t="s">
        <v>221</v>
      </c>
      <c r="C18" s="418"/>
      <c r="D18" s="419"/>
      <c r="E18" s="189"/>
      <c r="F18" s="188"/>
      <c r="G18" s="188"/>
      <c r="H18" s="190"/>
      <c r="I18" s="188"/>
    </row>
    <row r="19" spans="1:9" ht="85.5" customHeight="1" x14ac:dyDescent="0.25">
      <c r="A19" s="293" t="s">
        <v>222</v>
      </c>
      <c r="B19" s="413" t="s">
        <v>512</v>
      </c>
      <c r="C19" s="413"/>
      <c r="D19" s="413"/>
      <c r="E19" s="224"/>
      <c r="F19" s="96" t="s">
        <v>223</v>
      </c>
      <c r="G19" s="295" t="s">
        <v>163</v>
      </c>
      <c r="H19" s="285">
        <f>IF(ISNUMBER(E19), 0.5, 0)</f>
        <v>0</v>
      </c>
      <c r="I19" s="225"/>
    </row>
    <row r="20" spans="1:9" ht="64.5" customHeight="1" thickBot="1" x14ac:dyDescent="0.3">
      <c r="A20" s="293" t="s">
        <v>224</v>
      </c>
      <c r="B20" s="413" t="s">
        <v>225</v>
      </c>
      <c r="C20" s="413"/>
      <c r="D20" s="413"/>
      <c r="E20" s="224"/>
      <c r="F20" s="96" t="s">
        <v>73</v>
      </c>
      <c r="G20" s="284" t="s">
        <v>226</v>
      </c>
      <c r="H20" s="285">
        <f>IF(E20&gt;=30,2,IF(E20&gt;=10,1,0))</f>
        <v>0</v>
      </c>
      <c r="I20" s="225"/>
    </row>
    <row r="21" spans="1:9" ht="31.5" x14ac:dyDescent="0.25">
      <c r="A21" s="399"/>
      <c r="B21" s="196"/>
      <c r="C21" s="197" t="s">
        <v>227</v>
      </c>
      <c r="D21" s="198"/>
      <c r="E21" s="397"/>
      <c r="F21" s="399"/>
      <c r="G21" s="399"/>
      <c r="H21" s="374"/>
      <c r="I21" s="396"/>
    </row>
    <row r="22" spans="1:9" ht="15.75" x14ac:dyDescent="0.25">
      <c r="A22" s="399"/>
      <c r="B22" s="199" t="s">
        <v>228</v>
      </c>
      <c r="C22" s="200">
        <v>1000</v>
      </c>
      <c r="D22" s="201"/>
      <c r="E22" s="397"/>
      <c r="F22" s="399"/>
      <c r="G22" s="399"/>
      <c r="H22" s="374"/>
      <c r="I22" s="396"/>
    </row>
    <row r="23" spans="1:9" ht="15.75" x14ac:dyDescent="0.25">
      <c r="A23" s="399"/>
      <c r="B23" s="199" t="s">
        <v>229</v>
      </c>
      <c r="C23" s="200">
        <v>1500</v>
      </c>
      <c r="D23" s="201"/>
      <c r="E23" s="397"/>
      <c r="F23" s="399"/>
      <c r="G23" s="399"/>
      <c r="H23" s="374"/>
      <c r="I23" s="396"/>
    </row>
    <row r="24" spans="1:9" ht="16.5" thickBot="1" x14ac:dyDescent="0.3">
      <c r="A24" s="399"/>
      <c r="B24" s="202" t="s">
        <v>230</v>
      </c>
      <c r="C24" s="203">
        <v>2500</v>
      </c>
      <c r="D24" s="201"/>
      <c r="E24" s="397"/>
      <c r="F24" s="399"/>
      <c r="G24" s="399"/>
      <c r="H24" s="374"/>
      <c r="I24" s="396"/>
    </row>
    <row r="25" spans="1:9" ht="15.75" x14ac:dyDescent="0.25">
      <c r="A25" s="400"/>
      <c r="B25" s="446" t="s">
        <v>231</v>
      </c>
      <c r="C25" s="446"/>
      <c r="D25" s="446"/>
      <c r="E25" s="398"/>
      <c r="F25" s="400"/>
      <c r="G25" s="400"/>
      <c r="H25" s="373"/>
      <c r="I25" s="396"/>
    </row>
    <row r="26" spans="1:9" ht="15.75" x14ac:dyDescent="0.25">
      <c r="A26" s="193"/>
      <c r="B26" s="410" t="s">
        <v>232</v>
      </c>
      <c r="C26" s="411"/>
      <c r="D26" s="411"/>
      <c r="E26" s="411"/>
      <c r="F26" s="411"/>
      <c r="G26" s="412"/>
      <c r="H26" s="194">
        <f>SUM(H19:H20)</f>
        <v>0</v>
      </c>
      <c r="I26" s="195"/>
    </row>
    <row r="27" spans="1:9" ht="15.75" x14ac:dyDescent="0.25">
      <c r="A27" s="184" t="s">
        <v>233</v>
      </c>
      <c r="B27" s="414" t="s">
        <v>234</v>
      </c>
      <c r="C27" s="414"/>
      <c r="D27" s="415"/>
      <c r="E27" s="185"/>
      <c r="F27" s="184"/>
      <c r="G27" s="184"/>
      <c r="H27" s="186"/>
      <c r="I27" s="184"/>
    </row>
    <row r="28" spans="1:9" ht="47.25" customHeight="1" x14ac:dyDescent="0.25">
      <c r="A28" s="288"/>
      <c r="B28" s="413" t="s">
        <v>235</v>
      </c>
      <c r="C28" s="413"/>
      <c r="D28" s="413"/>
      <c r="E28" s="224"/>
      <c r="F28" s="294" t="s">
        <v>65</v>
      </c>
      <c r="G28" s="295" t="s">
        <v>108</v>
      </c>
      <c r="H28" s="285">
        <f>IF(E28="Y",1,0)</f>
        <v>0</v>
      </c>
      <c r="I28" s="348"/>
    </row>
    <row r="29" spans="1:9" ht="15.75" x14ac:dyDescent="0.25">
      <c r="A29" s="193"/>
      <c r="B29" s="410" t="s">
        <v>236</v>
      </c>
      <c r="C29" s="411"/>
      <c r="D29" s="411"/>
      <c r="E29" s="411"/>
      <c r="F29" s="411"/>
      <c r="G29" s="412"/>
      <c r="H29" s="194">
        <f>SUM(H28)</f>
        <v>0</v>
      </c>
      <c r="I29" s="195"/>
    </row>
    <row r="30" spans="1:9" ht="15.75" x14ac:dyDescent="0.25">
      <c r="A30" s="181" t="s">
        <v>237</v>
      </c>
      <c r="B30" s="464" t="s">
        <v>238</v>
      </c>
      <c r="C30" s="465"/>
      <c r="D30" s="465"/>
      <c r="E30" s="465"/>
      <c r="F30" s="465"/>
      <c r="G30" s="182">
        <v>5</v>
      </c>
      <c r="H30" s="204">
        <f>MIN(SUM(H57,H62,H68),5)</f>
        <v>0</v>
      </c>
      <c r="I30" s="183"/>
    </row>
    <row r="31" spans="1:9" ht="15.75" customHeight="1" x14ac:dyDescent="0.25">
      <c r="A31" s="184" t="s">
        <v>239</v>
      </c>
      <c r="B31" s="414" t="s">
        <v>240</v>
      </c>
      <c r="C31" s="414"/>
      <c r="D31" s="415"/>
      <c r="E31" s="185"/>
      <c r="F31" s="184"/>
      <c r="G31" s="184"/>
      <c r="H31" s="184"/>
      <c r="I31" s="184"/>
    </row>
    <row r="32" spans="1:9" ht="31.5" customHeight="1" x14ac:dyDescent="0.25">
      <c r="A32" s="205"/>
      <c r="B32" s="473" t="s">
        <v>241</v>
      </c>
      <c r="C32" s="473"/>
      <c r="D32" s="473"/>
      <c r="E32" s="206"/>
      <c r="F32" s="207"/>
      <c r="G32" s="208"/>
      <c r="H32" s="209"/>
      <c r="I32" s="205"/>
    </row>
    <row r="33" spans="1:13" ht="16.5" thickBot="1" x14ac:dyDescent="0.3">
      <c r="A33" s="435" t="s">
        <v>70</v>
      </c>
      <c r="B33" s="438" t="s">
        <v>242</v>
      </c>
      <c r="C33" s="439"/>
      <c r="D33" s="424"/>
      <c r="E33" s="301"/>
      <c r="F33" s="210"/>
      <c r="G33" s="39"/>
      <c r="H33" s="211"/>
      <c r="I33" s="171"/>
    </row>
    <row r="34" spans="1:13" ht="15.75" x14ac:dyDescent="0.25">
      <c r="A34" s="454"/>
      <c r="B34" s="196"/>
      <c r="C34" s="197" t="s">
        <v>243</v>
      </c>
      <c r="D34" s="451"/>
      <c r="E34" s="432"/>
      <c r="F34" s="434" t="s">
        <v>68</v>
      </c>
      <c r="G34" s="435" t="s">
        <v>126</v>
      </c>
      <c r="H34" s="436">
        <f>IF(ISBLANK(E34),0,IF(E34&lt;=0.45,2,0))</f>
        <v>0</v>
      </c>
      <c r="I34" s="401"/>
    </row>
    <row r="35" spans="1:13" ht="15.75" x14ac:dyDescent="0.25">
      <c r="A35" s="454"/>
      <c r="B35" s="199" t="s">
        <v>228</v>
      </c>
      <c r="C35" s="200" t="s">
        <v>244</v>
      </c>
      <c r="D35" s="451"/>
      <c r="E35" s="433"/>
      <c r="F35" s="434"/>
      <c r="G35" s="435"/>
      <c r="H35" s="437"/>
      <c r="I35" s="402"/>
    </row>
    <row r="36" spans="1:13" ht="15.75" x14ac:dyDescent="0.25">
      <c r="A36" s="454"/>
      <c r="B36" s="199" t="s">
        <v>229</v>
      </c>
      <c r="C36" s="200" t="s">
        <v>245</v>
      </c>
      <c r="D36" s="451"/>
      <c r="E36" s="433"/>
      <c r="F36" s="434"/>
      <c r="G36" s="435"/>
      <c r="H36" s="437"/>
      <c r="I36" s="402"/>
    </row>
    <row r="37" spans="1:13" ht="16.5" thickBot="1" x14ac:dyDescent="0.3">
      <c r="A37" s="454"/>
      <c r="B37" s="202" t="s">
        <v>230</v>
      </c>
      <c r="C37" s="203" t="s">
        <v>245</v>
      </c>
      <c r="D37" s="451"/>
      <c r="E37" s="433"/>
      <c r="F37" s="434"/>
      <c r="G37" s="435"/>
      <c r="H37" s="437"/>
      <c r="I37" s="402"/>
    </row>
    <row r="38" spans="1:13" ht="67.5" customHeight="1" thickBot="1" x14ac:dyDescent="0.3">
      <c r="A38" s="420" t="s">
        <v>224</v>
      </c>
      <c r="B38" s="413" t="s">
        <v>246</v>
      </c>
      <c r="C38" s="413"/>
      <c r="D38" s="424"/>
      <c r="E38" s="456"/>
      <c r="F38" s="404"/>
      <c r="G38" s="404"/>
      <c r="H38" s="404"/>
      <c r="I38" s="407"/>
      <c r="K38" s="326"/>
      <c r="L38" s="307"/>
      <c r="M38" s="307"/>
    </row>
    <row r="39" spans="1:13" ht="31.5" customHeight="1" x14ac:dyDescent="0.25">
      <c r="A39" s="455"/>
      <c r="B39" s="196"/>
      <c r="C39" s="212" t="s">
        <v>247</v>
      </c>
      <c r="D39" s="452"/>
      <c r="E39" s="457"/>
      <c r="F39" s="405"/>
      <c r="G39" s="405"/>
      <c r="H39" s="405"/>
      <c r="I39" s="408"/>
      <c r="K39" s="326"/>
      <c r="L39" s="307"/>
      <c r="M39" s="307"/>
    </row>
    <row r="40" spans="1:13" ht="15.75" customHeight="1" x14ac:dyDescent="0.25">
      <c r="A40" s="455"/>
      <c r="B40" s="199" t="s">
        <v>228</v>
      </c>
      <c r="C40" s="200" t="s">
        <v>248</v>
      </c>
      <c r="D40" s="452"/>
      <c r="E40" s="457"/>
      <c r="F40" s="405"/>
      <c r="G40" s="405"/>
      <c r="H40" s="405"/>
      <c r="I40" s="408"/>
      <c r="K40" s="326"/>
      <c r="L40" s="307"/>
      <c r="M40" s="307"/>
    </row>
    <row r="41" spans="1:13" ht="15.75" customHeight="1" thickBot="1" x14ac:dyDescent="0.3">
      <c r="A41" s="455"/>
      <c r="B41" s="202" t="s">
        <v>229</v>
      </c>
      <c r="C41" s="213" t="s">
        <v>249</v>
      </c>
      <c r="D41" s="453"/>
      <c r="E41" s="458"/>
      <c r="F41" s="406"/>
      <c r="G41" s="406"/>
      <c r="H41" s="406"/>
      <c r="I41" s="409"/>
      <c r="K41" s="326"/>
      <c r="L41" s="307"/>
      <c r="M41" s="307"/>
    </row>
    <row r="42" spans="1:13" ht="15.75" customHeight="1" x14ac:dyDescent="0.25">
      <c r="A42" s="421"/>
      <c r="B42" s="425" t="s">
        <v>250</v>
      </c>
      <c r="C42" s="425"/>
      <c r="D42" s="413"/>
      <c r="E42" s="224"/>
      <c r="F42" s="294" t="s">
        <v>73</v>
      </c>
      <c r="G42" s="420" t="s">
        <v>108</v>
      </c>
      <c r="H42" s="436">
        <f>IF(SUM(E42:E46)&gt;=55, 1, 0)</f>
        <v>0</v>
      </c>
      <c r="I42" s="401"/>
      <c r="K42" s="326"/>
      <c r="L42" s="307"/>
      <c r="M42" s="307"/>
    </row>
    <row r="43" spans="1:13" ht="15.75" x14ac:dyDescent="0.25">
      <c r="A43" s="421"/>
      <c r="B43" s="413" t="s">
        <v>251</v>
      </c>
      <c r="C43" s="413"/>
      <c r="D43" s="413"/>
      <c r="E43" s="224"/>
      <c r="F43" s="294" t="s">
        <v>73</v>
      </c>
      <c r="G43" s="421"/>
      <c r="H43" s="437"/>
      <c r="I43" s="402"/>
      <c r="K43" s="326"/>
      <c r="L43" s="327"/>
      <c r="M43" s="324"/>
    </row>
    <row r="44" spans="1:13" ht="15.75" customHeight="1" x14ac:dyDescent="0.25">
      <c r="A44" s="421"/>
      <c r="B44" s="413" t="s">
        <v>252</v>
      </c>
      <c r="C44" s="413"/>
      <c r="D44" s="413"/>
      <c r="E44" s="224"/>
      <c r="F44" s="294" t="s">
        <v>73</v>
      </c>
      <c r="G44" s="421"/>
      <c r="H44" s="437"/>
      <c r="I44" s="402"/>
    </row>
    <row r="45" spans="1:13" ht="15.75" customHeight="1" x14ac:dyDescent="0.25">
      <c r="A45" s="421"/>
      <c r="B45" s="413" t="s">
        <v>253</v>
      </c>
      <c r="C45" s="413"/>
      <c r="D45" s="413"/>
      <c r="E45" s="224"/>
      <c r="F45" s="294" t="s">
        <v>73</v>
      </c>
      <c r="G45" s="421"/>
      <c r="H45" s="437"/>
      <c r="I45" s="402"/>
    </row>
    <row r="46" spans="1:13" ht="47.25" customHeight="1" x14ac:dyDescent="0.25">
      <c r="A46" s="422"/>
      <c r="B46" s="413" t="s">
        <v>254</v>
      </c>
      <c r="C46" s="413"/>
      <c r="D46" s="413"/>
      <c r="E46" s="224"/>
      <c r="F46" s="294" t="s">
        <v>73</v>
      </c>
      <c r="G46" s="422"/>
      <c r="H46" s="443"/>
      <c r="I46" s="403"/>
    </row>
    <row r="47" spans="1:13" ht="47.25" customHeight="1" x14ac:dyDescent="0.25">
      <c r="A47" s="420" t="s">
        <v>74</v>
      </c>
      <c r="B47" s="413" t="s">
        <v>255</v>
      </c>
      <c r="C47" s="413"/>
      <c r="D47" s="413"/>
      <c r="E47" s="301"/>
      <c r="F47" s="294"/>
      <c r="G47" s="28"/>
      <c r="H47" s="285"/>
      <c r="I47" s="171"/>
    </row>
    <row r="48" spans="1:13" ht="33" customHeight="1" x14ac:dyDescent="0.25">
      <c r="A48" s="422"/>
      <c r="B48" s="442" t="s">
        <v>256</v>
      </c>
      <c r="C48" s="442"/>
      <c r="D48" s="442"/>
      <c r="E48" s="224"/>
      <c r="F48" s="294" t="s">
        <v>68</v>
      </c>
      <c r="G48" s="284" t="s">
        <v>257</v>
      </c>
      <c r="H48" s="214">
        <f>IF(E48&gt;=2,E48*0.25,0)</f>
        <v>0</v>
      </c>
      <c r="I48" s="171"/>
    </row>
    <row r="49" spans="1:9" ht="64.5" customHeight="1" x14ac:dyDescent="0.25">
      <c r="A49" s="420" t="s">
        <v>79</v>
      </c>
      <c r="B49" s="468" t="s">
        <v>258</v>
      </c>
      <c r="C49" s="413"/>
      <c r="D49" s="469"/>
      <c r="E49" s="301"/>
      <c r="F49" s="294"/>
      <c r="G49" s="215" t="s">
        <v>259</v>
      </c>
      <c r="H49" s="216"/>
      <c r="I49" s="255"/>
    </row>
    <row r="50" spans="1:9" ht="15.75" x14ac:dyDescent="0.25">
      <c r="A50" s="421"/>
      <c r="B50" s="442" t="s">
        <v>260</v>
      </c>
      <c r="C50" s="442"/>
      <c r="D50" s="442"/>
      <c r="E50" s="224"/>
      <c r="F50" s="294" t="s">
        <v>68</v>
      </c>
      <c r="G50" s="295" t="s">
        <v>115</v>
      </c>
      <c r="H50" s="211"/>
      <c r="I50" s="171"/>
    </row>
    <row r="51" spans="1:9" ht="15.75" x14ac:dyDescent="0.25">
      <c r="A51" s="421"/>
      <c r="B51" s="413" t="s">
        <v>261</v>
      </c>
      <c r="C51" s="413"/>
      <c r="D51" s="413"/>
      <c r="E51" s="224"/>
      <c r="F51" s="294" t="s">
        <v>73</v>
      </c>
      <c r="G51" s="426" t="s">
        <v>262</v>
      </c>
      <c r="H51" s="436">
        <f>IF(AND(E51&gt;=20,E52="Y"),0.5,0)</f>
        <v>0</v>
      </c>
      <c r="I51" s="171"/>
    </row>
    <row r="52" spans="1:9" ht="18" customHeight="1" x14ac:dyDescent="0.25">
      <c r="A52" s="421"/>
      <c r="B52" s="413" t="s">
        <v>263</v>
      </c>
      <c r="C52" s="413"/>
      <c r="D52" s="413"/>
      <c r="E52" s="224"/>
      <c r="F52" s="294" t="s">
        <v>65</v>
      </c>
      <c r="G52" s="428"/>
      <c r="H52" s="443"/>
      <c r="I52" s="171"/>
    </row>
    <row r="53" spans="1:9" ht="15.75" x14ac:dyDescent="0.25">
      <c r="A53" s="421"/>
      <c r="B53" s="413" t="s">
        <v>264</v>
      </c>
      <c r="C53" s="413"/>
      <c r="D53" s="413"/>
      <c r="E53" s="224"/>
      <c r="F53" s="96" t="s">
        <v>73</v>
      </c>
      <c r="G53" s="426" t="s">
        <v>262</v>
      </c>
      <c r="H53" s="436">
        <f>IF(OR(AND(E53&gt;=10,E54="Y"),AND(E55&gt;=50,E56="Y")),0.5,0)</f>
        <v>0</v>
      </c>
      <c r="I53" s="171"/>
    </row>
    <row r="54" spans="1:9" ht="15.75" customHeight="1" x14ac:dyDescent="0.25">
      <c r="A54" s="421"/>
      <c r="B54" s="413" t="s">
        <v>504</v>
      </c>
      <c r="C54" s="413"/>
      <c r="D54" s="413"/>
      <c r="E54" s="224"/>
      <c r="F54" s="294" t="s">
        <v>65</v>
      </c>
      <c r="G54" s="427"/>
      <c r="H54" s="437"/>
      <c r="I54" s="171"/>
    </row>
    <row r="55" spans="1:9" ht="15.75" customHeight="1" x14ac:dyDescent="0.25">
      <c r="A55" s="421"/>
      <c r="B55" s="413" t="s">
        <v>265</v>
      </c>
      <c r="C55" s="413"/>
      <c r="D55" s="413"/>
      <c r="E55" s="224"/>
      <c r="F55" s="96" t="s">
        <v>73</v>
      </c>
      <c r="G55" s="427"/>
      <c r="H55" s="437"/>
      <c r="I55" s="171"/>
    </row>
    <row r="56" spans="1:9" ht="15.75" customHeight="1" x14ac:dyDescent="0.25">
      <c r="A56" s="422"/>
      <c r="B56" s="413" t="s">
        <v>266</v>
      </c>
      <c r="C56" s="413"/>
      <c r="D56" s="413"/>
      <c r="E56" s="224"/>
      <c r="F56" s="294" t="s">
        <v>65</v>
      </c>
      <c r="G56" s="428"/>
      <c r="H56" s="443"/>
      <c r="I56" s="171"/>
    </row>
    <row r="57" spans="1:9" ht="15.75" x14ac:dyDescent="0.25">
      <c r="A57" s="193"/>
      <c r="B57" s="410" t="s">
        <v>267</v>
      </c>
      <c r="C57" s="411"/>
      <c r="D57" s="411"/>
      <c r="E57" s="411"/>
      <c r="F57" s="411"/>
      <c r="G57" s="412"/>
      <c r="H57" s="194">
        <f>SUM(H33:H56)</f>
        <v>0</v>
      </c>
      <c r="I57" s="195"/>
    </row>
    <row r="58" spans="1:9" ht="15.75" customHeight="1" x14ac:dyDescent="0.25">
      <c r="A58" s="217" t="s">
        <v>268</v>
      </c>
      <c r="B58" s="450" t="s">
        <v>269</v>
      </c>
      <c r="C58" s="414"/>
      <c r="D58" s="415"/>
      <c r="E58" s="185"/>
      <c r="F58" s="184"/>
      <c r="G58" s="184"/>
      <c r="H58" s="186"/>
      <c r="I58" s="184"/>
    </row>
    <row r="59" spans="1:9" ht="33.950000000000003" customHeight="1" x14ac:dyDescent="0.25">
      <c r="A59" s="431" t="s">
        <v>70</v>
      </c>
      <c r="B59" s="438" t="s">
        <v>270</v>
      </c>
      <c r="C59" s="439"/>
      <c r="D59" s="424"/>
      <c r="E59" s="224"/>
      <c r="F59" s="96" t="s">
        <v>271</v>
      </c>
      <c r="G59" s="426" t="s">
        <v>126</v>
      </c>
      <c r="H59" s="444">
        <f>IF(AND(E59="Cost",E60&gt;=60),2,0) + IF(AND(E59="Area",E60&gt;=80),2,0)</f>
        <v>0</v>
      </c>
      <c r="I59" s="171"/>
    </row>
    <row r="60" spans="1:9" ht="30.95" customHeight="1" x14ac:dyDescent="0.25">
      <c r="A60" s="431"/>
      <c r="B60" s="440"/>
      <c r="C60" s="425"/>
      <c r="D60" s="441"/>
      <c r="E60" s="224"/>
      <c r="F60" s="96" t="s">
        <v>73</v>
      </c>
      <c r="G60" s="428"/>
      <c r="H60" s="445"/>
      <c r="I60" s="171"/>
    </row>
    <row r="61" spans="1:9" ht="48" customHeight="1" x14ac:dyDescent="0.25">
      <c r="A61" s="293" t="s">
        <v>71</v>
      </c>
      <c r="B61" s="423" t="s">
        <v>272</v>
      </c>
      <c r="C61" s="413"/>
      <c r="D61" s="413"/>
      <c r="E61" s="224"/>
      <c r="F61" s="96" t="s">
        <v>73</v>
      </c>
      <c r="G61" s="284" t="s">
        <v>108</v>
      </c>
      <c r="H61" s="218">
        <f>IF(E61&gt;=60,1,0)</f>
        <v>0</v>
      </c>
      <c r="I61" s="171"/>
    </row>
    <row r="62" spans="1:9" ht="15.75" customHeight="1" x14ac:dyDescent="0.25">
      <c r="A62" s="219"/>
      <c r="B62" s="410" t="s">
        <v>273</v>
      </c>
      <c r="C62" s="411"/>
      <c r="D62" s="411"/>
      <c r="E62" s="411"/>
      <c r="F62" s="411"/>
      <c r="G62" s="412"/>
      <c r="H62" s="194">
        <f>SUM(H59:H61)</f>
        <v>0</v>
      </c>
      <c r="I62" s="195"/>
    </row>
    <row r="63" spans="1:9" ht="15.75" x14ac:dyDescent="0.25">
      <c r="A63" s="184" t="s">
        <v>274</v>
      </c>
      <c r="B63" s="414" t="s">
        <v>275</v>
      </c>
      <c r="C63" s="414"/>
      <c r="D63" s="415"/>
      <c r="E63" s="185"/>
      <c r="F63" s="184"/>
      <c r="G63" s="184"/>
      <c r="H63" s="186"/>
      <c r="I63" s="184"/>
    </row>
    <row r="64" spans="1:9" ht="33" customHeight="1" x14ac:dyDescent="0.25">
      <c r="A64" s="293"/>
      <c r="B64" s="423" t="s">
        <v>276</v>
      </c>
      <c r="C64" s="413"/>
      <c r="D64" s="413"/>
      <c r="E64" s="301"/>
      <c r="F64" s="96"/>
      <c r="G64" s="284"/>
      <c r="H64" s="285"/>
      <c r="I64" s="171"/>
    </row>
    <row r="65" spans="1:9" ht="15.75" x14ac:dyDescent="0.25">
      <c r="A65" s="293" t="s">
        <v>70</v>
      </c>
      <c r="B65" s="423" t="s">
        <v>277</v>
      </c>
      <c r="C65" s="413"/>
      <c r="D65" s="413"/>
      <c r="E65" s="224"/>
      <c r="F65" s="96" t="s">
        <v>65</v>
      </c>
      <c r="G65" s="284" t="s">
        <v>108</v>
      </c>
      <c r="H65" s="285">
        <f>IF(E65="Y",1,0)</f>
        <v>0</v>
      </c>
      <c r="I65" s="171"/>
    </row>
    <row r="66" spans="1:9" ht="47.25" customHeight="1" x14ac:dyDescent="0.25">
      <c r="A66" s="293" t="s">
        <v>224</v>
      </c>
      <c r="B66" s="423" t="s">
        <v>278</v>
      </c>
      <c r="C66" s="413"/>
      <c r="D66" s="413"/>
      <c r="E66" s="224"/>
      <c r="F66" s="96" t="s">
        <v>73</v>
      </c>
      <c r="G66" s="284" t="s">
        <v>108</v>
      </c>
      <c r="H66" s="82">
        <f>IF(E66&gt;=40,1,0)</f>
        <v>0</v>
      </c>
      <c r="I66" s="171"/>
    </row>
    <row r="67" spans="1:9" ht="51.6" customHeight="1" x14ac:dyDescent="0.25">
      <c r="A67" s="293" t="s">
        <v>279</v>
      </c>
      <c r="B67" s="423" t="s">
        <v>280</v>
      </c>
      <c r="C67" s="413"/>
      <c r="D67" s="413"/>
      <c r="E67" s="224"/>
      <c r="F67" s="96" t="s">
        <v>65</v>
      </c>
      <c r="G67" s="284" t="s">
        <v>108</v>
      </c>
      <c r="H67" s="285">
        <f>IF(E67="Y",1,0)</f>
        <v>0</v>
      </c>
      <c r="I67" s="171"/>
    </row>
    <row r="68" spans="1:9" ht="15.75" x14ac:dyDescent="0.25">
      <c r="A68" s="219"/>
      <c r="B68" s="410" t="s">
        <v>281</v>
      </c>
      <c r="C68" s="411"/>
      <c r="D68" s="411"/>
      <c r="E68" s="411"/>
      <c r="F68" s="411"/>
      <c r="G68" s="412"/>
      <c r="H68" s="194">
        <f>SUM(H65:H67)</f>
        <v>0</v>
      </c>
      <c r="I68" s="195"/>
    </row>
    <row r="69" spans="1:9" ht="15.6" customHeight="1" x14ac:dyDescent="0.25">
      <c r="A69" s="181" t="s">
        <v>282</v>
      </c>
      <c r="B69" s="464" t="s">
        <v>283</v>
      </c>
      <c r="C69" s="465"/>
      <c r="D69" s="465"/>
      <c r="E69" s="465"/>
      <c r="F69" s="465"/>
      <c r="G69" s="220">
        <v>5</v>
      </c>
      <c r="H69" s="204">
        <f>MIN(SUM(H72,H76,H79),5)</f>
        <v>0</v>
      </c>
      <c r="I69" s="183"/>
    </row>
    <row r="70" spans="1:9" ht="18.95" customHeight="1" x14ac:dyDescent="0.25">
      <c r="A70" s="184" t="s">
        <v>284</v>
      </c>
      <c r="B70" s="414" t="s">
        <v>285</v>
      </c>
      <c r="C70" s="414"/>
      <c r="D70" s="415"/>
      <c r="E70" s="185"/>
      <c r="F70" s="184"/>
      <c r="G70" s="184"/>
      <c r="H70" s="184"/>
      <c r="I70" s="184"/>
    </row>
    <row r="71" spans="1:9" ht="98.45" customHeight="1" x14ac:dyDescent="0.25">
      <c r="A71" s="221"/>
      <c r="B71" s="423" t="s">
        <v>286</v>
      </c>
      <c r="C71" s="413"/>
      <c r="D71" s="413"/>
      <c r="E71" s="222" t="s">
        <v>115</v>
      </c>
      <c r="F71" s="140" t="s">
        <v>115</v>
      </c>
      <c r="G71" s="282" t="s">
        <v>115</v>
      </c>
      <c r="H71" s="140" t="s">
        <v>115</v>
      </c>
      <c r="I71" s="171"/>
    </row>
    <row r="72" spans="1:9" ht="15.75" x14ac:dyDescent="0.25">
      <c r="A72" s="193"/>
      <c r="B72" s="410" t="s">
        <v>287</v>
      </c>
      <c r="C72" s="411"/>
      <c r="D72" s="411"/>
      <c r="E72" s="411"/>
      <c r="F72" s="411"/>
      <c r="G72" s="412"/>
      <c r="H72" s="194">
        <f>SUM(H71)</f>
        <v>0</v>
      </c>
      <c r="I72" s="195"/>
    </row>
    <row r="73" spans="1:9" ht="16.5" customHeight="1" x14ac:dyDescent="0.25">
      <c r="A73" s="184" t="s">
        <v>288</v>
      </c>
      <c r="B73" s="414" t="s">
        <v>289</v>
      </c>
      <c r="C73" s="414"/>
      <c r="D73" s="415"/>
      <c r="E73" s="185"/>
      <c r="F73" s="184"/>
      <c r="G73" s="184"/>
      <c r="H73" s="184"/>
      <c r="I73" s="184"/>
    </row>
    <row r="74" spans="1:9" ht="48.75" customHeight="1" x14ac:dyDescent="0.25">
      <c r="A74" s="293" t="s">
        <v>70</v>
      </c>
      <c r="B74" s="423" t="s">
        <v>290</v>
      </c>
      <c r="C74" s="413"/>
      <c r="D74" s="413"/>
      <c r="E74" s="224"/>
      <c r="F74" s="96" t="s">
        <v>73</v>
      </c>
      <c r="G74" s="284" t="s">
        <v>108</v>
      </c>
      <c r="H74" s="82">
        <f>IF(E74&gt;=80,1,0)</f>
        <v>0</v>
      </c>
      <c r="I74" s="177"/>
    </row>
    <row r="75" spans="1:9" ht="50.45" customHeight="1" x14ac:dyDescent="0.25">
      <c r="A75" s="293" t="s">
        <v>224</v>
      </c>
      <c r="B75" s="423" t="s">
        <v>291</v>
      </c>
      <c r="C75" s="413"/>
      <c r="D75" s="413"/>
      <c r="E75" s="224"/>
      <c r="F75" s="96" t="s">
        <v>73</v>
      </c>
      <c r="G75" s="284" t="s">
        <v>126</v>
      </c>
      <c r="H75" s="82">
        <f>IF(E75&gt;=80,2,0)</f>
        <v>0</v>
      </c>
      <c r="I75" s="177"/>
    </row>
    <row r="76" spans="1:9" ht="15.75" x14ac:dyDescent="0.25">
      <c r="A76" s="193"/>
      <c r="B76" s="410" t="s">
        <v>292</v>
      </c>
      <c r="C76" s="411"/>
      <c r="D76" s="411"/>
      <c r="E76" s="411"/>
      <c r="F76" s="411"/>
      <c r="G76" s="412"/>
      <c r="H76" s="194">
        <f>SUM(H74:H75)</f>
        <v>0</v>
      </c>
      <c r="I76" s="195"/>
    </row>
    <row r="77" spans="1:9" ht="15.75" x14ac:dyDescent="0.25">
      <c r="A77" s="184" t="s">
        <v>293</v>
      </c>
      <c r="B77" s="414" t="s">
        <v>294</v>
      </c>
      <c r="C77" s="414"/>
      <c r="D77" s="415"/>
      <c r="E77" s="185"/>
      <c r="F77" s="184"/>
      <c r="G77" s="184"/>
      <c r="H77" s="184"/>
      <c r="I77" s="184"/>
    </row>
    <row r="78" spans="1:9" ht="99.95" customHeight="1" x14ac:dyDescent="0.25">
      <c r="A78" s="293"/>
      <c r="B78" s="466" t="s">
        <v>295</v>
      </c>
      <c r="C78" s="466"/>
      <c r="D78" s="466"/>
      <c r="E78" s="224"/>
      <c r="F78" s="96" t="s">
        <v>73</v>
      </c>
      <c r="G78" s="284" t="s">
        <v>296</v>
      </c>
      <c r="H78" s="82">
        <f>IF(E78&gt;=90,3,IF(E78&gt;=60,2,IF(E78&gt;=30,1,0)))</f>
        <v>0</v>
      </c>
      <c r="I78" s="18"/>
    </row>
    <row r="79" spans="1:9" ht="15.75" x14ac:dyDescent="0.25">
      <c r="A79" s="193"/>
      <c r="B79" s="410" t="s">
        <v>297</v>
      </c>
      <c r="C79" s="411"/>
      <c r="D79" s="411"/>
      <c r="E79" s="411"/>
      <c r="F79" s="411"/>
      <c r="G79" s="412"/>
      <c r="H79" s="194">
        <f>SUM(H78)</f>
        <v>0</v>
      </c>
      <c r="I79" s="195"/>
    </row>
    <row r="80" spans="1:9" s="328" customFormat="1" ht="18.600000000000001" customHeight="1" x14ac:dyDescent="0.25">
      <c r="A80" s="181"/>
      <c r="B80" s="464" t="s">
        <v>298</v>
      </c>
      <c r="C80" s="465"/>
      <c r="D80" s="465"/>
      <c r="E80" s="465"/>
      <c r="F80" s="465"/>
      <c r="G80" s="220">
        <v>2</v>
      </c>
      <c r="H80" s="204">
        <f>SUM(H82:H83)</f>
        <v>0</v>
      </c>
      <c r="I80" s="183"/>
    </row>
    <row r="81" spans="1:9" ht="65.099999999999994" customHeight="1" x14ac:dyDescent="0.25">
      <c r="A81" s="184"/>
      <c r="B81" s="467" t="s">
        <v>299</v>
      </c>
      <c r="C81" s="467"/>
      <c r="D81" s="467"/>
      <c r="E81" s="185"/>
      <c r="F81" s="184"/>
      <c r="G81" s="223" t="s">
        <v>192</v>
      </c>
      <c r="H81" s="184"/>
      <c r="I81" s="299" t="s">
        <v>193</v>
      </c>
    </row>
    <row r="82" spans="1:9" ht="183" customHeight="1" x14ac:dyDescent="0.25">
      <c r="A82" s="293"/>
      <c r="B82" s="466" t="s">
        <v>513</v>
      </c>
      <c r="C82" s="466"/>
      <c r="D82" s="466"/>
      <c r="E82" s="224"/>
      <c r="F82" s="169" t="s">
        <v>68</v>
      </c>
      <c r="G82" s="372" t="s">
        <v>195</v>
      </c>
      <c r="H82" s="82">
        <f>E82</f>
        <v>0</v>
      </c>
      <c r="I82" s="177" t="s">
        <v>196</v>
      </c>
    </row>
    <row r="83" spans="1:9" ht="183" customHeight="1" x14ac:dyDescent="0.25">
      <c r="A83" s="39"/>
      <c r="B83" s="466"/>
      <c r="C83" s="466"/>
      <c r="D83" s="466"/>
      <c r="E83" s="224"/>
      <c r="F83" s="169" t="s">
        <v>68</v>
      </c>
      <c r="G83" s="372"/>
      <c r="H83" s="82">
        <f>E83</f>
        <v>0</v>
      </c>
      <c r="I83" s="177" t="s">
        <v>197</v>
      </c>
    </row>
  </sheetData>
  <sheetProtection formatCells="0" selectLockedCells="1"/>
  <mergeCells count="105">
    <mergeCell ref="B63:D63"/>
    <mergeCell ref="B65:D65"/>
    <mergeCell ref="B56:D56"/>
    <mergeCell ref="B47:D47"/>
    <mergeCell ref="B44:D44"/>
    <mergeCell ref="B45:D45"/>
    <mergeCell ref="B46:D46"/>
    <mergeCell ref="B27:D27"/>
    <mergeCell ref="B28:D28"/>
    <mergeCell ref="B31:D31"/>
    <mergeCell ref="B32:D32"/>
    <mergeCell ref="B51:D51"/>
    <mergeCell ref="B52:D52"/>
    <mergeCell ref="B53:D53"/>
    <mergeCell ref="B64:D64"/>
    <mergeCell ref="B1:D1"/>
    <mergeCell ref="B3:F3"/>
    <mergeCell ref="B30:F30"/>
    <mergeCell ref="B69:F69"/>
    <mergeCell ref="G82:G83"/>
    <mergeCell ref="B82:D83"/>
    <mergeCell ref="B17:G17"/>
    <mergeCell ref="B26:G26"/>
    <mergeCell ref="B29:G29"/>
    <mergeCell ref="B57:G57"/>
    <mergeCell ref="B62:G62"/>
    <mergeCell ref="B68:G68"/>
    <mergeCell ref="B81:D81"/>
    <mergeCell ref="B70:D70"/>
    <mergeCell ref="B71:D71"/>
    <mergeCell ref="B49:D49"/>
    <mergeCell ref="B50:D50"/>
    <mergeCell ref="B54:D54"/>
    <mergeCell ref="B55:D55"/>
    <mergeCell ref="B80:F80"/>
    <mergeCell ref="B75:D75"/>
    <mergeCell ref="B77:D77"/>
    <mergeCell ref="B78:D78"/>
    <mergeCell ref="A2:F2"/>
    <mergeCell ref="B25:D25"/>
    <mergeCell ref="B16:D16"/>
    <mergeCell ref="A7:A14"/>
    <mergeCell ref="D7:D14"/>
    <mergeCell ref="B58:D58"/>
    <mergeCell ref="E7:E14"/>
    <mergeCell ref="F7:F14"/>
    <mergeCell ref="D34:D37"/>
    <mergeCell ref="A21:A25"/>
    <mergeCell ref="D39:D41"/>
    <mergeCell ref="A33:A37"/>
    <mergeCell ref="A38:A46"/>
    <mergeCell ref="E38:E41"/>
    <mergeCell ref="F38:F41"/>
    <mergeCell ref="A47:A48"/>
    <mergeCell ref="A49:A56"/>
    <mergeCell ref="B10:B14"/>
    <mergeCell ref="B8:B9"/>
    <mergeCell ref="A59:A60"/>
    <mergeCell ref="E34:E37"/>
    <mergeCell ref="F34:F37"/>
    <mergeCell ref="G34:G37"/>
    <mergeCell ref="H34:H37"/>
    <mergeCell ref="G59:G60"/>
    <mergeCell ref="B59:D60"/>
    <mergeCell ref="B48:D48"/>
    <mergeCell ref="B33:D33"/>
    <mergeCell ref="H42:H46"/>
    <mergeCell ref="H59:H60"/>
    <mergeCell ref="H51:H52"/>
    <mergeCell ref="H53:H56"/>
    <mergeCell ref="B79:G79"/>
    <mergeCell ref="G38:G41"/>
    <mergeCell ref="B19:D19"/>
    <mergeCell ref="B4:D4"/>
    <mergeCell ref="B5:D5"/>
    <mergeCell ref="B6:D6"/>
    <mergeCell ref="B15:D15"/>
    <mergeCell ref="G42:G46"/>
    <mergeCell ref="B74:D74"/>
    <mergeCell ref="B66:D66"/>
    <mergeCell ref="B67:D67"/>
    <mergeCell ref="B61:D61"/>
    <mergeCell ref="B73:D73"/>
    <mergeCell ref="B18:D18"/>
    <mergeCell ref="B38:D38"/>
    <mergeCell ref="B42:D42"/>
    <mergeCell ref="B43:D43"/>
    <mergeCell ref="G53:G56"/>
    <mergeCell ref="G51:G52"/>
    <mergeCell ref="B72:G72"/>
    <mergeCell ref="B76:G76"/>
    <mergeCell ref="G7:G14"/>
    <mergeCell ref="B7:C7"/>
    <mergeCell ref="B20:D20"/>
    <mergeCell ref="H7:H14"/>
    <mergeCell ref="I7:I14"/>
    <mergeCell ref="E21:E25"/>
    <mergeCell ref="F21:F25"/>
    <mergeCell ref="G21:G25"/>
    <mergeCell ref="I42:I46"/>
    <mergeCell ref="H38:H41"/>
    <mergeCell ref="I38:I41"/>
    <mergeCell ref="I34:I37"/>
    <mergeCell ref="H21:H25"/>
    <mergeCell ref="I21:I25"/>
  </mergeCells>
  <dataValidations count="10">
    <dataValidation type="decimal" allowBlank="1" showErrorMessage="1" error="Please enter 0.5 or 1 or 1.5 or 2." prompt="Please Enter 0 or 1 or 1.5 or 2." sqref="H82 H74:H75" xr:uid="{00000000-0002-0000-0400-000000000000}">
      <formula1>0</formula1>
      <formula2>2</formula2>
    </dataValidation>
    <dataValidation allowBlank="1" showInputMessage="1" showErrorMessage="1" prompt="Please list down short description of your innovation." sqref="I74:I75 I82:I83" xr:uid="{00000000-0002-0000-0400-000001000000}"/>
    <dataValidation allowBlank="1" showErrorMessage="1" sqref="H83" xr:uid="{00000000-0002-0000-0400-000002000000}"/>
    <dataValidation type="list" allowBlank="1" showInputMessage="1" showErrorMessage="1" sqref="E15 E65 E67 E28 E56 E54 E52" xr:uid="{00000000-0002-0000-0400-000003000000}">
      <formula1>"Y,N"</formula1>
    </dataValidation>
    <dataValidation type="decimal" allowBlank="1" showInputMessage="1" showErrorMessage="1" sqref="E20 E34:E37 E42:E46 E60:E61 E66 E53 E74:E75 E55 E51 E78" xr:uid="{00000000-0002-0000-0400-000004000000}">
      <formula1>0</formula1>
      <formula2>100</formula2>
    </dataValidation>
    <dataValidation type="whole" allowBlank="1" showInputMessage="1" showErrorMessage="1" sqref="E48" xr:uid="{00000000-0002-0000-0400-000005000000}">
      <formula1>0</formula1>
      <formula2>100</formula2>
    </dataValidation>
    <dataValidation type="list" allowBlank="1" showInputMessage="1" showErrorMessage="1" sqref="E59" xr:uid="{00000000-0002-0000-0400-000006000000}">
      <formula1>"Cost,Area"</formula1>
    </dataValidation>
    <dataValidation type="list" showErrorMessage="1" error="Please enter 0.5 or 1 or 1.5 or 2." prompt="Please Enter 0.5 or 1 or 1.5 or 2." sqref="E82:E83" xr:uid="{00000000-0002-0000-0400-000007000000}">
      <formula1>"0, 0.5, 1.0, 1.5, 2.0"</formula1>
    </dataValidation>
    <dataValidation type="decimal" allowBlank="1" showInputMessage="1" showErrorMessage="1" sqref="E19" xr:uid="{00000000-0002-0000-0400-000008000000}">
      <formula1>0</formula1>
      <formula2>10000</formula2>
    </dataValidation>
    <dataValidation type="decimal" allowBlank="1" showInputMessage="1" showErrorMessage="1" sqref="E50" xr:uid="{00000000-0002-0000-0400-000009000000}">
      <formula1>0</formula1>
      <formula2>1000000</formula2>
    </dataValidation>
  </dataValidations>
  <pageMargins left="0.7" right="0.7" top="0.75" bottom="0.75" header="0.3" footer="0.3"/>
  <pageSetup paperSize="9" scale="50" orientation="portrait" r:id="rId1"/>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7"/>
  <sheetViews>
    <sheetView zoomScaleNormal="100" zoomScalePageLayoutView="85" workbookViewId="0">
      <selection activeCell="J74" sqref="J74"/>
    </sheetView>
  </sheetViews>
  <sheetFormatPr defaultColWidth="9.140625" defaultRowHeight="15" x14ac:dyDescent="0.25"/>
  <cols>
    <col min="1" max="1" width="8.28515625" style="17" customWidth="1"/>
    <col min="2" max="2" width="22.28515625" style="17" customWidth="1"/>
    <col min="3" max="3" width="46.42578125" style="17" customWidth="1"/>
    <col min="4" max="4" width="10.5703125" style="17" customWidth="1"/>
    <col min="5" max="5" width="10.7109375" style="324" customWidth="1"/>
    <col min="6" max="6" width="16.140625" style="318" customWidth="1"/>
    <col min="7" max="7" width="18.140625" style="17" customWidth="1"/>
    <col min="8" max="8" width="10.7109375" style="330" customWidth="1"/>
    <col min="9" max="9" width="30.7109375" style="17" customWidth="1"/>
    <col min="10" max="11" width="50.7109375" style="17" customWidth="1"/>
    <col min="12" max="12" width="15.5703125" style="17" customWidth="1"/>
    <col min="13" max="13" width="17.28515625" style="17" customWidth="1"/>
    <col min="14" max="16384" width="9.140625" style="17"/>
  </cols>
  <sheetData>
    <row r="1" spans="1:9" ht="47.25" x14ac:dyDescent="0.25">
      <c r="A1" s="320"/>
      <c r="B1" s="493" t="s">
        <v>300</v>
      </c>
      <c r="C1" s="494"/>
      <c r="D1" s="495"/>
      <c r="E1" s="319" t="s">
        <v>61</v>
      </c>
      <c r="F1" s="319" t="s">
        <v>62</v>
      </c>
      <c r="G1" s="322" t="s">
        <v>97</v>
      </c>
      <c r="H1" s="319" t="s">
        <v>98</v>
      </c>
      <c r="I1" s="321" t="s">
        <v>99</v>
      </c>
    </row>
    <row r="2" spans="1:9" ht="21" x14ac:dyDescent="0.25">
      <c r="A2" s="496" t="s">
        <v>301</v>
      </c>
      <c r="B2" s="497"/>
      <c r="C2" s="497"/>
      <c r="D2" s="497"/>
      <c r="E2" s="497"/>
      <c r="F2" s="498"/>
      <c r="G2" s="226">
        <v>15</v>
      </c>
      <c r="H2" s="227">
        <f>MIN(SUM(H3,H46,H71,H94),15)</f>
        <v>0</v>
      </c>
      <c r="I2" s="228" t="s">
        <v>100</v>
      </c>
    </row>
    <row r="3" spans="1:9" ht="14.45" customHeight="1" x14ac:dyDescent="0.25">
      <c r="A3" s="229" t="s">
        <v>302</v>
      </c>
      <c r="B3" s="499" t="s">
        <v>303</v>
      </c>
      <c r="C3" s="500"/>
      <c r="D3" s="500"/>
      <c r="E3" s="500"/>
      <c r="F3" s="500"/>
      <c r="G3" s="230">
        <v>5</v>
      </c>
      <c r="H3" s="231">
        <f>MIN(SUM(H8,H12,H22,H35,H40,H45), 5)</f>
        <v>0</v>
      </c>
      <c r="I3" s="232"/>
    </row>
    <row r="4" spans="1:9" ht="15.75" x14ac:dyDescent="0.25">
      <c r="A4" s="233" t="s">
        <v>304</v>
      </c>
      <c r="B4" s="501" t="s">
        <v>305</v>
      </c>
      <c r="C4" s="501"/>
      <c r="D4" s="502"/>
      <c r="E4" s="234"/>
      <c r="F4" s="233"/>
      <c r="G4" s="233"/>
      <c r="H4" s="235"/>
      <c r="I4" s="233"/>
    </row>
    <row r="5" spans="1:9" ht="15.75" x14ac:dyDescent="0.25">
      <c r="A5" s="236" t="s">
        <v>306</v>
      </c>
      <c r="B5" s="503" t="s">
        <v>307</v>
      </c>
      <c r="C5" s="503"/>
      <c r="D5" s="503"/>
      <c r="E5" s="237"/>
      <c r="F5" s="236"/>
      <c r="G5" s="238"/>
      <c r="H5" s="239"/>
      <c r="I5" s="238"/>
    </row>
    <row r="6" spans="1:9" ht="80.25" customHeight="1" x14ac:dyDescent="0.25">
      <c r="A6" s="295" t="s">
        <v>222</v>
      </c>
      <c r="B6" s="466" t="s">
        <v>308</v>
      </c>
      <c r="C6" s="466"/>
      <c r="D6" s="466"/>
      <c r="E6" s="224"/>
      <c r="F6" s="294" t="s">
        <v>65</v>
      </c>
      <c r="G6" s="295" t="s">
        <v>262</v>
      </c>
      <c r="H6" s="285">
        <f>IF(E6="Y",0.5,0)</f>
        <v>0</v>
      </c>
      <c r="I6" s="254"/>
    </row>
    <row r="7" spans="1:9" ht="50.1" customHeight="1" x14ac:dyDescent="0.25">
      <c r="A7" s="295" t="s">
        <v>224</v>
      </c>
      <c r="B7" s="466" t="s">
        <v>309</v>
      </c>
      <c r="C7" s="466"/>
      <c r="D7" s="466"/>
      <c r="E7" s="224"/>
      <c r="F7" s="294" t="s">
        <v>65</v>
      </c>
      <c r="G7" s="295" t="s">
        <v>262</v>
      </c>
      <c r="H7" s="285">
        <f>IF(E7="Y",0.5,0)</f>
        <v>0</v>
      </c>
      <c r="I7" s="254"/>
    </row>
    <row r="8" spans="1:9" ht="15.75" x14ac:dyDescent="0.25">
      <c r="A8" s="519" t="s">
        <v>310</v>
      </c>
      <c r="B8" s="519"/>
      <c r="C8" s="519"/>
      <c r="D8" s="519"/>
      <c r="E8" s="519"/>
      <c r="F8" s="519"/>
      <c r="G8" s="519"/>
      <c r="H8" s="240">
        <f>SUM(H6:H7)</f>
        <v>0</v>
      </c>
      <c r="I8" s="241"/>
    </row>
    <row r="9" spans="1:9" ht="15.75" x14ac:dyDescent="0.25">
      <c r="A9" s="236" t="s">
        <v>311</v>
      </c>
      <c r="B9" s="505" t="s">
        <v>312</v>
      </c>
      <c r="C9" s="505"/>
      <c r="D9" s="505"/>
      <c r="E9" s="237"/>
      <c r="F9" s="236"/>
      <c r="G9" s="238"/>
      <c r="H9" s="239"/>
      <c r="I9" s="238"/>
    </row>
    <row r="10" spans="1:9" ht="175.5" customHeight="1" x14ac:dyDescent="0.25">
      <c r="A10" s="295" t="s">
        <v>70</v>
      </c>
      <c r="B10" s="423" t="s">
        <v>313</v>
      </c>
      <c r="C10" s="413"/>
      <c r="D10" s="469"/>
      <c r="E10" s="224"/>
      <c r="F10" s="294" t="s">
        <v>314</v>
      </c>
      <c r="G10" s="284" t="s">
        <v>315</v>
      </c>
      <c r="H10" s="285">
        <f>IF(E10="A",0.5,IF(E10="B",1,0))</f>
        <v>0</v>
      </c>
      <c r="I10" s="254"/>
    </row>
    <row r="11" spans="1:9" ht="81" customHeight="1" x14ac:dyDescent="0.25">
      <c r="A11" s="295" t="s">
        <v>71</v>
      </c>
      <c r="B11" s="413" t="s">
        <v>316</v>
      </c>
      <c r="C11" s="413"/>
      <c r="D11" s="413"/>
      <c r="E11" s="301" t="s">
        <v>115</v>
      </c>
      <c r="F11" s="294" t="s">
        <v>115</v>
      </c>
      <c r="G11" s="284" t="s">
        <v>115</v>
      </c>
      <c r="H11" s="285" t="s">
        <v>115</v>
      </c>
      <c r="I11" s="254"/>
    </row>
    <row r="12" spans="1:9" ht="15.75" x14ac:dyDescent="0.25">
      <c r="A12" s="519" t="s">
        <v>317</v>
      </c>
      <c r="B12" s="519"/>
      <c r="C12" s="519"/>
      <c r="D12" s="519"/>
      <c r="E12" s="519"/>
      <c r="F12" s="519"/>
      <c r="G12" s="519"/>
      <c r="H12" s="240">
        <f>SUM(H10:H11)</f>
        <v>0</v>
      </c>
      <c r="I12" s="241"/>
    </row>
    <row r="13" spans="1:9" ht="15.75" customHeight="1" x14ac:dyDescent="0.25">
      <c r="A13" s="233" t="s">
        <v>318</v>
      </c>
      <c r="B13" s="492" t="s">
        <v>319</v>
      </c>
      <c r="C13" s="492"/>
      <c r="D13" s="504"/>
      <c r="E13" s="234"/>
      <c r="F13" s="233"/>
      <c r="G13" s="233"/>
      <c r="H13" s="235"/>
      <c r="I13" s="233"/>
    </row>
    <row r="14" spans="1:9" ht="80.099999999999994" customHeight="1" thickBot="1" x14ac:dyDescent="0.3">
      <c r="A14" s="506"/>
      <c r="B14" s="438" t="s">
        <v>320</v>
      </c>
      <c r="C14" s="439"/>
      <c r="D14" s="469"/>
      <c r="E14" s="301"/>
      <c r="F14" s="288"/>
      <c r="G14" s="52"/>
      <c r="H14" s="285"/>
      <c r="I14" s="329"/>
    </row>
    <row r="15" spans="1:9" ht="15.75" x14ac:dyDescent="0.25">
      <c r="A15" s="507"/>
      <c r="B15" s="486" t="s">
        <v>321</v>
      </c>
      <c r="C15" s="487"/>
      <c r="D15" s="482"/>
      <c r="E15" s="522"/>
      <c r="F15" s="434"/>
      <c r="G15" s="431"/>
      <c r="H15" s="434"/>
      <c r="I15" s="483"/>
    </row>
    <row r="16" spans="1:9" ht="15" customHeight="1" x14ac:dyDescent="0.25">
      <c r="A16" s="507"/>
      <c r="B16" s="488" t="s">
        <v>322</v>
      </c>
      <c r="C16" s="489"/>
      <c r="D16" s="452"/>
      <c r="E16" s="522"/>
      <c r="F16" s="434"/>
      <c r="G16" s="431"/>
      <c r="H16" s="434"/>
      <c r="I16" s="484"/>
    </row>
    <row r="17" spans="1:9" ht="55.5" x14ac:dyDescent="0.25">
      <c r="A17" s="507"/>
      <c r="B17" s="242" t="s">
        <v>323</v>
      </c>
      <c r="C17" s="243" t="s">
        <v>324</v>
      </c>
      <c r="D17" s="452"/>
      <c r="E17" s="522"/>
      <c r="F17" s="434"/>
      <c r="G17" s="431"/>
      <c r="H17" s="434"/>
      <c r="I17" s="484"/>
    </row>
    <row r="18" spans="1:9" ht="42.95" customHeight="1" x14ac:dyDescent="0.25">
      <c r="A18" s="507"/>
      <c r="B18" s="244" t="s">
        <v>325</v>
      </c>
      <c r="C18" s="243" t="s">
        <v>326</v>
      </c>
      <c r="D18" s="452"/>
      <c r="E18" s="522"/>
      <c r="F18" s="434"/>
      <c r="G18" s="431"/>
      <c r="H18" s="434"/>
      <c r="I18" s="484"/>
    </row>
    <row r="19" spans="1:9" ht="66.95" customHeight="1" thickBot="1" x14ac:dyDescent="0.3">
      <c r="A19" s="507"/>
      <c r="B19" s="490" t="s">
        <v>327</v>
      </c>
      <c r="C19" s="491"/>
      <c r="D19" s="453"/>
      <c r="E19" s="522"/>
      <c r="F19" s="434"/>
      <c r="G19" s="431"/>
      <c r="H19" s="434"/>
      <c r="I19" s="485"/>
    </row>
    <row r="20" spans="1:9" ht="30" customHeight="1" x14ac:dyDescent="0.25">
      <c r="A20" s="507"/>
      <c r="B20" s="509" t="s">
        <v>328</v>
      </c>
      <c r="C20" s="510"/>
      <c r="D20" s="511"/>
      <c r="E20" s="224"/>
      <c r="F20" s="294" t="s">
        <v>314</v>
      </c>
      <c r="G20" s="372" t="s">
        <v>329</v>
      </c>
      <c r="H20" s="436">
        <f>IF(AND(E20="A",E21&gt;=60),2,0)+IF(AND(E20="B",E21&gt;=80),0.5,0)</f>
        <v>0</v>
      </c>
      <c r="I20" s="480"/>
    </row>
    <row r="21" spans="1:9" ht="28.5" customHeight="1" x14ac:dyDescent="0.25">
      <c r="A21" s="508"/>
      <c r="B21" s="440"/>
      <c r="C21" s="425"/>
      <c r="D21" s="441"/>
      <c r="E21" s="224"/>
      <c r="F21" s="294" t="s">
        <v>73</v>
      </c>
      <c r="G21" s="372"/>
      <c r="H21" s="443"/>
      <c r="I21" s="481"/>
    </row>
    <row r="22" spans="1:9" ht="15.75" x14ac:dyDescent="0.25">
      <c r="A22" s="519" t="s">
        <v>330</v>
      </c>
      <c r="B22" s="519"/>
      <c r="C22" s="519"/>
      <c r="D22" s="519"/>
      <c r="E22" s="519"/>
      <c r="F22" s="519"/>
      <c r="G22" s="519"/>
      <c r="H22" s="240">
        <f>SUM(H14:H21)</f>
        <v>0</v>
      </c>
      <c r="I22" s="241"/>
    </row>
    <row r="23" spans="1:9" ht="15.75" x14ac:dyDescent="0.25">
      <c r="A23" s="233" t="s">
        <v>331</v>
      </c>
      <c r="B23" s="492" t="s">
        <v>332</v>
      </c>
      <c r="C23" s="492"/>
      <c r="D23" s="492"/>
      <c r="E23" s="234"/>
      <c r="F23" s="245"/>
      <c r="G23" s="233"/>
      <c r="H23" s="235"/>
      <c r="I23" s="233"/>
    </row>
    <row r="24" spans="1:9" ht="15.75" customHeight="1" x14ac:dyDescent="0.25">
      <c r="A24" s="236" t="s">
        <v>333</v>
      </c>
      <c r="B24" s="505" t="s">
        <v>334</v>
      </c>
      <c r="C24" s="505"/>
      <c r="D24" s="505"/>
      <c r="E24" s="237"/>
      <c r="F24" s="246"/>
      <c r="G24" s="238"/>
      <c r="H24" s="239"/>
      <c r="I24" s="238"/>
    </row>
    <row r="25" spans="1:9" ht="136.5" customHeight="1" x14ac:dyDescent="0.25">
      <c r="A25" s="420" t="s">
        <v>222</v>
      </c>
      <c r="B25" s="442" t="s">
        <v>335</v>
      </c>
      <c r="C25" s="442"/>
      <c r="D25" s="442"/>
      <c r="E25" s="295"/>
      <c r="F25" s="247"/>
      <c r="G25" s="295"/>
      <c r="H25" s="285"/>
      <c r="I25" s="225"/>
    </row>
    <row r="26" spans="1:9" ht="15.75" x14ac:dyDescent="0.25">
      <c r="A26" s="421"/>
      <c r="B26" s="516" t="s">
        <v>336</v>
      </c>
      <c r="C26" s="442"/>
      <c r="D26" s="517"/>
      <c r="E26" s="224"/>
      <c r="F26" s="247" t="s">
        <v>65</v>
      </c>
      <c r="G26" s="426" t="s">
        <v>315</v>
      </c>
      <c r="H26" s="436">
        <f>IF(AND(E26="Y",E27="Y",E28&gt;=90),1,IF(AND(E26="Y",E27="Y",E28&gt;=50),0.5,0))</f>
        <v>0</v>
      </c>
      <c r="I26" s="225"/>
    </row>
    <row r="27" spans="1:9" ht="47.45" customHeight="1" x14ac:dyDescent="0.25">
      <c r="A27" s="421"/>
      <c r="B27" s="516" t="s">
        <v>337</v>
      </c>
      <c r="C27" s="442"/>
      <c r="D27" s="517"/>
      <c r="E27" s="224"/>
      <c r="F27" s="247" t="s">
        <v>65</v>
      </c>
      <c r="G27" s="421"/>
      <c r="H27" s="437"/>
      <c r="I27" s="225"/>
    </row>
    <row r="28" spans="1:9" ht="48" customHeight="1" x14ac:dyDescent="0.25">
      <c r="A28" s="422"/>
      <c r="B28" s="516" t="s">
        <v>338</v>
      </c>
      <c r="C28" s="442"/>
      <c r="D28" s="517"/>
      <c r="E28" s="224"/>
      <c r="F28" s="247" t="s">
        <v>73</v>
      </c>
      <c r="G28" s="422"/>
      <c r="H28" s="443"/>
      <c r="I28" s="225"/>
    </row>
    <row r="29" spans="1:9" ht="15.75" x14ac:dyDescent="0.25">
      <c r="A29" s="420" t="s">
        <v>224</v>
      </c>
      <c r="B29" s="518" t="s">
        <v>339</v>
      </c>
      <c r="C29" s="475"/>
      <c r="D29" s="476"/>
      <c r="E29" s="301"/>
      <c r="F29" s="247"/>
      <c r="G29" s="290"/>
      <c r="H29" s="297"/>
      <c r="I29" s="225"/>
    </row>
    <row r="30" spans="1:9" ht="15.75" x14ac:dyDescent="0.25">
      <c r="A30" s="421"/>
      <c r="B30" s="474" t="s">
        <v>340</v>
      </c>
      <c r="C30" s="475"/>
      <c r="D30" s="476"/>
      <c r="E30" s="224"/>
      <c r="F30" s="96" t="s">
        <v>68</v>
      </c>
      <c r="G30" s="295" t="s">
        <v>217</v>
      </c>
      <c r="H30" s="285">
        <f>IF(ISBLANK(E30),0,IF(AND(E30&lt;0.5,E30&gt;-0.5),3,0))</f>
        <v>0</v>
      </c>
      <c r="I30" s="225"/>
    </row>
    <row r="31" spans="1:9" ht="36" customHeight="1" x14ac:dyDescent="0.25">
      <c r="A31" s="421"/>
      <c r="B31" s="474" t="s">
        <v>341</v>
      </c>
      <c r="C31" s="475"/>
      <c r="D31" s="476"/>
      <c r="E31" s="224"/>
      <c r="F31" s="96" t="s">
        <v>73</v>
      </c>
      <c r="G31" s="284" t="s">
        <v>217</v>
      </c>
      <c r="H31" s="285">
        <f>IF(E31&gt;=70,3,0)</f>
        <v>0</v>
      </c>
      <c r="I31" s="225"/>
    </row>
    <row r="32" spans="1:9" ht="15.75" x14ac:dyDescent="0.25">
      <c r="A32" s="421"/>
      <c r="B32" s="477" t="s">
        <v>342</v>
      </c>
      <c r="C32" s="477"/>
      <c r="D32" s="477"/>
      <c r="E32" s="248"/>
      <c r="F32" s="96"/>
      <c r="G32" s="295"/>
      <c r="H32" s="285"/>
      <c r="I32" s="225"/>
    </row>
    <row r="33" spans="1:9" ht="47.25" x14ac:dyDescent="0.25">
      <c r="A33" s="421"/>
      <c r="B33" s="478" t="s">
        <v>343</v>
      </c>
      <c r="C33" s="478"/>
      <c r="D33" s="478"/>
      <c r="E33" s="224"/>
      <c r="F33" s="96" t="s">
        <v>73</v>
      </c>
      <c r="G33" s="284" t="s">
        <v>344</v>
      </c>
      <c r="H33" s="285">
        <f>ROUNDDOWN(E33*0.01,1)</f>
        <v>0</v>
      </c>
      <c r="I33" s="225"/>
    </row>
    <row r="34" spans="1:9" ht="78.75" customHeight="1" x14ac:dyDescent="0.25">
      <c r="A34" s="422"/>
      <c r="B34" s="479" t="s">
        <v>345</v>
      </c>
      <c r="C34" s="479"/>
      <c r="D34" s="479"/>
      <c r="E34" s="224"/>
      <c r="F34" s="96" t="s">
        <v>73</v>
      </c>
      <c r="G34" s="284" t="s">
        <v>346</v>
      </c>
      <c r="H34" s="285">
        <f>IF(E34&gt;=75,3,IF(E34&gt;=70, 2, IF(E34&gt;=60, 1, IF(E34&gt;=50,0.5, 0))))</f>
        <v>0</v>
      </c>
      <c r="I34" s="225"/>
    </row>
    <row r="35" spans="1:9" ht="15.75" x14ac:dyDescent="0.25">
      <c r="A35" s="519" t="s">
        <v>347</v>
      </c>
      <c r="B35" s="519"/>
      <c r="C35" s="519"/>
      <c r="D35" s="519"/>
      <c r="E35" s="519"/>
      <c r="F35" s="519"/>
      <c r="G35" s="519"/>
      <c r="H35" s="240">
        <f>SUM(H26,MAX(H30,H31,MIN(SUM(H33:H34),3)))</f>
        <v>0</v>
      </c>
      <c r="I35" s="241"/>
    </row>
    <row r="36" spans="1:9" ht="15.75" customHeight="1" x14ac:dyDescent="0.25">
      <c r="A36" s="236" t="s">
        <v>348</v>
      </c>
      <c r="B36" s="514" t="s">
        <v>349</v>
      </c>
      <c r="C36" s="514"/>
      <c r="D36" s="514"/>
      <c r="E36" s="237"/>
      <c r="F36" s="236"/>
      <c r="G36" s="238"/>
      <c r="H36" s="239"/>
      <c r="I36" s="238"/>
    </row>
    <row r="37" spans="1:9" ht="81" customHeight="1" x14ac:dyDescent="0.25">
      <c r="A37" s="282" t="s">
        <v>70</v>
      </c>
      <c r="B37" s="466" t="s">
        <v>350</v>
      </c>
      <c r="C37" s="466"/>
      <c r="D37" s="466"/>
      <c r="E37" s="301" t="s">
        <v>115</v>
      </c>
      <c r="F37" s="294" t="s">
        <v>115</v>
      </c>
      <c r="G37" s="284" t="s">
        <v>115</v>
      </c>
      <c r="H37" s="285" t="s">
        <v>115</v>
      </c>
      <c r="I37" s="225"/>
    </row>
    <row r="38" spans="1:9" ht="33.6" customHeight="1" x14ac:dyDescent="0.25">
      <c r="A38" s="282" t="s">
        <v>71</v>
      </c>
      <c r="B38" s="466" t="s">
        <v>351</v>
      </c>
      <c r="C38" s="466"/>
      <c r="D38" s="466"/>
      <c r="E38" s="301" t="s">
        <v>115</v>
      </c>
      <c r="F38" s="294" t="s">
        <v>115</v>
      </c>
      <c r="G38" s="284" t="s">
        <v>115</v>
      </c>
      <c r="H38" s="285" t="s">
        <v>115</v>
      </c>
      <c r="I38" s="225"/>
    </row>
    <row r="39" spans="1:9" ht="63" customHeight="1" x14ac:dyDescent="0.25">
      <c r="A39" s="282" t="s">
        <v>74</v>
      </c>
      <c r="B39" s="466" t="s">
        <v>352</v>
      </c>
      <c r="C39" s="466"/>
      <c r="D39" s="466"/>
      <c r="E39" s="301" t="s">
        <v>115</v>
      </c>
      <c r="F39" s="294" t="s">
        <v>115</v>
      </c>
      <c r="G39" s="284" t="s">
        <v>115</v>
      </c>
      <c r="H39" s="285" t="s">
        <v>115</v>
      </c>
      <c r="I39" s="225"/>
    </row>
    <row r="40" spans="1:9" ht="15.75" x14ac:dyDescent="0.25">
      <c r="A40" s="519" t="s">
        <v>353</v>
      </c>
      <c r="B40" s="519"/>
      <c r="C40" s="519"/>
      <c r="D40" s="519"/>
      <c r="E40" s="519"/>
      <c r="F40" s="519"/>
      <c r="G40" s="519"/>
      <c r="H40" s="240">
        <f>SUM(H37:H39)</f>
        <v>0</v>
      </c>
      <c r="I40" s="241"/>
    </row>
    <row r="41" spans="1:9" ht="15.75" customHeight="1" x14ac:dyDescent="0.25">
      <c r="A41" s="236" t="s">
        <v>354</v>
      </c>
      <c r="B41" s="514" t="s">
        <v>355</v>
      </c>
      <c r="C41" s="514"/>
      <c r="D41" s="514"/>
      <c r="E41" s="237"/>
      <c r="F41" s="236"/>
      <c r="G41" s="238"/>
      <c r="H41" s="239"/>
      <c r="I41" s="238"/>
    </row>
    <row r="42" spans="1:9" ht="15.6" customHeight="1" x14ac:dyDescent="0.25">
      <c r="A42" s="282" t="s">
        <v>70</v>
      </c>
      <c r="B42" s="515" t="s">
        <v>356</v>
      </c>
      <c r="C42" s="515"/>
      <c r="D42" s="515"/>
      <c r="E42" s="301" t="s">
        <v>115</v>
      </c>
      <c r="F42" s="294" t="s">
        <v>115</v>
      </c>
      <c r="G42" s="284" t="s">
        <v>115</v>
      </c>
      <c r="H42" s="285" t="s">
        <v>115</v>
      </c>
      <c r="I42" s="225"/>
    </row>
    <row r="43" spans="1:9" ht="64.5" customHeight="1" x14ac:dyDescent="0.25">
      <c r="A43" s="282" t="s">
        <v>71</v>
      </c>
      <c r="B43" s="466" t="s">
        <v>357</v>
      </c>
      <c r="C43" s="466"/>
      <c r="D43" s="466"/>
      <c r="E43" s="301" t="s">
        <v>115</v>
      </c>
      <c r="F43" s="294" t="s">
        <v>115</v>
      </c>
      <c r="G43" s="284" t="s">
        <v>115</v>
      </c>
      <c r="H43" s="285" t="s">
        <v>115</v>
      </c>
      <c r="I43" s="225"/>
    </row>
    <row r="44" spans="1:9" ht="47.1" customHeight="1" x14ac:dyDescent="0.25">
      <c r="A44" s="282" t="s">
        <v>74</v>
      </c>
      <c r="B44" s="466" t="s">
        <v>358</v>
      </c>
      <c r="C44" s="466"/>
      <c r="D44" s="466"/>
      <c r="E44" s="224"/>
      <c r="F44" s="96" t="s">
        <v>65</v>
      </c>
      <c r="G44" s="284" t="s">
        <v>108</v>
      </c>
      <c r="H44" s="285">
        <f>IF(E44="Y",1,0)</f>
        <v>0</v>
      </c>
      <c r="I44" s="225"/>
    </row>
    <row r="45" spans="1:9" ht="15.75" x14ac:dyDescent="0.25">
      <c r="A45" s="519" t="s">
        <v>359</v>
      </c>
      <c r="B45" s="519"/>
      <c r="C45" s="519"/>
      <c r="D45" s="519"/>
      <c r="E45" s="519"/>
      <c r="F45" s="519"/>
      <c r="G45" s="519"/>
      <c r="H45" s="240">
        <f>SUM(H42:H44)</f>
        <v>0</v>
      </c>
      <c r="I45" s="241"/>
    </row>
    <row r="46" spans="1:9" ht="15.75" x14ac:dyDescent="0.25">
      <c r="A46" s="229" t="s">
        <v>360</v>
      </c>
      <c r="B46" s="520" t="s">
        <v>361</v>
      </c>
      <c r="C46" s="520"/>
      <c r="D46" s="520"/>
      <c r="E46" s="520"/>
      <c r="F46" s="520"/>
      <c r="G46" s="229">
        <v>5</v>
      </c>
      <c r="H46" s="249">
        <f>MIN(SUM(H53,H59,H63,H70),5)</f>
        <v>0</v>
      </c>
      <c r="I46" s="250"/>
    </row>
    <row r="47" spans="1:9" ht="15.75" x14ac:dyDescent="0.25">
      <c r="A47" s="233" t="s">
        <v>362</v>
      </c>
      <c r="B47" s="512" t="s">
        <v>363</v>
      </c>
      <c r="C47" s="513"/>
      <c r="D47" s="513"/>
      <c r="E47" s="234"/>
      <c r="F47" s="233"/>
      <c r="G47" s="233">
        <v>5</v>
      </c>
      <c r="H47" s="235"/>
      <c r="I47" s="233"/>
    </row>
    <row r="48" spans="1:9" ht="48.6" customHeight="1" x14ac:dyDescent="0.25">
      <c r="A48" s="251"/>
      <c r="B48" s="524" t="s">
        <v>364</v>
      </c>
      <c r="C48" s="524"/>
      <c r="D48" s="524"/>
      <c r="E48" s="301"/>
      <c r="F48" s="96"/>
      <c r="G48" s="284"/>
      <c r="H48" s="285"/>
      <c r="I48" s="225"/>
    </row>
    <row r="49" spans="1:9" ht="15.75" customHeight="1" x14ac:dyDescent="0.25">
      <c r="A49" s="282" t="s">
        <v>70</v>
      </c>
      <c r="B49" s="466" t="s">
        <v>365</v>
      </c>
      <c r="C49" s="466"/>
      <c r="D49" s="466"/>
      <c r="E49" s="224"/>
      <c r="F49" s="96" t="s">
        <v>65</v>
      </c>
      <c r="G49" s="284" t="s">
        <v>108</v>
      </c>
      <c r="H49" s="285">
        <f>IF(E49="Y",1,0)</f>
        <v>0</v>
      </c>
      <c r="I49" s="225"/>
    </row>
    <row r="50" spans="1:9" ht="32.1" customHeight="1" x14ac:dyDescent="0.25">
      <c r="A50" s="282" t="s">
        <v>71</v>
      </c>
      <c r="B50" s="466" t="s">
        <v>366</v>
      </c>
      <c r="C50" s="466"/>
      <c r="D50" s="466"/>
      <c r="E50" s="224"/>
      <c r="F50" s="96" t="s">
        <v>65</v>
      </c>
      <c r="G50" s="284" t="s">
        <v>262</v>
      </c>
      <c r="H50" s="285">
        <f t="shared" ref="H50:H52" si="0">IF(E50="Y",0.5,0)</f>
        <v>0</v>
      </c>
      <c r="I50" s="225"/>
    </row>
    <row r="51" spans="1:9" ht="32.1" customHeight="1" x14ac:dyDescent="0.25">
      <c r="A51" s="282" t="s">
        <v>74</v>
      </c>
      <c r="B51" s="466" t="s">
        <v>367</v>
      </c>
      <c r="C51" s="466"/>
      <c r="D51" s="466"/>
      <c r="E51" s="224"/>
      <c r="F51" s="96" t="s">
        <v>65</v>
      </c>
      <c r="G51" s="284" t="s">
        <v>262</v>
      </c>
      <c r="H51" s="285">
        <f t="shared" si="0"/>
        <v>0</v>
      </c>
      <c r="I51" s="225"/>
    </row>
    <row r="52" spans="1:9" ht="31.5" customHeight="1" x14ac:dyDescent="0.25">
      <c r="A52" s="282" t="s">
        <v>79</v>
      </c>
      <c r="B52" s="466" t="s">
        <v>368</v>
      </c>
      <c r="C52" s="466" t="s">
        <v>243</v>
      </c>
      <c r="D52" s="466"/>
      <c r="E52" s="224"/>
      <c r="F52" s="96" t="s">
        <v>65</v>
      </c>
      <c r="G52" s="284" t="s">
        <v>262</v>
      </c>
      <c r="H52" s="285">
        <f t="shared" si="0"/>
        <v>0</v>
      </c>
      <c r="I52" s="225"/>
    </row>
    <row r="53" spans="1:9" ht="15.75" x14ac:dyDescent="0.25">
      <c r="A53" s="519" t="s">
        <v>369</v>
      </c>
      <c r="B53" s="519"/>
      <c r="C53" s="519"/>
      <c r="D53" s="519"/>
      <c r="E53" s="519"/>
      <c r="F53" s="519"/>
      <c r="G53" s="519"/>
      <c r="H53" s="240">
        <f>SUM(H49:H52)</f>
        <v>0</v>
      </c>
      <c r="I53" s="241"/>
    </row>
    <row r="54" spans="1:9" ht="15.75" x14ac:dyDescent="0.25">
      <c r="A54" s="233" t="s">
        <v>370</v>
      </c>
      <c r="B54" s="512" t="s">
        <v>371</v>
      </c>
      <c r="C54" s="513"/>
      <c r="D54" s="513"/>
      <c r="E54" s="234"/>
      <c r="F54" s="233"/>
      <c r="G54" s="233"/>
      <c r="H54" s="235"/>
      <c r="I54" s="233"/>
    </row>
    <row r="55" spans="1:9" ht="32.1" customHeight="1" x14ac:dyDescent="0.25">
      <c r="A55" s="282"/>
      <c r="B55" s="466" t="s">
        <v>372</v>
      </c>
      <c r="C55" s="466"/>
      <c r="D55" s="466"/>
      <c r="E55" s="301"/>
      <c r="F55" s="294"/>
      <c r="G55" s="295"/>
      <c r="H55" s="285"/>
      <c r="I55" s="171"/>
    </row>
    <row r="56" spans="1:9" ht="30.95" customHeight="1" x14ac:dyDescent="0.25">
      <c r="A56" s="282" t="s">
        <v>70</v>
      </c>
      <c r="B56" s="466" t="s">
        <v>373</v>
      </c>
      <c r="C56" s="466"/>
      <c r="D56" s="466"/>
      <c r="E56" s="301" t="s">
        <v>115</v>
      </c>
      <c r="F56" s="294" t="s">
        <v>115</v>
      </c>
      <c r="G56" s="284" t="s">
        <v>115</v>
      </c>
      <c r="H56" s="285" t="s">
        <v>115</v>
      </c>
      <c r="I56" s="171"/>
    </row>
    <row r="57" spans="1:9" ht="64.5" customHeight="1" x14ac:dyDescent="0.25">
      <c r="A57" s="282" t="s">
        <v>71</v>
      </c>
      <c r="B57" s="466" t="s">
        <v>374</v>
      </c>
      <c r="C57" s="466"/>
      <c r="D57" s="466"/>
      <c r="E57" s="301" t="s">
        <v>115</v>
      </c>
      <c r="F57" s="294" t="s">
        <v>115</v>
      </c>
      <c r="G57" s="284" t="s">
        <v>115</v>
      </c>
      <c r="H57" s="285" t="s">
        <v>115</v>
      </c>
      <c r="I57" s="171"/>
    </row>
    <row r="58" spans="1:9" ht="65.099999999999994" customHeight="1" x14ac:dyDescent="0.25">
      <c r="A58" s="282" t="s">
        <v>74</v>
      </c>
      <c r="B58" s="466" t="s">
        <v>375</v>
      </c>
      <c r="C58" s="466" t="s">
        <v>247</v>
      </c>
      <c r="D58" s="466"/>
      <c r="E58" s="301" t="s">
        <v>115</v>
      </c>
      <c r="F58" s="294" t="s">
        <v>115</v>
      </c>
      <c r="G58" s="284" t="s">
        <v>115</v>
      </c>
      <c r="H58" s="285" t="s">
        <v>115</v>
      </c>
      <c r="I58" s="171"/>
    </row>
    <row r="59" spans="1:9" ht="15.75" x14ac:dyDescent="0.25">
      <c r="A59" s="519" t="s">
        <v>376</v>
      </c>
      <c r="B59" s="519"/>
      <c r="C59" s="519"/>
      <c r="D59" s="519"/>
      <c r="E59" s="519"/>
      <c r="F59" s="519"/>
      <c r="G59" s="519"/>
      <c r="H59" s="240">
        <f>SUM(H56:H58)</f>
        <v>0</v>
      </c>
      <c r="I59" s="241"/>
    </row>
    <row r="60" spans="1:9" ht="15.75" x14ac:dyDescent="0.25">
      <c r="A60" s="233" t="s">
        <v>377</v>
      </c>
      <c r="B60" s="512" t="s">
        <v>378</v>
      </c>
      <c r="C60" s="513" t="s">
        <v>249</v>
      </c>
      <c r="D60" s="513"/>
      <c r="E60" s="234"/>
      <c r="F60" s="233"/>
      <c r="G60" s="233"/>
      <c r="H60" s="235"/>
      <c r="I60" s="233"/>
    </row>
    <row r="61" spans="1:9" ht="15.75" customHeight="1" x14ac:dyDescent="0.25">
      <c r="A61" s="236" t="s">
        <v>379</v>
      </c>
      <c r="B61" s="514" t="s">
        <v>380</v>
      </c>
      <c r="C61" s="514"/>
      <c r="D61" s="514"/>
      <c r="E61" s="237"/>
      <c r="F61" s="236"/>
      <c r="G61" s="238"/>
      <c r="H61" s="239"/>
      <c r="I61" s="238"/>
    </row>
    <row r="62" spans="1:9" ht="97.5" customHeight="1" x14ac:dyDescent="0.25">
      <c r="A62" s="282"/>
      <c r="B62" s="466" t="s">
        <v>381</v>
      </c>
      <c r="C62" s="466"/>
      <c r="D62" s="466"/>
      <c r="E62" s="224"/>
      <c r="F62" s="294" t="s">
        <v>65</v>
      </c>
      <c r="G62" s="284" t="s">
        <v>262</v>
      </c>
      <c r="H62" s="285">
        <f t="shared" ref="H62" si="1">IF(E62="Y",0.5,0)</f>
        <v>0</v>
      </c>
      <c r="I62" s="171"/>
    </row>
    <row r="63" spans="1:9" ht="15.75" x14ac:dyDescent="0.25">
      <c r="A63" s="519" t="s">
        <v>382</v>
      </c>
      <c r="B63" s="519"/>
      <c r="C63" s="519"/>
      <c r="D63" s="519"/>
      <c r="E63" s="519"/>
      <c r="F63" s="519"/>
      <c r="G63" s="519"/>
      <c r="H63" s="240">
        <f>H62</f>
        <v>0</v>
      </c>
      <c r="I63" s="241"/>
    </row>
    <row r="64" spans="1:9" ht="15.75" customHeight="1" x14ac:dyDescent="0.25">
      <c r="A64" s="236" t="s">
        <v>383</v>
      </c>
      <c r="B64" s="514" t="s">
        <v>384</v>
      </c>
      <c r="C64" s="514"/>
      <c r="D64" s="514"/>
      <c r="E64" s="237"/>
      <c r="F64" s="236" t="s">
        <v>73</v>
      </c>
      <c r="G64" s="238"/>
      <c r="H64" s="239"/>
      <c r="I64" s="238"/>
    </row>
    <row r="65" spans="1:9" ht="15.75" x14ac:dyDescent="0.25">
      <c r="A65" s="282"/>
      <c r="B65" s="466" t="s">
        <v>385</v>
      </c>
      <c r="C65" s="523"/>
      <c r="D65" s="523"/>
      <c r="E65" s="301"/>
      <c r="F65" s="294"/>
      <c r="G65" s="284"/>
      <c r="H65" s="285"/>
      <c r="I65" s="171"/>
    </row>
    <row r="66" spans="1:9" ht="33.6" customHeight="1" x14ac:dyDescent="0.25">
      <c r="A66" s="282" t="s">
        <v>70</v>
      </c>
      <c r="B66" s="466" t="s">
        <v>386</v>
      </c>
      <c r="C66" s="523"/>
      <c r="D66" s="523"/>
      <c r="E66" s="224"/>
      <c r="F66" s="294" t="s">
        <v>65</v>
      </c>
      <c r="G66" s="284" t="s">
        <v>387</v>
      </c>
      <c r="H66" s="285">
        <f>IF(E66="Y",1.5,0)</f>
        <v>0</v>
      </c>
      <c r="I66" s="171"/>
    </row>
    <row r="67" spans="1:9" ht="80.099999999999994" customHeight="1" x14ac:dyDescent="0.25">
      <c r="A67" s="282" t="s">
        <v>71</v>
      </c>
      <c r="B67" s="466" t="s">
        <v>388</v>
      </c>
      <c r="C67" s="523"/>
      <c r="D67" s="523"/>
      <c r="E67" s="224"/>
      <c r="F67" s="294" t="s">
        <v>65</v>
      </c>
      <c r="G67" s="284" t="s">
        <v>262</v>
      </c>
      <c r="H67" s="285">
        <f t="shared" ref="H67" si="2">IF(E67="Y",0.5,0)</f>
        <v>0</v>
      </c>
      <c r="I67" s="171"/>
    </row>
    <row r="68" spans="1:9" ht="33.950000000000003" customHeight="1" x14ac:dyDescent="0.25">
      <c r="A68" s="282" t="s">
        <v>74</v>
      </c>
      <c r="B68" s="466" t="s">
        <v>389</v>
      </c>
      <c r="C68" s="523"/>
      <c r="D68" s="523"/>
      <c r="E68" s="301" t="s">
        <v>115</v>
      </c>
      <c r="F68" s="294" t="s">
        <v>115</v>
      </c>
      <c r="G68" s="284" t="s">
        <v>115</v>
      </c>
      <c r="H68" s="285" t="s">
        <v>115</v>
      </c>
      <c r="I68" s="171"/>
    </row>
    <row r="69" spans="1:9" ht="48.95" customHeight="1" x14ac:dyDescent="0.25">
      <c r="A69" s="282" t="s">
        <v>79</v>
      </c>
      <c r="B69" s="466" t="s">
        <v>390</v>
      </c>
      <c r="C69" s="523"/>
      <c r="D69" s="523"/>
      <c r="E69" s="301" t="s">
        <v>115</v>
      </c>
      <c r="F69" s="294" t="s">
        <v>115</v>
      </c>
      <c r="G69" s="284" t="s">
        <v>115</v>
      </c>
      <c r="H69" s="285" t="s">
        <v>115</v>
      </c>
      <c r="I69" s="171"/>
    </row>
    <row r="70" spans="1:9" ht="15.75" x14ac:dyDescent="0.25">
      <c r="A70" s="519" t="s">
        <v>391</v>
      </c>
      <c r="B70" s="519"/>
      <c r="C70" s="519"/>
      <c r="D70" s="519"/>
      <c r="E70" s="519"/>
      <c r="F70" s="519"/>
      <c r="G70" s="519"/>
      <c r="H70" s="240">
        <f>SUM(H66:H69)</f>
        <v>0</v>
      </c>
      <c r="I70" s="241"/>
    </row>
    <row r="71" spans="1:9" ht="15.75" x14ac:dyDescent="0.25">
      <c r="A71" s="229" t="s">
        <v>392</v>
      </c>
      <c r="B71" s="520" t="s">
        <v>393</v>
      </c>
      <c r="C71" s="520"/>
      <c r="D71" s="520"/>
      <c r="E71" s="520"/>
      <c r="F71" s="520" t="s">
        <v>68</v>
      </c>
      <c r="G71" s="229">
        <v>5</v>
      </c>
      <c r="H71" s="249">
        <f>MIN(SUM(H74,H80,H83,H87,H93),5)</f>
        <v>0</v>
      </c>
      <c r="I71" s="250"/>
    </row>
    <row r="72" spans="1:9" ht="15.75" x14ac:dyDescent="0.25">
      <c r="A72" s="233" t="s">
        <v>394</v>
      </c>
      <c r="B72" s="512" t="s">
        <v>395</v>
      </c>
      <c r="C72" s="513"/>
      <c r="D72" s="513"/>
      <c r="E72" s="234"/>
      <c r="F72" s="233" t="s">
        <v>68</v>
      </c>
      <c r="G72" s="233" t="s">
        <v>115</v>
      </c>
      <c r="H72" s="235"/>
      <c r="I72" s="233"/>
    </row>
    <row r="73" spans="1:9" ht="50.25" customHeight="1" x14ac:dyDescent="0.25">
      <c r="A73" s="282"/>
      <c r="B73" s="523" t="s">
        <v>510</v>
      </c>
      <c r="C73" s="523"/>
      <c r="D73" s="523"/>
      <c r="E73" s="224"/>
      <c r="F73" s="294" t="s">
        <v>314</v>
      </c>
      <c r="G73" s="284" t="s">
        <v>226</v>
      </c>
      <c r="H73" s="285">
        <f>IF(E73="A",1,IF(E73="B",2,0))</f>
        <v>0</v>
      </c>
      <c r="I73" s="171"/>
    </row>
    <row r="74" spans="1:9" ht="15.75" x14ac:dyDescent="0.25">
      <c r="A74" s="519" t="s">
        <v>396</v>
      </c>
      <c r="B74" s="519"/>
      <c r="C74" s="519"/>
      <c r="D74" s="519"/>
      <c r="E74" s="519"/>
      <c r="F74" s="519"/>
      <c r="G74" s="519"/>
      <c r="H74" s="240">
        <f>H73</f>
        <v>0</v>
      </c>
      <c r="I74" s="241"/>
    </row>
    <row r="75" spans="1:9" ht="15.75" x14ac:dyDescent="0.25">
      <c r="A75" s="233" t="s">
        <v>397</v>
      </c>
      <c r="B75" s="512" t="s">
        <v>398</v>
      </c>
      <c r="C75" s="513"/>
      <c r="D75" s="513"/>
      <c r="E75" s="234"/>
      <c r="F75" s="233"/>
      <c r="G75" s="233"/>
      <c r="H75" s="235"/>
      <c r="I75" s="233"/>
    </row>
    <row r="76" spans="1:9" ht="15.75" customHeight="1" x14ac:dyDescent="0.25">
      <c r="A76" s="236" t="s">
        <v>399</v>
      </c>
      <c r="B76" s="514" t="s">
        <v>400</v>
      </c>
      <c r="C76" s="514"/>
      <c r="D76" s="514"/>
      <c r="E76" s="237"/>
      <c r="F76" s="236"/>
      <c r="G76" s="238"/>
      <c r="H76" s="239"/>
      <c r="I76" s="238"/>
    </row>
    <row r="77" spans="1:9" ht="79.5" customHeight="1" x14ac:dyDescent="0.25">
      <c r="A77" s="282"/>
      <c r="B77" s="466" t="s">
        <v>401</v>
      </c>
      <c r="C77" s="466"/>
      <c r="D77" s="466"/>
      <c r="E77" s="301"/>
      <c r="F77" s="294"/>
      <c r="G77" s="215"/>
      <c r="H77" s="218"/>
      <c r="I77" s="255"/>
    </row>
    <row r="78" spans="1:9" ht="51" customHeight="1" x14ac:dyDescent="0.25">
      <c r="A78" s="282" t="s">
        <v>70</v>
      </c>
      <c r="B78" s="466" t="s">
        <v>402</v>
      </c>
      <c r="C78" s="466"/>
      <c r="D78" s="466"/>
      <c r="E78" s="301" t="s">
        <v>115</v>
      </c>
      <c r="F78" s="294" t="s">
        <v>115</v>
      </c>
      <c r="G78" s="284" t="s">
        <v>115</v>
      </c>
      <c r="H78" s="285" t="s">
        <v>115</v>
      </c>
      <c r="I78" s="255"/>
    </row>
    <row r="79" spans="1:9" ht="48.75" customHeight="1" x14ac:dyDescent="0.25">
      <c r="A79" s="282" t="s">
        <v>71</v>
      </c>
      <c r="B79" s="466" t="s">
        <v>403</v>
      </c>
      <c r="C79" s="466"/>
      <c r="D79" s="466"/>
      <c r="E79" s="224"/>
      <c r="F79" s="294" t="s">
        <v>65</v>
      </c>
      <c r="G79" s="284" t="s">
        <v>126</v>
      </c>
      <c r="H79" s="285">
        <f>IF(E79="Y",2,0)</f>
        <v>0</v>
      </c>
      <c r="I79" s="255"/>
    </row>
    <row r="80" spans="1:9" ht="15.75" x14ac:dyDescent="0.25">
      <c r="A80" s="519" t="s">
        <v>404</v>
      </c>
      <c r="B80" s="519"/>
      <c r="C80" s="519"/>
      <c r="D80" s="519"/>
      <c r="E80" s="519"/>
      <c r="F80" s="519"/>
      <c r="G80" s="519"/>
      <c r="H80" s="240">
        <f>SUM(H78:H79)</f>
        <v>0</v>
      </c>
      <c r="I80" s="241"/>
    </row>
    <row r="81" spans="1:9" ht="15.75" customHeight="1" x14ac:dyDescent="0.25">
      <c r="A81" s="236" t="s">
        <v>405</v>
      </c>
      <c r="B81" s="514" t="s">
        <v>406</v>
      </c>
      <c r="C81" s="514"/>
      <c r="D81" s="514"/>
      <c r="E81" s="237"/>
      <c r="F81" s="236"/>
      <c r="G81" s="238"/>
      <c r="H81" s="239"/>
      <c r="I81" s="238"/>
    </row>
    <row r="82" spans="1:9" ht="80.45" customHeight="1" x14ac:dyDescent="0.25">
      <c r="A82" s="282"/>
      <c r="B82" s="466" t="s">
        <v>407</v>
      </c>
      <c r="C82" s="466"/>
      <c r="D82" s="466"/>
      <c r="E82" s="224"/>
      <c r="F82" s="294" t="s">
        <v>65</v>
      </c>
      <c r="G82" s="284" t="s">
        <v>108</v>
      </c>
      <c r="H82" s="285">
        <f>IF(E82="Y",1,0)</f>
        <v>0</v>
      </c>
      <c r="I82" s="255"/>
    </row>
    <row r="83" spans="1:9" ht="15.75" x14ac:dyDescent="0.25">
      <c r="A83" s="519" t="s">
        <v>408</v>
      </c>
      <c r="B83" s="519"/>
      <c r="C83" s="519"/>
      <c r="D83" s="519"/>
      <c r="E83" s="519"/>
      <c r="F83" s="519"/>
      <c r="G83" s="519"/>
      <c r="H83" s="240">
        <f>SUM(H81:H82)</f>
        <v>0</v>
      </c>
      <c r="I83" s="241"/>
    </row>
    <row r="84" spans="1:9" ht="15.75" x14ac:dyDescent="0.25">
      <c r="A84" s="233" t="s">
        <v>409</v>
      </c>
      <c r="B84" s="512" t="s">
        <v>410</v>
      </c>
      <c r="C84" s="513"/>
      <c r="D84" s="513"/>
      <c r="E84" s="234"/>
      <c r="F84" s="233"/>
      <c r="G84" s="233"/>
      <c r="H84" s="235"/>
      <c r="I84" s="233"/>
    </row>
    <row r="85" spans="1:9" ht="15.75" customHeight="1" x14ac:dyDescent="0.25">
      <c r="A85" s="236" t="s">
        <v>411</v>
      </c>
      <c r="B85" s="514" t="s">
        <v>412</v>
      </c>
      <c r="C85" s="514"/>
      <c r="D85" s="514"/>
      <c r="E85" s="237"/>
      <c r="F85" s="236"/>
      <c r="G85" s="238"/>
      <c r="H85" s="239"/>
      <c r="I85" s="238"/>
    </row>
    <row r="86" spans="1:9" ht="65.25" customHeight="1" x14ac:dyDescent="0.25">
      <c r="A86" s="293" t="s">
        <v>70</v>
      </c>
      <c r="B86" s="466" t="s">
        <v>413</v>
      </c>
      <c r="C86" s="466"/>
      <c r="D86" s="466"/>
      <c r="E86" s="95" t="s">
        <v>115</v>
      </c>
      <c r="F86" s="96" t="s">
        <v>115</v>
      </c>
      <c r="G86" s="284" t="s">
        <v>115</v>
      </c>
      <c r="H86" s="82" t="s">
        <v>115</v>
      </c>
      <c r="I86" s="171"/>
    </row>
    <row r="87" spans="1:9" ht="15.75" x14ac:dyDescent="0.25">
      <c r="A87" s="519" t="s">
        <v>414</v>
      </c>
      <c r="B87" s="519"/>
      <c r="C87" s="519"/>
      <c r="D87" s="519"/>
      <c r="E87" s="519"/>
      <c r="F87" s="519"/>
      <c r="G87" s="519"/>
      <c r="H87" s="240">
        <v>0</v>
      </c>
      <c r="I87" s="241"/>
    </row>
    <row r="88" spans="1:9" ht="15.75" customHeight="1" x14ac:dyDescent="0.25">
      <c r="A88" s="236" t="s">
        <v>415</v>
      </c>
      <c r="B88" s="514" t="s">
        <v>416</v>
      </c>
      <c r="C88" s="514"/>
      <c r="D88" s="514"/>
      <c r="E88" s="237"/>
      <c r="F88" s="236"/>
      <c r="G88" s="238"/>
      <c r="H88" s="239"/>
      <c r="I88" s="238"/>
    </row>
    <row r="89" spans="1:9" ht="34.5" customHeight="1" x14ac:dyDescent="0.25">
      <c r="A89" s="293"/>
      <c r="B89" s="466" t="s">
        <v>417</v>
      </c>
      <c r="C89" s="466"/>
      <c r="D89" s="466"/>
      <c r="E89" s="301"/>
      <c r="F89" s="96"/>
      <c r="G89" s="284"/>
      <c r="H89" s="82"/>
      <c r="I89" s="171"/>
    </row>
    <row r="90" spans="1:9" ht="92.25" customHeight="1" x14ac:dyDescent="0.25">
      <c r="A90" s="295" t="s">
        <v>70</v>
      </c>
      <c r="B90" s="466" t="s">
        <v>418</v>
      </c>
      <c r="C90" s="466"/>
      <c r="D90" s="466"/>
      <c r="E90" s="224"/>
      <c r="F90" s="96" t="s">
        <v>65</v>
      </c>
      <c r="G90" s="284" t="s">
        <v>108</v>
      </c>
      <c r="H90" s="285">
        <f>IF(E90="Y",1,0)</f>
        <v>0</v>
      </c>
      <c r="I90" s="171"/>
    </row>
    <row r="91" spans="1:9" ht="15.75" x14ac:dyDescent="0.25">
      <c r="A91" s="293" t="s">
        <v>71</v>
      </c>
      <c r="B91" s="466" t="s">
        <v>419</v>
      </c>
      <c r="C91" s="466"/>
      <c r="D91" s="466"/>
      <c r="E91" s="95" t="s">
        <v>115</v>
      </c>
      <c r="F91" s="96" t="s">
        <v>115</v>
      </c>
      <c r="G91" s="284" t="s">
        <v>115</v>
      </c>
      <c r="H91" s="82" t="s">
        <v>115</v>
      </c>
      <c r="I91" s="171"/>
    </row>
    <row r="92" spans="1:9" ht="15.75" x14ac:dyDescent="0.25">
      <c r="A92" s="293" t="s">
        <v>74</v>
      </c>
      <c r="B92" s="466" t="s">
        <v>420</v>
      </c>
      <c r="C92" s="466"/>
      <c r="D92" s="466"/>
      <c r="E92" s="95" t="s">
        <v>115</v>
      </c>
      <c r="F92" s="96" t="s">
        <v>115</v>
      </c>
      <c r="G92" s="284" t="s">
        <v>115</v>
      </c>
      <c r="H92" s="82" t="s">
        <v>115</v>
      </c>
      <c r="I92" s="171"/>
    </row>
    <row r="93" spans="1:9" ht="15.75" x14ac:dyDescent="0.25">
      <c r="A93" s="519" t="s">
        <v>421</v>
      </c>
      <c r="B93" s="519"/>
      <c r="C93" s="519"/>
      <c r="D93" s="519"/>
      <c r="E93" s="519"/>
      <c r="F93" s="519"/>
      <c r="G93" s="519"/>
      <c r="H93" s="240">
        <f>SUM(H90:H92)</f>
        <v>0</v>
      </c>
      <c r="I93" s="241"/>
    </row>
    <row r="94" spans="1:9" ht="15.75" x14ac:dyDescent="0.25">
      <c r="A94" s="229"/>
      <c r="B94" s="520" t="s">
        <v>298</v>
      </c>
      <c r="C94" s="520"/>
      <c r="D94" s="520"/>
      <c r="E94" s="520"/>
      <c r="F94" s="520"/>
      <c r="G94" s="229">
        <v>2</v>
      </c>
      <c r="H94" s="249">
        <f>MIN(SUM(H96:H97),2)</f>
        <v>0</v>
      </c>
      <c r="I94" s="250"/>
    </row>
    <row r="95" spans="1:9" ht="63" x14ac:dyDescent="0.25">
      <c r="A95" s="236"/>
      <c r="B95" s="521" t="s">
        <v>422</v>
      </c>
      <c r="C95" s="521"/>
      <c r="D95" s="521"/>
      <c r="E95" s="252"/>
      <c r="F95" s="236"/>
      <c r="G95" s="253" t="s">
        <v>192</v>
      </c>
      <c r="H95" s="252"/>
      <c r="I95" s="300" t="s">
        <v>193</v>
      </c>
    </row>
    <row r="96" spans="1:9" ht="120.75" customHeight="1" x14ac:dyDescent="0.25">
      <c r="A96" s="293"/>
      <c r="B96" s="466" t="s">
        <v>423</v>
      </c>
      <c r="C96" s="466"/>
      <c r="D96" s="466"/>
      <c r="E96" s="224"/>
      <c r="F96" s="169" t="s">
        <v>68</v>
      </c>
      <c r="G96" s="372" t="s">
        <v>424</v>
      </c>
      <c r="H96" s="82">
        <f>E96</f>
        <v>0</v>
      </c>
      <c r="I96" s="177" t="s">
        <v>196</v>
      </c>
    </row>
    <row r="97" spans="1:9" ht="120.75" customHeight="1" x14ac:dyDescent="0.25">
      <c r="A97" s="39"/>
      <c r="B97" s="466"/>
      <c r="C97" s="466"/>
      <c r="D97" s="466"/>
      <c r="E97" s="224"/>
      <c r="F97" s="169" t="s">
        <v>68</v>
      </c>
      <c r="G97" s="372"/>
      <c r="H97" s="82">
        <f>E97</f>
        <v>0</v>
      </c>
      <c r="I97" s="177" t="s">
        <v>197</v>
      </c>
    </row>
  </sheetData>
  <sheetProtection formatCells="0" selectLockedCells="1"/>
  <mergeCells count="108">
    <mergeCell ref="B65:D65"/>
    <mergeCell ref="B78:D78"/>
    <mergeCell ref="B82:D82"/>
    <mergeCell ref="B81:D81"/>
    <mergeCell ref="B77:D77"/>
    <mergeCell ref="B79:D79"/>
    <mergeCell ref="B49:D49"/>
    <mergeCell ref="B44:D44"/>
    <mergeCell ref="B46:F46"/>
    <mergeCell ref="B47:D47"/>
    <mergeCell ref="B48:D48"/>
    <mergeCell ref="B75:D75"/>
    <mergeCell ref="B76:D76"/>
    <mergeCell ref="B61:D61"/>
    <mergeCell ref="B62:D62"/>
    <mergeCell ref="B64:D64"/>
    <mergeCell ref="B66:D66"/>
    <mergeCell ref="B58:D58"/>
    <mergeCell ref="A74:G74"/>
    <mergeCell ref="B72:D72"/>
    <mergeCell ref="B73:D73"/>
    <mergeCell ref="B56:D56"/>
    <mergeCell ref="B57:D57"/>
    <mergeCell ref="B50:D50"/>
    <mergeCell ref="B95:D95"/>
    <mergeCell ref="B96:D97"/>
    <mergeCell ref="A8:G8"/>
    <mergeCell ref="A12:G12"/>
    <mergeCell ref="A22:G22"/>
    <mergeCell ref="A35:G35"/>
    <mergeCell ref="A40:G40"/>
    <mergeCell ref="E15:E19"/>
    <mergeCell ref="G15:G19"/>
    <mergeCell ref="B60:D60"/>
    <mergeCell ref="B71:F71"/>
    <mergeCell ref="B67:D67"/>
    <mergeCell ref="B68:D68"/>
    <mergeCell ref="B69:D69"/>
    <mergeCell ref="A45:G45"/>
    <mergeCell ref="A53:G53"/>
    <mergeCell ref="A59:G59"/>
    <mergeCell ref="A63:G63"/>
    <mergeCell ref="A70:G70"/>
    <mergeCell ref="G96:G97"/>
    <mergeCell ref="A80:G80"/>
    <mergeCell ref="A83:G83"/>
    <mergeCell ref="B92:D92"/>
    <mergeCell ref="B91:D91"/>
    <mergeCell ref="A87:G87"/>
    <mergeCell ref="A93:G93"/>
    <mergeCell ref="B94:F94"/>
    <mergeCell ref="B85:D85"/>
    <mergeCell ref="B86:D86"/>
    <mergeCell ref="B88:D88"/>
    <mergeCell ref="B89:D89"/>
    <mergeCell ref="B84:D84"/>
    <mergeCell ref="B90:D90"/>
    <mergeCell ref="B51:D51"/>
    <mergeCell ref="B52:D52"/>
    <mergeCell ref="B54:D54"/>
    <mergeCell ref="B55:D55"/>
    <mergeCell ref="B41:D41"/>
    <mergeCell ref="B42:D42"/>
    <mergeCell ref="B27:D27"/>
    <mergeCell ref="B24:D24"/>
    <mergeCell ref="B25:D25"/>
    <mergeCell ref="B29:D29"/>
    <mergeCell ref="B36:D36"/>
    <mergeCell ref="B43:D43"/>
    <mergeCell ref="B26:D26"/>
    <mergeCell ref="B38:D38"/>
    <mergeCell ref="B39:D39"/>
    <mergeCell ref="B28:D28"/>
    <mergeCell ref="B37:D37"/>
    <mergeCell ref="B23:D23"/>
    <mergeCell ref="B1:D1"/>
    <mergeCell ref="A2:F2"/>
    <mergeCell ref="B3:F3"/>
    <mergeCell ref="B4:D4"/>
    <mergeCell ref="B5:D5"/>
    <mergeCell ref="B10:D10"/>
    <mergeCell ref="B11:D11"/>
    <mergeCell ref="B13:D13"/>
    <mergeCell ref="B14:D14"/>
    <mergeCell ref="B6:D6"/>
    <mergeCell ref="B7:D7"/>
    <mergeCell ref="B9:D9"/>
    <mergeCell ref="A14:A21"/>
    <mergeCell ref="B20:D21"/>
    <mergeCell ref="G20:G21"/>
    <mergeCell ref="H20:H21"/>
    <mergeCell ref="I20:I21"/>
    <mergeCell ref="D15:D19"/>
    <mergeCell ref="F15:F19"/>
    <mergeCell ref="H15:H19"/>
    <mergeCell ref="I15:I19"/>
    <mergeCell ref="B15:C15"/>
    <mergeCell ref="B16:C16"/>
    <mergeCell ref="B19:C19"/>
    <mergeCell ref="A25:A28"/>
    <mergeCell ref="B31:D31"/>
    <mergeCell ref="B32:D32"/>
    <mergeCell ref="B30:D30"/>
    <mergeCell ref="B33:D33"/>
    <mergeCell ref="B34:D34"/>
    <mergeCell ref="A29:A34"/>
    <mergeCell ref="G26:G28"/>
    <mergeCell ref="H26:H28"/>
  </mergeCells>
  <dataValidations count="8">
    <dataValidation allowBlank="1" showErrorMessage="1" sqref="H97" xr:uid="{00000000-0002-0000-0500-000000000000}"/>
    <dataValidation allowBlank="1" showInputMessage="1" showErrorMessage="1" prompt="Please list down short description of your innovation." sqref="I96:I97" xr:uid="{00000000-0002-0000-0500-000001000000}"/>
    <dataValidation type="decimal" allowBlank="1" showErrorMessage="1" error="Please enter 0.5 or 1 or 1.5 or 2." prompt="Please Enter 0 or 1 or 1.5 or 2." sqref="H96" xr:uid="{00000000-0002-0000-0500-000002000000}">
      <formula1>0</formula1>
      <formula2>2</formula2>
    </dataValidation>
    <dataValidation type="list" allowBlank="1" showInputMessage="1" showErrorMessage="1" sqref="E6:E7 E26:E27 E90 E49:E52 E44 E62 E79 E66:E67 E82" xr:uid="{00000000-0002-0000-0500-000003000000}">
      <formula1>"Y,N"</formula1>
    </dataValidation>
    <dataValidation type="decimal" allowBlank="1" showInputMessage="1" showErrorMessage="1" sqref="E33:E34 E21 E28:E29 E31" xr:uid="{00000000-0002-0000-0500-000004000000}">
      <formula1>0</formula1>
      <formula2>100</formula2>
    </dataValidation>
    <dataValidation type="list" allowBlank="1" showInputMessage="1" showErrorMessage="1" sqref="E20 E73 E10" xr:uid="{00000000-0002-0000-0500-000005000000}">
      <formula1>"A,B"</formula1>
    </dataValidation>
    <dataValidation type="decimal" allowBlank="1" showInputMessage="1" showErrorMessage="1" sqref="E30" xr:uid="{00000000-0002-0000-0500-000006000000}">
      <formula1>-1000</formula1>
      <formula2>1000</formula2>
    </dataValidation>
    <dataValidation type="list" showErrorMessage="1" error="Please enter 0.5 or 1 or 1.5 or 2." prompt="Please Enter 0.5 or 1 or 1.5 or 2." sqref="E96:E97" xr:uid="{00000000-0002-0000-0500-000007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0"/>
  <sheetViews>
    <sheetView zoomScaleNormal="100" workbookViewId="0">
      <selection activeCell="G34" sqref="G34"/>
    </sheetView>
  </sheetViews>
  <sheetFormatPr defaultColWidth="9.140625" defaultRowHeight="15.75" x14ac:dyDescent="0.25"/>
  <cols>
    <col min="1" max="1" width="8.28515625" style="325" customWidth="1"/>
    <col min="2" max="2" width="65.7109375" style="17" customWidth="1"/>
    <col min="3" max="4" width="10.7109375" style="17" customWidth="1"/>
    <col min="5" max="5" width="18.140625" style="17" customWidth="1"/>
    <col min="6" max="6" width="10.7109375" style="17" customWidth="1"/>
    <col min="7" max="7" width="30.7109375" style="17" customWidth="1"/>
    <col min="8" max="9" width="50.7109375" style="17" customWidth="1"/>
    <col min="10" max="10" width="15.5703125" style="17" customWidth="1"/>
    <col min="11" max="11" width="17.28515625" style="17" customWidth="1"/>
    <col min="12" max="16384" width="9.140625" style="17"/>
  </cols>
  <sheetData>
    <row r="1" spans="1:7" ht="47.25" x14ac:dyDescent="0.25">
      <c r="A1" s="60"/>
      <c r="B1" s="281" t="s">
        <v>425</v>
      </c>
      <c r="C1" s="42" t="s">
        <v>61</v>
      </c>
      <c r="D1" s="42" t="s">
        <v>62</v>
      </c>
      <c r="E1" s="61" t="s">
        <v>97</v>
      </c>
      <c r="F1" s="42" t="s">
        <v>98</v>
      </c>
      <c r="G1" s="281" t="s">
        <v>99</v>
      </c>
    </row>
    <row r="2" spans="1:7" ht="21" x14ac:dyDescent="0.25">
      <c r="A2" s="526" t="s">
        <v>29</v>
      </c>
      <c r="B2" s="526"/>
      <c r="C2" s="526"/>
      <c r="D2" s="526"/>
      <c r="E2" s="256">
        <v>15</v>
      </c>
      <c r="F2" s="257">
        <f>MIN(SUM(F3,F20,F31,F47),15)</f>
        <v>0</v>
      </c>
      <c r="G2" s="258" t="s">
        <v>100</v>
      </c>
    </row>
    <row r="3" spans="1:7" x14ac:dyDescent="0.25">
      <c r="A3" s="259" t="s">
        <v>426</v>
      </c>
      <c r="B3" s="527" t="s">
        <v>52</v>
      </c>
      <c r="C3" s="527"/>
      <c r="D3" s="527"/>
      <c r="E3" s="260">
        <v>5</v>
      </c>
      <c r="F3" s="261">
        <f>MIN(SUM(F15,F10,F19), 5)</f>
        <v>0</v>
      </c>
      <c r="G3" s="259"/>
    </row>
    <row r="4" spans="1:7" x14ac:dyDescent="0.25">
      <c r="A4" s="262" t="s">
        <v>427</v>
      </c>
      <c r="B4" s="263" t="s">
        <v>428</v>
      </c>
      <c r="C4" s="263"/>
      <c r="D4" s="264"/>
      <c r="E4" s="265"/>
      <c r="F4" s="266"/>
      <c r="G4" s="265"/>
    </row>
    <row r="5" spans="1:7" ht="31.5" x14ac:dyDescent="0.25">
      <c r="A5" s="295" t="s">
        <v>70</v>
      </c>
      <c r="B5" s="44" t="s">
        <v>429</v>
      </c>
      <c r="C5" s="10"/>
      <c r="D5" s="45" t="s">
        <v>65</v>
      </c>
      <c r="E5" s="284" t="s">
        <v>126</v>
      </c>
      <c r="F5" s="82">
        <f>IF(C5="Y",2,0)</f>
        <v>0</v>
      </c>
      <c r="G5" s="278"/>
    </row>
    <row r="6" spans="1:7" ht="31.5" x14ac:dyDescent="0.25">
      <c r="A6" s="435" t="s">
        <v>71</v>
      </c>
      <c r="B6" s="44" t="s">
        <v>430</v>
      </c>
      <c r="C6" s="267"/>
      <c r="D6" s="45"/>
      <c r="E6" s="284"/>
      <c r="F6" s="82"/>
      <c r="G6" s="171"/>
    </row>
    <row r="7" spans="1:7" x14ac:dyDescent="0.25">
      <c r="A7" s="435"/>
      <c r="B7" s="44" t="s">
        <v>431</v>
      </c>
      <c r="C7" s="10"/>
      <c r="D7" s="45" t="s">
        <v>65</v>
      </c>
      <c r="E7" s="284" t="s">
        <v>108</v>
      </c>
      <c r="F7" s="82">
        <f>IF(C7="Y",1,0)</f>
        <v>0</v>
      </c>
      <c r="G7" s="171"/>
    </row>
    <row r="8" spans="1:7" ht="31.5" x14ac:dyDescent="0.25">
      <c r="A8" s="435"/>
      <c r="B8" s="44" t="s">
        <v>432</v>
      </c>
      <c r="C8" s="10"/>
      <c r="D8" s="45" t="s">
        <v>65</v>
      </c>
      <c r="E8" s="284" t="s">
        <v>108</v>
      </c>
      <c r="F8" s="82">
        <f>IF(C8="Y",1,0)</f>
        <v>0</v>
      </c>
      <c r="G8" s="171"/>
    </row>
    <row r="9" spans="1:7" ht="63" x14ac:dyDescent="0.25">
      <c r="A9" s="295" t="s">
        <v>74</v>
      </c>
      <c r="B9" s="44" t="s">
        <v>433</v>
      </c>
      <c r="C9" s="10"/>
      <c r="D9" s="45" t="s">
        <v>65</v>
      </c>
      <c r="E9" s="284" t="s">
        <v>108</v>
      </c>
      <c r="F9" s="82">
        <f>IF(C9="Y",1,0)</f>
        <v>0</v>
      </c>
      <c r="G9" s="171"/>
    </row>
    <row r="10" spans="1:7" x14ac:dyDescent="0.25">
      <c r="A10" s="268"/>
      <c r="B10" s="525" t="s">
        <v>434</v>
      </c>
      <c r="C10" s="525"/>
      <c r="D10" s="525"/>
      <c r="E10" s="525"/>
      <c r="F10" s="269">
        <f>SUM(F5:F9)</f>
        <v>0</v>
      </c>
      <c r="G10" s="270"/>
    </row>
    <row r="11" spans="1:7" x14ac:dyDescent="0.25">
      <c r="A11" s="262" t="s">
        <v>435</v>
      </c>
      <c r="B11" s="263" t="s">
        <v>436</v>
      </c>
      <c r="C11" s="263"/>
      <c r="D11" s="264"/>
      <c r="E11" s="265"/>
      <c r="F11" s="266"/>
      <c r="G11" s="265"/>
    </row>
    <row r="12" spans="1:7" ht="47.25" x14ac:dyDescent="0.25">
      <c r="A12" s="287" t="s">
        <v>70</v>
      </c>
      <c r="B12" s="93" t="s">
        <v>437</v>
      </c>
      <c r="C12" s="10"/>
      <c r="D12" s="45" t="s">
        <v>65</v>
      </c>
      <c r="E12" s="271" t="s">
        <v>108</v>
      </c>
      <c r="F12" s="82">
        <f>IF(C12="Y",1,0)</f>
        <v>0</v>
      </c>
      <c r="G12" s="171"/>
    </row>
    <row r="13" spans="1:7" ht="63" x14ac:dyDescent="0.25">
      <c r="A13" s="287" t="s">
        <v>71</v>
      </c>
      <c r="B13" s="92" t="s">
        <v>438</v>
      </c>
      <c r="C13" s="10"/>
      <c r="D13" s="45" t="s">
        <v>65</v>
      </c>
      <c r="E13" s="284" t="s">
        <v>108</v>
      </c>
      <c r="F13" s="82">
        <f>IF(C13="Y",1,0)</f>
        <v>0</v>
      </c>
      <c r="G13" s="171"/>
    </row>
    <row r="14" spans="1:7" ht="60.95" customHeight="1" x14ac:dyDescent="0.25">
      <c r="A14" s="287" t="s">
        <v>74</v>
      </c>
      <c r="B14" s="92" t="s">
        <v>439</v>
      </c>
      <c r="C14" s="10"/>
      <c r="D14" s="45" t="s">
        <v>65</v>
      </c>
      <c r="E14" s="284" t="s">
        <v>262</v>
      </c>
      <c r="F14" s="82">
        <f>IF(C14="Y",0.5,0)</f>
        <v>0</v>
      </c>
      <c r="G14" s="171"/>
    </row>
    <row r="15" spans="1:7" x14ac:dyDescent="0.25">
      <c r="A15" s="268"/>
      <c r="B15" s="525" t="s">
        <v>440</v>
      </c>
      <c r="C15" s="525"/>
      <c r="D15" s="525"/>
      <c r="E15" s="525"/>
      <c r="F15" s="269">
        <f>SUM(F12:F14)</f>
        <v>0</v>
      </c>
      <c r="G15" s="270"/>
    </row>
    <row r="16" spans="1:7" x14ac:dyDescent="0.25">
      <c r="A16" s="262" t="s">
        <v>441</v>
      </c>
      <c r="B16" s="263" t="s">
        <v>442</v>
      </c>
      <c r="C16" s="263"/>
      <c r="D16" s="264"/>
      <c r="E16" s="265"/>
      <c r="F16" s="266"/>
      <c r="G16" s="265"/>
    </row>
    <row r="17" spans="1:7" ht="31.5" x14ac:dyDescent="0.25">
      <c r="A17" s="287" t="s">
        <v>70</v>
      </c>
      <c r="B17" s="93" t="s">
        <v>443</v>
      </c>
      <c r="C17" s="272" t="s">
        <v>115</v>
      </c>
      <c r="D17" s="82" t="s">
        <v>115</v>
      </c>
      <c r="E17" s="271" t="s">
        <v>115</v>
      </c>
      <c r="F17" s="82" t="s">
        <v>115</v>
      </c>
      <c r="G17" s="171"/>
    </row>
    <row r="18" spans="1:7" ht="31.5" x14ac:dyDescent="0.25">
      <c r="A18" s="287" t="s">
        <v>71</v>
      </c>
      <c r="B18" s="92" t="s">
        <v>444</v>
      </c>
      <c r="C18" s="272" t="s">
        <v>115</v>
      </c>
      <c r="D18" s="82" t="s">
        <v>115</v>
      </c>
      <c r="E18" s="271" t="s">
        <v>115</v>
      </c>
      <c r="F18" s="82" t="s">
        <v>115</v>
      </c>
      <c r="G18" s="171"/>
    </row>
    <row r="19" spans="1:7" x14ac:dyDescent="0.25">
      <c r="A19" s="268"/>
      <c r="B19" s="525" t="s">
        <v>445</v>
      </c>
      <c r="C19" s="525"/>
      <c r="D19" s="525"/>
      <c r="E19" s="525"/>
      <c r="F19" s="269">
        <f>SUM(F16:F18)</f>
        <v>0</v>
      </c>
      <c r="G19" s="270"/>
    </row>
    <row r="20" spans="1:7" x14ac:dyDescent="0.25">
      <c r="A20" s="259" t="s">
        <v>446</v>
      </c>
      <c r="B20" s="527" t="s">
        <v>54</v>
      </c>
      <c r="C20" s="527"/>
      <c r="D20" s="527"/>
      <c r="E20" s="260">
        <v>5</v>
      </c>
      <c r="F20" s="261">
        <f>MIN(SUM(F25,F30),5)</f>
        <v>0</v>
      </c>
      <c r="G20" s="259"/>
    </row>
    <row r="21" spans="1:7" x14ac:dyDescent="0.25">
      <c r="A21" s="262" t="s">
        <v>447</v>
      </c>
      <c r="B21" s="263" t="s">
        <v>448</v>
      </c>
      <c r="C21" s="263"/>
      <c r="D21" s="264"/>
      <c r="E21" s="265"/>
      <c r="F21" s="266"/>
      <c r="G21" s="265"/>
    </row>
    <row r="22" spans="1:7" ht="63" x14ac:dyDescent="0.25">
      <c r="A22" s="295" t="s">
        <v>70</v>
      </c>
      <c r="B22" s="54" t="s">
        <v>449</v>
      </c>
      <c r="C22" s="10"/>
      <c r="D22" s="45" t="s">
        <v>65</v>
      </c>
      <c r="E22" s="284" t="s">
        <v>108</v>
      </c>
      <c r="F22" s="82">
        <f t="shared" ref="F22:F24" si="0">IF(C22="Y",1,0)</f>
        <v>0</v>
      </c>
      <c r="G22" s="171"/>
    </row>
    <row r="23" spans="1:7" ht="78.75" x14ac:dyDescent="0.25">
      <c r="A23" s="295" t="s">
        <v>71</v>
      </c>
      <c r="B23" s="54" t="s">
        <v>450</v>
      </c>
      <c r="C23" s="10"/>
      <c r="D23" s="45" t="s">
        <v>65</v>
      </c>
      <c r="E23" s="284" t="s">
        <v>108</v>
      </c>
      <c r="F23" s="82">
        <f t="shared" si="0"/>
        <v>0</v>
      </c>
      <c r="G23" s="171"/>
    </row>
    <row r="24" spans="1:7" ht="31.5" x14ac:dyDescent="0.25">
      <c r="A24" s="295" t="s">
        <v>74</v>
      </c>
      <c r="B24" s="54" t="s">
        <v>451</v>
      </c>
      <c r="C24" s="10"/>
      <c r="D24" s="45" t="s">
        <v>65</v>
      </c>
      <c r="E24" s="284" t="s">
        <v>108</v>
      </c>
      <c r="F24" s="82">
        <f t="shared" si="0"/>
        <v>0</v>
      </c>
      <c r="G24" s="171"/>
    </row>
    <row r="25" spans="1:7" x14ac:dyDescent="0.25">
      <c r="A25" s="268"/>
      <c r="B25" s="525" t="s">
        <v>452</v>
      </c>
      <c r="C25" s="525"/>
      <c r="D25" s="525"/>
      <c r="E25" s="525"/>
      <c r="F25" s="269">
        <f>SUM(F22:F24)</f>
        <v>0</v>
      </c>
      <c r="G25" s="270"/>
    </row>
    <row r="26" spans="1:7" x14ac:dyDescent="0.25">
      <c r="A26" s="262" t="s">
        <v>453</v>
      </c>
      <c r="B26" s="263" t="s">
        <v>454</v>
      </c>
      <c r="C26" s="263"/>
      <c r="D26" s="264"/>
      <c r="E26" s="265"/>
      <c r="F26" s="266"/>
      <c r="G26" s="265"/>
    </row>
    <row r="27" spans="1:7" ht="78.75" x14ac:dyDescent="0.25">
      <c r="A27" s="295" t="s">
        <v>70</v>
      </c>
      <c r="B27" s="54" t="s">
        <v>455</v>
      </c>
      <c r="C27" s="10"/>
      <c r="D27" s="45" t="s">
        <v>65</v>
      </c>
      <c r="E27" s="97" t="s">
        <v>126</v>
      </c>
      <c r="F27" s="82">
        <f>IF(C27="Y",2,0)</f>
        <v>0</v>
      </c>
      <c r="G27" s="171"/>
    </row>
    <row r="28" spans="1:7" ht="47.25" x14ac:dyDescent="0.25">
      <c r="A28" s="295" t="s">
        <v>71</v>
      </c>
      <c r="B28" s="54" t="s">
        <v>456</v>
      </c>
      <c r="C28" s="10"/>
      <c r="D28" s="45" t="s">
        <v>65</v>
      </c>
      <c r="E28" s="273" t="s">
        <v>217</v>
      </c>
      <c r="F28" s="82">
        <f>IF(C28="Y",3,0)</f>
        <v>0</v>
      </c>
      <c r="G28" s="172"/>
    </row>
    <row r="29" spans="1:7" ht="31.5" x14ac:dyDescent="0.25">
      <c r="A29" s="295" t="s">
        <v>74</v>
      </c>
      <c r="B29" s="54" t="s">
        <v>457</v>
      </c>
      <c r="C29" s="10"/>
      <c r="D29" s="45" t="s">
        <v>65</v>
      </c>
      <c r="E29" s="273" t="s">
        <v>108</v>
      </c>
      <c r="F29" s="82">
        <f>IF(C29="Y",1,0)</f>
        <v>0</v>
      </c>
      <c r="G29" s="172"/>
    </row>
    <row r="30" spans="1:7" x14ac:dyDescent="0.25">
      <c r="A30" s="268"/>
      <c r="B30" s="525" t="s">
        <v>458</v>
      </c>
      <c r="C30" s="525"/>
      <c r="D30" s="525"/>
      <c r="E30" s="525"/>
      <c r="F30" s="269">
        <f>SUM(F27:F29)</f>
        <v>0</v>
      </c>
      <c r="G30" s="270"/>
    </row>
    <row r="31" spans="1:7" x14ac:dyDescent="0.25">
      <c r="A31" s="259" t="s">
        <v>459</v>
      </c>
      <c r="B31" s="527" t="s">
        <v>56</v>
      </c>
      <c r="C31" s="527"/>
      <c r="D31" s="527"/>
      <c r="E31" s="260">
        <v>5</v>
      </c>
      <c r="F31" s="261">
        <f>MIN(SUM(F36,F41,F46),5)</f>
        <v>0</v>
      </c>
      <c r="G31" s="259"/>
    </row>
    <row r="32" spans="1:7" x14ac:dyDescent="0.25">
      <c r="A32" s="262" t="s">
        <v>460</v>
      </c>
      <c r="B32" s="263" t="s">
        <v>461</v>
      </c>
      <c r="C32" s="263"/>
      <c r="D32" s="264"/>
      <c r="E32" s="265"/>
      <c r="F32" s="266"/>
      <c r="G32" s="265"/>
    </row>
    <row r="33" spans="1:7" ht="47.25" x14ac:dyDescent="0.25">
      <c r="A33" s="295" t="s">
        <v>70</v>
      </c>
      <c r="B33" s="302" t="s">
        <v>462</v>
      </c>
      <c r="C33" s="272" t="s">
        <v>115</v>
      </c>
      <c r="D33" s="82" t="s">
        <v>115</v>
      </c>
      <c r="E33" s="271" t="s">
        <v>115</v>
      </c>
      <c r="F33" s="82" t="s">
        <v>115</v>
      </c>
      <c r="G33" s="171"/>
    </row>
    <row r="34" spans="1:7" ht="31.5" x14ac:dyDescent="0.25">
      <c r="A34" s="295" t="s">
        <v>71</v>
      </c>
      <c r="B34" s="302" t="s">
        <v>463</v>
      </c>
      <c r="C34" s="272" t="s">
        <v>115</v>
      </c>
      <c r="D34" s="82" t="s">
        <v>115</v>
      </c>
      <c r="E34" s="271" t="s">
        <v>115</v>
      </c>
      <c r="F34" s="82" t="s">
        <v>115</v>
      </c>
      <c r="G34" s="171"/>
    </row>
    <row r="35" spans="1:7" ht="47.25" x14ac:dyDescent="0.25">
      <c r="A35" s="295" t="s">
        <v>74</v>
      </c>
      <c r="B35" s="302" t="s">
        <v>514</v>
      </c>
      <c r="C35" s="272" t="s">
        <v>115</v>
      </c>
      <c r="D35" s="82" t="s">
        <v>115</v>
      </c>
      <c r="E35" s="271" t="s">
        <v>115</v>
      </c>
      <c r="F35" s="82" t="s">
        <v>115</v>
      </c>
      <c r="G35" s="171"/>
    </row>
    <row r="36" spans="1:7" x14ac:dyDescent="0.25">
      <c r="A36" s="268"/>
      <c r="B36" s="525" t="s">
        <v>464</v>
      </c>
      <c r="C36" s="525"/>
      <c r="D36" s="525"/>
      <c r="E36" s="525"/>
      <c r="F36" s="269">
        <f>SUM(F33:F35)</f>
        <v>0</v>
      </c>
      <c r="G36" s="270"/>
    </row>
    <row r="37" spans="1:7" x14ac:dyDescent="0.25">
      <c r="A37" s="262" t="s">
        <v>465</v>
      </c>
      <c r="B37" s="263" t="s">
        <v>466</v>
      </c>
      <c r="C37" s="263"/>
      <c r="D37" s="264"/>
      <c r="E37" s="265"/>
      <c r="F37" s="266"/>
      <c r="G37" s="265"/>
    </row>
    <row r="38" spans="1:7" ht="126" x14ac:dyDescent="0.25">
      <c r="A38" s="52"/>
      <c r="B38" s="54" t="s">
        <v>467</v>
      </c>
      <c r="C38" s="267"/>
      <c r="D38" s="45"/>
      <c r="E38" s="284"/>
      <c r="F38" s="82"/>
      <c r="G38" s="171"/>
    </row>
    <row r="39" spans="1:7" x14ac:dyDescent="0.25">
      <c r="A39" s="295" t="s">
        <v>70</v>
      </c>
      <c r="B39" s="110" t="s">
        <v>468</v>
      </c>
      <c r="C39" s="10"/>
      <c r="D39" s="45" t="s">
        <v>65</v>
      </c>
      <c r="E39" s="284" t="s">
        <v>108</v>
      </c>
      <c r="F39" s="82">
        <f t="shared" ref="F39" si="1">IF(C39="Y",1,0)</f>
        <v>0</v>
      </c>
      <c r="G39" s="171"/>
    </row>
    <row r="40" spans="1:7" x14ac:dyDescent="0.25">
      <c r="A40" s="295" t="s">
        <v>71</v>
      </c>
      <c r="B40" s="110" t="s">
        <v>469</v>
      </c>
      <c r="C40" s="10"/>
      <c r="D40" s="45" t="s">
        <v>65</v>
      </c>
      <c r="E40" s="284" t="s">
        <v>262</v>
      </c>
      <c r="F40" s="82">
        <f>IF(C40="Y",0.5,0)</f>
        <v>0</v>
      </c>
      <c r="G40" s="171"/>
    </row>
    <row r="41" spans="1:7" ht="15.6" customHeight="1" x14ac:dyDescent="0.25">
      <c r="A41" s="268"/>
      <c r="B41" s="525" t="s">
        <v>470</v>
      </c>
      <c r="C41" s="525"/>
      <c r="D41" s="525"/>
      <c r="E41" s="525"/>
      <c r="F41" s="269">
        <f>SUM(F38:F40)</f>
        <v>0</v>
      </c>
      <c r="G41" s="270"/>
    </row>
    <row r="42" spans="1:7" x14ac:dyDescent="0.25">
      <c r="A42" s="262" t="s">
        <v>471</v>
      </c>
      <c r="B42" s="263" t="s">
        <v>472</v>
      </c>
      <c r="C42" s="263"/>
      <c r="D42" s="264"/>
      <c r="E42" s="265"/>
      <c r="F42" s="266"/>
      <c r="G42" s="265"/>
    </row>
    <row r="43" spans="1:7" ht="63" x14ac:dyDescent="0.25">
      <c r="A43" s="529"/>
      <c r="B43" s="161" t="s">
        <v>473</v>
      </c>
      <c r="C43" s="267"/>
      <c r="D43" s="45"/>
      <c r="E43" s="284"/>
      <c r="F43" s="82"/>
      <c r="G43" s="172"/>
    </row>
    <row r="44" spans="1:7" ht="47.25" x14ac:dyDescent="0.25">
      <c r="A44" s="529"/>
      <c r="B44" s="274" t="s">
        <v>474</v>
      </c>
      <c r="C44" s="10"/>
      <c r="D44" s="45" t="s">
        <v>65</v>
      </c>
      <c r="E44" s="284" t="s">
        <v>108</v>
      </c>
      <c r="F44" s="82">
        <f t="shared" ref="F44:F45" si="2">IF(C44="Y",1,0)</f>
        <v>0</v>
      </c>
      <c r="G44" s="171"/>
    </row>
    <row r="45" spans="1:7" ht="47.25" x14ac:dyDescent="0.25">
      <c r="A45" s="529"/>
      <c r="B45" s="149" t="s">
        <v>475</v>
      </c>
      <c r="C45" s="10"/>
      <c r="D45" s="45" t="s">
        <v>65</v>
      </c>
      <c r="E45" s="284" t="s">
        <v>108</v>
      </c>
      <c r="F45" s="82">
        <f t="shared" si="2"/>
        <v>0</v>
      </c>
      <c r="G45" s="171"/>
    </row>
    <row r="46" spans="1:7" ht="15.6" customHeight="1" x14ac:dyDescent="0.25">
      <c r="A46" s="268"/>
      <c r="B46" s="525" t="s">
        <v>476</v>
      </c>
      <c r="C46" s="525"/>
      <c r="D46" s="525"/>
      <c r="E46" s="525"/>
      <c r="F46" s="269">
        <f>SUM(F43:F45)</f>
        <v>0</v>
      </c>
      <c r="G46" s="270"/>
    </row>
    <row r="47" spans="1:7" x14ac:dyDescent="0.25">
      <c r="A47" s="259"/>
      <c r="B47" s="527" t="s">
        <v>477</v>
      </c>
      <c r="C47" s="527"/>
      <c r="D47" s="527"/>
      <c r="E47" s="260">
        <v>3</v>
      </c>
      <c r="F47" s="261">
        <f>MIN(SUM(F49:F50),3)</f>
        <v>0</v>
      </c>
      <c r="G47" s="259"/>
    </row>
    <row r="48" spans="1:7" ht="63" x14ac:dyDescent="0.25">
      <c r="A48" s="262"/>
      <c r="B48" s="263" t="s">
        <v>478</v>
      </c>
      <c r="C48" s="263"/>
      <c r="D48" s="264"/>
      <c r="E48" s="275" t="s">
        <v>479</v>
      </c>
      <c r="F48" s="276"/>
      <c r="G48" s="277" t="s">
        <v>193</v>
      </c>
    </row>
    <row r="49" spans="1:7" ht="162" customHeight="1" x14ac:dyDescent="0.25">
      <c r="A49" s="435"/>
      <c r="B49" s="528" t="s">
        <v>480</v>
      </c>
      <c r="C49" s="10"/>
      <c r="D49" s="45" t="s">
        <v>68</v>
      </c>
      <c r="E49" s="284" t="s">
        <v>126</v>
      </c>
      <c r="F49" s="82">
        <f>C49</f>
        <v>0</v>
      </c>
      <c r="G49" s="171" t="s">
        <v>196</v>
      </c>
    </row>
    <row r="50" spans="1:7" ht="162" customHeight="1" x14ac:dyDescent="0.25">
      <c r="A50" s="435"/>
      <c r="B50" s="528"/>
      <c r="C50" s="10"/>
      <c r="D50" s="45" t="s">
        <v>68</v>
      </c>
      <c r="E50" s="284" t="s">
        <v>126</v>
      </c>
      <c r="F50" s="82">
        <f>C50</f>
        <v>0</v>
      </c>
      <c r="G50" s="255" t="s">
        <v>481</v>
      </c>
    </row>
  </sheetData>
  <sheetProtection formatCells="0" selectLockedCells="1"/>
  <mergeCells count="17">
    <mergeCell ref="B20:D20"/>
    <mergeCell ref="B31:D31"/>
    <mergeCell ref="B41:E41"/>
    <mergeCell ref="A43:A45"/>
    <mergeCell ref="B46:E46"/>
    <mergeCell ref="B49:B50"/>
    <mergeCell ref="A49:A50"/>
    <mergeCell ref="B25:E25"/>
    <mergeCell ref="B30:E30"/>
    <mergeCell ref="B36:E36"/>
    <mergeCell ref="B47:D47"/>
    <mergeCell ref="B19:E19"/>
    <mergeCell ref="A2:D2"/>
    <mergeCell ref="B3:D3"/>
    <mergeCell ref="B10:E10"/>
    <mergeCell ref="B15:E15"/>
    <mergeCell ref="A6:A8"/>
  </mergeCells>
  <dataValidations count="4">
    <dataValidation type="list" allowBlank="1" showInputMessage="1" showErrorMessage="1" sqref="C7:C9 C12:C14 C27:C29 C44:C45 C5 C22:C24 C39:C40" xr:uid="{00000000-0002-0000-0600-000000000000}">
      <formula1>"Y,N"</formula1>
    </dataValidation>
    <dataValidation type="decimal" allowBlank="1" showErrorMessage="1" error="Please enter 0.5 or 1 or 1.5 or 2." prompt="Please Enter 0 or 1 or 1.5 or 2." sqref="F49:F50" xr:uid="{00000000-0002-0000-0600-000001000000}">
      <formula1>0</formula1>
      <formula2>2</formula2>
    </dataValidation>
    <dataValidation allowBlank="1" showInputMessage="1" showErrorMessage="1" prompt="Please list down short description of your innovation." sqref="G49:G50" xr:uid="{00000000-0002-0000-0600-000002000000}"/>
    <dataValidation type="list" showErrorMessage="1" error="Please enter 0.5 or 1 or 1.5 or 2." prompt="Please Enter 0.5 or 1 or 1.5 or 2." sqref="C49:C50" xr:uid="{00000000-0002-0000-0600-000003000000}">
      <formula1>"0, 0.5, 1.0, 1.5, 2.0"</formula1>
    </dataValidation>
  </dataValidation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zoomScaleNormal="100" zoomScaleSheetLayoutView="70" workbookViewId="0">
      <selection activeCell="H4" sqref="H4"/>
    </sheetView>
  </sheetViews>
  <sheetFormatPr defaultRowHeight="15.75" x14ac:dyDescent="0.25"/>
  <cols>
    <col min="1" max="1" width="8.28515625" style="1" customWidth="1"/>
    <col min="2" max="2" width="65.7109375" customWidth="1"/>
    <col min="3" max="4" width="10.42578125" customWidth="1"/>
    <col min="5" max="6" width="10.42578125" style="13" customWidth="1"/>
    <col min="7" max="7" width="18.28515625" customWidth="1"/>
    <col min="8" max="8" width="45.140625" style="338" customWidth="1"/>
    <col min="9" max="9" width="50.7109375" style="338" customWidth="1"/>
    <col min="10" max="10" width="17.28515625" hidden="1" customWidth="1"/>
    <col min="11" max="14" width="9.140625" hidden="1" customWidth="1"/>
  </cols>
  <sheetData>
    <row r="1" spans="1:14" ht="16.5" thickBot="1" x14ac:dyDescent="0.3">
      <c r="H1" s="310"/>
      <c r="I1" s="310"/>
    </row>
    <row r="2" spans="1:14" ht="21" x14ac:dyDescent="0.25">
      <c r="A2" s="546" t="s">
        <v>482</v>
      </c>
      <c r="B2" s="547"/>
      <c r="C2" s="547"/>
      <c r="D2" s="547"/>
      <c r="E2" s="547"/>
      <c r="F2" s="547"/>
      <c r="G2" s="548"/>
      <c r="H2" s="310"/>
      <c r="I2" s="310"/>
    </row>
    <row r="3" spans="1:14" ht="85.5" customHeight="1" x14ac:dyDescent="0.25">
      <c r="A3" s="553"/>
      <c r="B3" s="554"/>
      <c r="C3" s="554"/>
      <c r="D3" s="554"/>
      <c r="E3" s="554"/>
      <c r="F3" s="554"/>
      <c r="G3" s="555"/>
      <c r="H3" s="310"/>
      <c r="I3" s="310"/>
    </row>
    <row r="4" spans="1:14" ht="189" customHeight="1" thickBot="1" x14ac:dyDescent="0.3">
      <c r="A4" s="556" t="s">
        <v>511</v>
      </c>
      <c r="B4" s="557"/>
      <c r="C4" s="557"/>
      <c r="D4" s="557"/>
      <c r="E4" s="557"/>
      <c r="F4" s="557"/>
      <c r="G4" s="558"/>
      <c r="H4" s="310"/>
      <c r="I4" s="310"/>
    </row>
    <row r="5" spans="1:14" x14ac:dyDescent="0.25">
      <c r="H5" s="310"/>
      <c r="I5" s="310"/>
    </row>
    <row r="6" spans="1:14" ht="30.95" customHeight="1" x14ac:dyDescent="0.25">
      <c r="A6" s="2"/>
      <c r="B6" s="3" t="s">
        <v>483</v>
      </c>
      <c r="C6" s="536" t="s">
        <v>97</v>
      </c>
      <c r="D6" s="536"/>
      <c r="E6" s="536" t="s">
        <v>505</v>
      </c>
      <c r="F6" s="536"/>
      <c r="G6" s="332" t="s">
        <v>506</v>
      </c>
      <c r="H6" s="310"/>
      <c r="I6" s="310"/>
      <c r="K6" s="536" t="s">
        <v>505</v>
      </c>
      <c r="L6" s="536"/>
      <c r="M6" s="536" t="s">
        <v>505</v>
      </c>
      <c r="N6" s="536"/>
    </row>
    <row r="7" spans="1:14" ht="18.75" x14ac:dyDescent="0.25">
      <c r="A7" s="559" t="s">
        <v>30</v>
      </c>
      <c r="B7" s="560"/>
      <c r="C7" s="552">
        <f>'[3]Maintainability Score Summary'!$K$23</f>
        <v>71</v>
      </c>
      <c r="D7" s="537"/>
      <c r="E7" s="537"/>
      <c r="F7" s="537"/>
      <c r="G7" s="333"/>
      <c r="H7" s="310"/>
      <c r="I7" s="310"/>
      <c r="K7" s="537"/>
      <c r="L7" s="537"/>
      <c r="M7" s="537"/>
      <c r="N7" s="537"/>
    </row>
    <row r="8" spans="1:14" x14ac:dyDescent="0.25">
      <c r="A8" s="561" t="s">
        <v>484</v>
      </c>
      <c r="B8" s="561"/>
      <c r="C8" s="532">
        <f>'[3]Maintainability Score Summary'!$E$6</f>
        <v>3</v>
      </c>
      <c r="D8" s="533"/>
      <c r="E8" s="532">
        <f>MAX(K8:N8)</f>
        <v>0</v>
      </c>
      <c r="F8" s="533"/>
      <c r="G8" s="331" t="str">
        <f>IF(G9="","",G9)</f>
        <v/>
      </c>
      <c r="H8" s="310"/>
      <c r="I8" s="310"/>
      <c r="K8" s="532">
        <f>'[3]Maintainability Score Summary'!$F$6</f>
        <v>0</v>
      </c>
      <c r="L8" s="533"/>
      <c r="M8" s="532">
        <f>'[4]Maintainability Score Summary'!$F$6</f>
        <v>0</v>
      </c>
      <c r="N8" s="533"/>
    </row>
    <row r="9" spans="1:14" x14ac:dyDescent="0.25">
      <c r="A9" s="11">
        <v>0.1</v>
      </c>
      <c r="B9" s="12" t="str">
        <f>'[3]Maintainability Score Summary'!$B$7</f>
        <v>General Project Requirement</v>
      </c>
      <c r="C9" s="551">
        <f>'[3]Maintainability Score Summary'!$E$7</f>
        <v>3</v>
      </c>
      <c r="D9" s="551"/>
      <c r="E9" s="551">
        <f t="shared" ref="E9:E13" si="0">MAX(K9:N9)</f>
        <v>0</v>
      </c>
      <c r="F9" s="551"/>
      <c r="G9" s="341"/>
      <c r="H9" s="310"/>
      <c r="I9" s="310"/>
      <c r="K9" s="530">
        <f>'[3]Maintainability Score Summary'!$F$7</f>
        <v>0</v>
      </c>
      <c r="L9" s="531"/>
      <c r="M9" s="530">
        <f>'[4]Maintainability Score Summary'!$F$7</f>
        <v>0</v>
      </c>
      <c r="N9" s="531"/>
    </row>
    <row r="10" spans="1:14" x14ac:dyDescent="0.25">
      <c r="A10" s="561" t="s">
        <v>485</v>
      </c>
      <c r="B10" s="561"/>
      <c r="C10" s="533">
        <f>'[3]Maintainability Score Summary'!$E$8</f>
        <v>11.5</v>
      </c>
      <c r="D10" s="533"/>
      <c r="E10" s="533">
        <f t="shared" si="0"/>
        <v>0</v>
      </c>
      <c r="F10" s="533"/>
      <c r="G10" s="331" t="str">
        <f>IF(OR(G11="",G13="",G17=""),"",SUM(G17,G13,G11))</f>
        <v/>
      </c>
      <c r="H10" s="310"/>
      <c r="I10" s="310"/>
      <c r="K10" s="532">
        <f>'[3]Maintainability Score Summary'!$F$8</f>
        <v>0</v>
      </c>
      <c r="L10" s="533"/>
      <c r="M10" s="532">
        <f>'[4]Maintainability Score Summary'!$F$8</f>
        <v>0</v>
      </c>
      <c r="N10" s="533"/>
    </row>
    <row r="11" spans="1:14" x14ac:dyDescent="0.25">
      <c r="A11" s="549" t="str">
        <f>'[3]Maintainability Score Summary'!$A$9</f>
        <v>Part A - General Façade</v>
      </c>
      <c r="B11" s="550"/>
      <c r="C11" s="535">
        <f>'[3]Maintainability Score Summary'!$E$9</f>
        <v>0.5</v>
      </c>
      <c r="D11" s="535"/>
      <c r="E11" s="535">
        <f t="shared" si="0"/>
        <v>0</v>
      </c>
      <c r="F11" s="535"/>
      <c r="G11" s="334" t="str">
        <f>IF(G12="","",G12)</f>
        <v/>
      </c>
      <c r="H11" s="310"/>
      <c r="I11" s="310"/>
      <c r="K11" s="534">
        <f>'[3]Maintainability Score Summary'!$F$9</f>
        <v>0</v>
      </c>
      <c r="L11" s="535"/>
      <c r="M11" s="534">
        <f>'[4]Maintainability Score Summary'!$F$9</f>
        <v>0</v>
      </c>
      <c r="N11" s="535"/>
    </row>
    <row r="12" spans="1:14" x14ac:dyDescent="0.25">
      <c r="A12" s="6">
        <v>1.1000000000000001</v>
      </c>
      <c r="B12" s="7" t="str">
        <f>'[3]Maintainability Score Summary'!$B$10</f>
        <v>General Façade</v>
      </c>
      <c r="C12" s="531">
        <f>'[3]Maintainability Score Summary'!$E$10</f>
        <v>0.5</v>
      </c>
      <c r="D12" s="531"/>
      <c r="E12" s="531">
        <f t="shared" si="0"/>
        <v>0</v>
      </c>
      <c r="F12" s="531"/>
      <c r="G12" s="341"/>
      <c r="H12" s="310"/>
      <c r="I12" s="310"/>
      <c r="K12" s="530">
        <f>'[3]Maintainability Score Summary'!$F$10</f>
        <v>0</v>
      </c>
      <c r="L12" s="531"/>
      <c r="M12" s="530">
        <f>'[4]Maintainability Score Summary'!$F$10</f>
        <v>0</v>
      </c>
      <c r="N12" s="531"/>
    </row>
    <row r="13" spans="1:14" x14ac:dyDescent="0.25">
      <c r="A13" s="549" t="str">
        <f>'[3]Maintainability Score Summary'!$A$11</f>
        <v>Part B - Façade System</v>
      </c>
      <c r="B13" s="550"/>
      <c r="C13" s="535">
        <f>'[3]Maintainability Score Summary'!$E$11</f>
        <v>4</v>
      </c>
      <c r="D13" s="535"/>
      <c r="E13" s="535">
        <f t="shared" si="0"/>
        <v>0</v>
      </c>
      <c r="F13" s="535"/>
      <c r="G13" s="334" t="str">
        <f>IF(G14="","",G14)</f>
        <v/>
      </c>
      <c r="H13" s="310"/>
      <c r="I13" s="310"/>
      <c r="K13" s="534">
        <f>'[3]Maintainability Score Summary'!$F$11</f>
        <v>0</v>
      </c>
      <c r="L13" s="535"/>
      <c r="M13" s="534">
        <f>'[4]Maintainability Score Summary'!$F$11</f>
        <v>0</v>
      </c>
      <c r="N13" s="535"/>
    </row>
    <row r="14" spans="1:14" x14ac:dyDescent="0.25">
      <c r="A14" s="6">
        <v>1.2</v>
      </c>
      <c r="B14" s="7" t="str">
        <f>'[3]Maintainability Score Summary'!$B$12</f>
        <v>Cladding system: Tile/ Stone/ Metal/ Others</v>
      </c>
      <c r="C14" s="531">
        <f>'[3]Maintainability Score Summary'!$E$12</f>
        <v>4</v>
      </c>
      <c r="D14" s="531"/>
      <c r="E14" s="531">
        <f>MAX(K14:N14)</f>
        <v>0</v>
      </c>
      <c r="F14" s="531"/>
      <c r="G14" s="545"/>
      <c r="H14" s="310"/>
      <c r="I14" s="310"/>
      <c r="K14" s="538">
        <f>'[3]Maintainability Score Summary'!$F$12</f>
        <v>0</v>
      </c>
      <c r="L14" s="538"/>
      <c r="M14" s="538">
        <f>'[4]Maintainability Score Summary'!$F$12</f>
        <v>0</v>
      </c>
      <c r="N14" s="538"/>
    </row>
    <row r="15" spans="1:14" x14ac:dyDescent="0.25">
      <c r="A15" s="6">
        <v>1.3</v>
      </c>
      <c r="B15" s="7" t="str">
        <f>'[3]Maintainability Score Summary'!$B$13</f>
        <v>Curtain Wall: Glazing/ Others</v>
      </c>
      <c r="C15" s="531"/>
      <c r="D15" s="531"/>
      <c r="E15" s="531"/>
      <c r="F15" s="531"/>
      <c r="G15" s="545"/>
      <c r="H15" s="310"/>
      <c r="I15" s="310"/>
      <c r="K15" s="538"/>
      <c r="L15" s="538"/>
      <c r="M15" s="538"/>
      <c r="N15" s="538"/>
    </row>
    <row r="16" spans="1:14" x14ac:dyDescent="0.25">
      <c r="A16" s="6">
        <v>1.4</v>
      </c>
      <c r="B16" s="7" t="str">
        <f>'[3]Maintainability Score Summary'!$B$14</f>
        <v>Masonry and Lightweight Concrete Panels</v>
      </c>
      <c r="C16" s="531"/>
      <c r="D16" s="531"/>
      <c r="E16" s="531"/>
      <c r="F16" s="531"/>
      <c r="G16" s="545"/>
      <c r="H16" s="310"/>
      <c r="I16" s="310"/>
      <c r="K16" s="538"/>
      <c r="L16" s="538"/>
      <c r="M16" s="538"/>
      <c r="N16" s="538"/>
    </row>
    <row r="17" spans="1:14" x14ac:dyDescent="0.25">
      <c r="A17" s="549" t="str">
        <f>'[3]Maintainability Score Summary'!$A$15</f>
        <v>Part C - Others</v>
      </c>
      <c r="B17" s="550"/>
      <c r="C17" s="535">
        <f>'[3]Maintainability Score Summary'!$E$15</f>
        <v>7</v>
      </c>
      <c r="D17" s="535"/>
      <c r="E17" s="535">
        <f t="shared" ref="E17:E55" si="1">MAX(K17:N17)</f>
        <v>0</v>
      </c>
      <c r="F17" s="535"/>
      <c r="G17" s="334" t="str">
        <f>IF(OR(G18="",G19="",G20=""),"",SUM(G18:G20))</f>
        <v/>
      </c>
      <c r="H17" s="310"/>
      <c r="I17" s="310"/>
      <c r="K17" s="534">
        <f>'[3]Maintainability Score Summary'!$F$15</f>
        <v>0</v>
      </c>
      <c r="L17" s="535"/>
      <c r="M17" s="534">
        <f>'[4]Maintainability Score Summary'!$F$15</f>
        <v>0</v>
      </c>
      <c r="N17" s="535"/>
    </row>
    <row r="18" spans="1:14" x14ac:dyDescent="0.25">
      <c r="A18" s="6" t="s">
        <v>486</v>
      </c>
      <c r="B18" s="7" t="str">
        <f>'[3]Maintainability Score Summary'!$B$16</f>
        <v>Façade Features/ considerations</v>
      </c>
      <c r="C18" s="531">
        <f>'[3]Maintainability Score Summary'!$E$16</f>
        <v>3</v>
      </c>
      <c r="D18" s="531"/>
      <c r="E18" s="531">
        <f t="shared" si="1"/>
        <v>0</v>
      </c>
      <c r="F18" s="531"/>
      <c r="G18" s="341"/>
      <c r="H18" s="310"/>
      <c r="I18" s="310"/>
      <c r="K18" s="530">
        <f>'[3]Maintainability Score Summary'!$F$16</f>
        <v>0</v>
      </c>
      <c r="L18" s="531"/>
      <c r="M18" s="530">
        <f>'[4]Maintainability Score Summary'!$F$16</f>
        <v>0</v>
      </c>
      <c r="N18" s="531"/>
    </row>
    <row r="19" spans="1:14" x14ac:dyDescent="0.25">
      <c r="A19" s="6" t="s">
        <v>487</v>
      </c>
      <c r="B19" s="7" t="str">
        <f>'[3]Maintainability Score Summary'!$B$17</f>
        <v>Entrance lobby/ Integrated drop-off points at blocks</v>
      </c>
      <c r="C19" s="531">
        <f>'[3]Maintainability Score Summary'!$E$17</f>
        <v>2</v>
      </c>
      <c r="D19" s="531"/>
      <c r="E19" s="531">
        <f t="shared" si="1"/>
        <v>0</v>
      </c>
      <c r="F19" s="531"/>
      <c r="G19" s="341"/>
      <c r="H19" s="310"/>
      <c r="I19" s="310"/>
      <c r="K19" s="530">
        <f>'[3]Maintainability Score Summary'!$F$17</f>
        <v>0</v>
      </c>
      <c r="L19" s="531"/>
      <c r="M19" s="530">
        <f>'[4]Maintainability Score Summary'!$F$17</f>
        <v>0</v>
      </c>
      <c r="N19" s="531"/>
    </row>
    <row r="20" spans="1:14" x14ac:dyDescent="0.25">
      <c r="A20" s="6">
        <v>1.7</v>
      </c>
      <c r="B20" s="7" t="str">
        <f>'[3]Maintainability Score Summary'!$B$18</f>
        <v>Exposed corridors and link bridges</v>
      </c>
      <c r="C20" s="531">
        <f>'[3]Maintainability Score Summary'!$E$18</f>
        <v>2</v>
      </c>
      <c r="D20" s="531"/>
      <c r="E20" s="531">
        <f t="shared" si="1"/>
        <v>0</v>
      </c>
      <c r="F20" s="531"/>
      <c r="G20" s="341"/>
      <c r="H20" s="310"/>
      <c r="I20" s="310"/>
      <c r="K20" s="530">
        <f>'[3]Maintainability Score Summary'!$F$18</f>
        <v>0</v>
      </c>
      <c r="L20" s="531"/>
      <c r="M20" s="530">
        <f>'[4]Maintainability Score Summary'!$F$18</f>
        <v>0</v>
      </c>
      <c r="N20" s="531"/>
    </row>
    <row r="21" spans="1:14" x14ac:dyDescent="0.25">
      <c r="A21" s="6">
        <v>1.8</v>
      </c>
      <c r="B21" s="7" t="str">
        <f>'[3]Maintainability Score Summary'!$B$19</f>
        <v>Roof</v>
      </c>
      <c r="C21" s="531" t="str">
        <f>'[3]Maintainability Score Summary'!$E$19</f>
        <v>Pre-req</v>
      </c>
      <c r="D21" s="531"/>
      <c r="E21" s="531">
        <f t="shared" si="1"/>
        <v>0</v>
      </c>
      <c r="F21" s="531"/>
      <c r="G21" s="342"/>
      <c r="H21" s="310"/>
      <c r="I21" s="310"/>
      <c r="K21" s="531"/>
      <c r="L21" s="531"/>
      <c r="M21" s="531"/>
      <c r="N21" s="531"/>
    </row>
    <row r="22" spans="1:14" x14ac:dyDescent="0.25">
      <c r="A22" s="561" t="s">
        <v>488</v>
      </c>
      <c r="B22" s="561" t="s">
        <v>54</v>
      </c>
      <c r="C22" s="533">
        <f>'[3]Maintainability Score Summary'!$E$20</f>
        <v>18.5</v>
      </c>
      <c r="D22" s="533"/>
      <c r="E22" s="533">
        <f t="shared" si="1"/>
        <v>0</v>
      </c>
      <c r="F22" s="533"/>
      <c r="G22" s="331" t="str">
        <f>IF(OR(G23="",G24="",G25="",G26="",G27=""),"",SUM(G23:G27))</f>
        <v/>
      </c>
      <c r="H22" s="310"/>
      <c r="I22" s="310"/>
      <c r="K22" s="532">
        <f>'[3]Maintainability Score Summary'!$F$20</f>
        <v>0</v>
      </c>
      <c r="L22" s="533"/>
      <c r="M22" s="532">
        <f>'[4]Maintainability Score Summary'!$F$20</f>
        <v>0</v>
      </c>
      <c r="N22" s="533"/>
    </row>
    <row r="23" spans="1:14" x14ac:dyDescent="0.25">
      <c r="A23" s="6">
        <v>2.1</v>
      </c>
      <c r="B23" s="9" t="str">
        <f>'[3]Maintainability Score Summary'!$B$21</f>
        <v>Floors</v>
      </c>
      <c r="C23" s="531">
        <f>'[3]Maintainability Score Summary'!$E$21</f>
        <v>2.5</v>
      </c>
      <c r="D23" s="531"/>
      <c r="E23" s="531">
        <f t="shared" si="1"/>
        <v>0</v>
      </c>
      <c r="F23" s="531"/>
      <c r="G23" s="341"/>
      <c r="H23" s="310"/>
      <c r="I23" s="310"/>
      <c r="K23" s="530">
        <f>'[3]Maintainability Score Summary'!$F$21</f>
        <v>0</v>
      </c>
      <c r="L23" s="531"/>
      <c r="M23" s="530">
        <f>'[4]Maintainability Score Summary'!$F$21</f>
        <v>0</v>
      </c>
      <c r="N23" s="531"/>
    </row>
    <row r="24" spans="1:14" x14ac:dyDescent="0.25">
      <c r="A24" s="6">
        <v>2.2000000000000002</v>
      </c>
      <c r="B24" s="9" t="str">
        <f>'[3]Maintainability Score Summary'!$B$22</f>
        <v>Walls and Partitions</v>
      </c>
      <c r="C24" s="531">
        <f>'[3]Maintainability Score Summary'!$E$22</f>
        <v>1</v>
      </c>
      <c r="D24" s="531"/>
      <c r="E24" s="531">
        <f t="shared" si="1"/>
        <v>0</v>
      </c>
      <c r="F24" s="531"/>
      <c r="G24" s="341"/>
      <c r="H24" s="310"/>
      <c r="I24" s="310"/>
      <c r="K24" s="530">
        <f>'[3]Maintainability Score Summary'!$F$22</f>
        <v>0</v>
      </c>
      <c r="L24" s="531"/>
      <c r="M24" s="530">
        <f>'[4]Maintainability Score Summary'!$F$22</f>
        <v>0</v>
      </c>
      <c r="N24" s="531"/>
    </row>
    <row r="25" spans="1:14" x14ac:dyDescent="0.25">
      <c r="A25" s="6">
        <v>2.2999999999999998</v>
      </c>
      <c r="B25" s="9" t="str">
        <f>'[3]Maintainability Score Summary'!$B$23</f>
        <v>Ceiling</v>
      </c>
      <c r="C25" s="531">
        <f>'[3]Maintainability Score Summary'!$E$23</f>
        <v>4</v>
      </c>
      <c r="D25" s="531"/>
      <c r="E25" s="531">
        <f t="shared" si="1"/>
        <v>0</v>
      </c>
      <c r="F25" s="531"/>
      <c r="G25" s="341"/>
      <c r="H25" s="310"/>
      <c r="I25" s="310"/>
      <c r="K25" s="530">
        <f>'[3]Maintainability Score Summary'!$F$23</f>
        <v>0</v>
      </c>
      <c r="L25" s="531"/>
      <c r="M25" s="530">
        <f>'[4]Maintainability Score Summary'!$F$23</f>
        <v>0</v>
      </c>
      <c r="N25" s="531"/>
    </row>
    <row r="26" spans="1:14" x14ac:dyDescent="0.25">
      <c r="A26" s="6">
        <v>2.4</v>
      </c>
      <c r="B26" s="9" t="str">
        <f>'[3]Maintainability Score Summary'!$B$24</f>
        <v xml:space="preserve">Common toilets </v>
      </c>
      <c r="C26" s="531">
        <f>'[3]Maintainability Score Summary'!$E$24</f>
        <v>7</v>
      </c>
      <c r="D26" s="531"/>
      <c r="E26" s="531">
        <f t="shared" si="1"/>
        <v>0</v>
      </c>
      <c r="F26" s="531"/>
      <c r="G26" s="341"/>
      <c r="H26" s="310"/>
      <c r="I26" s="310"/>
      <c r="K26" s="530">
        <f>'[3]Maintainability Score Summary'!$F$24</f>
        <v>0</v>
      </c>
      <c r="L26" s="531"/>
      <c r="M26" s="530">
        <f>'[4]Maintainability Score Summary'!$F$24</f>
        <v>0</v>
      </c>
      <c r="N26" s="531"/>
    </row>
    <row r="27" spans="1:14" x14ac:dyDescent="0.25">
      <c r="A27" s="6">
        <v>2.5</v>
      </c>
      <c r="B27" s="9" t="str">
        <f>'[3]Maintainability Score Summary'!$B$25</f>
        <v>Basements</v>
      </c>
      <c r="C27" s="531">
        <f>'[3]Maintainability Score Summary'!$E$25</f>
        <v>4</v>
      </c>
      <c r="D27" s="531"/>
      <c r="E27" s="531">
        <f t="shared" si="1"/>
        <v>0</v>
      </c>
      <c r="F27" s="531"/>
      <c r="G27" s="341"/>
      <c r="H27" s="310"/>
      <c r="I27" s="310"/>
      <c r="K27" s="530">
        <f>'[3]Maintainability Score Summary'!$F$25</f>
        <v>0</v>
      </c>
      <c r="L27" s="531"/>
      <c r="M27" s="530">
        <f>'[4]Maintainability Score Summary'!$F$25</f>
        <v>0</v>
      </c>
      <c r="N27" s="531"/>
    </row>
    <row r="28" spans="1:14" x14ac:dyDescent="0.25">
      <c r="A28" s="561" t="s">
        <v>489</v>
      </c>
      <c r="B28" s="561"/>
      <c r="C28" s="533">
        <f>'[3]Maintainability Score Summary'!$E$26</f>
        <v>10</v>
      </c>
      <c r="D28" s="533"/>
      <c r="E28" s="533">
        <f t="shared" si="1"/>
        <v>0</v>
      </c>
      <c r="F28" s="533"/>
      <c r="G28" s="331" t="str">
        <f>IF(OR(G29="",G31="",G33="",G34="",G35=""),"",SUM(G29,G31,G33:G35))</f>
        <v/>
      </c>
      <c r="H28" s="310"/>
      <c r="I28" s="310"/>
      <c r="K28" s="532">
        <f>'[3]Maintainability Score Summary'!$F$26</f>
        <v>0</v>
      </c>
      <c r="L28" s="533"/>
      <c r="M28" s="532">
        <f>'[4]Maintainability Score Summary'!$F$26</f>
        <v>0</v>
      </c>
      <c r="N28" s="533"/>
    </row>
    <row r="29" spans="1:14" ht="31.5" x14ac:dyDescent="0.25">
      <c r="A29" s="6">
        <v>3.1</v>
      </c>
      <c r="B29" s="9" t="str">
        <f>'[3]Maintainability Score Summary'!$B$27</f>
        <v xml:space="preserve">Air Conditioning System-Direct Expansion System 
(DX Units) </v>
      </c>
      <c r="C29" s="531">
        <f>'[3]Maintainability Score Summary'!$E$27</f>
        <v>2</v>
      </c>
      <c r="D29" s="531"/>
      <c r="E29" s="531">
        <f t="shared" si="1"/>
        <v>0</v>
      </c>
      <c r="F29" s="531"/>
      <c r="G29" s="341"/>
      <c r="H29" s="310"/>
      <c r="I29" s="310"/>
      <c r="K29" s="530">
        <f>'[3]Maintainability Score Summary'!$F$27</f>
        <v>0</v>
      </c>
      <c r="L29" s="531"/>
      <c r="M29" s="530">
        <f>'[4]Maintainability Score Summary'!$F$27</f>
        <v>0</v>
      </c>
      <c r="N29" s="531"/>
    </row>
    <row r="30" spans="1:14" x14ac:dyDescent="0.25">
      <c r="A30" s="6">
        <v>3.2</v>
      </c>
      <c r="B30" s="9" t="str">
        <f>'[3]Maintainability Score Summary'!$B$28</f>
        <v>Air Conditioning System - Variable Refrigerant Flow (VRF) System</v>
      </c>
      <c r="C30" s="531" t="str">
        <f>'[3]Maintainability Score Summary'!$E$28</f>
        <v>Pre-req</v>
      </c>
      <c r="D30" s="531"/>
      <c r="E30" s="531">
        <f t="shared" si="1"/>
        <v>0</v>
      </c>
      <c r="F30" s="531"/>
      <c r="G30" s="342"/>
      <c r="H30" s="310"/>
      <c r="I30" s="310"/>
      <c r="K30" s="531"/>
      <c r="L30" s="531"/>
      <c r="M30" s="531"/>
      <c r="N30" s="531"/>
    </row>
    <row r="31" spans="1:14" x14ac:dyDescent="0.25">
      <c r="A31" s="6">
        <v>3.3</v>
      </c>
      <c r="B31" s="9" t="str">
        <f>'[3]Maintainability Score Summary'!$B$29</f>
        <v>Air Distribution System</v>
      </c>
      <c r="C31" s="531">
        <f>'[3]Maintainability Score Summary'!$E$29</f>
        <v>1</v>
      </c>
      <c r="D31" s="531"/>
      <c r="E31" s="531">
        <f t="shared" si="1"/>
        <v>0</v>
      </c>
      <c r="F31" s="531"/>
      <c r="G31" s="341"/>
      <c r="H31" s="310"/>
      <c r="I31" s="310"/>
      <c r="K31" s="530">
        <f>'[3]Maintainability Score Summary'!$F$29</f>
        <v>0</v>
      </c>
      <c r="L31" s="531"/>
      <c r="M31" s="530">
        <f>'[4]Maintainability Score Summary'!$F$29</f>
        <v>0</v>
      </c>
      <c r="N31" s="531"/>
    </row>
    <row r="32" spans="1:14" x14ac:dyDescent="0.25">
      <c r="A32" s="6">
        <v>3.4</v>
      </c>
      <c r="B32" s="9" t="str">
        <f>'[3]Maintainability Score Summary'!$B$30</f>
        <v>Domestic Water Supply</v>
      </c>
      <c r="C32" s="531" t="str">
        <f>'[3]Maintainability Score Summary'!$E$30</f>
        <v>Pre-req</v>
      </c>
      <c r="D32" s="531"/>
      <c r="E32" s="531">
        <f t="shared" si="1"/>
        <v>0</v>
      </c>
      <c r="F32" s="531"/>
      <c r="G32" s="342"/>
      <c r="H32" s="310"/>
      <c r="I32" s="310"/>
      <c r="K32" s="531"/>
      <c r="L32" s="531"/>
      <c r="M32" s="531"/>
      <c r="N32" s="531"/>
    </row>
    <row r="33" spans="1:14" x14ac:dyDescent="0.25">
      <c r="A33" s="6">
        <v>3.5</v>
      </c>
      <c r="B33" s="9" t="str">
        <f>'[3]Maintainability Score Summary'!$B$31</f>
        <v>Sanitary System</v>
      </c>
      <c r="C33" s="531">
        <f>'[3]Maintainability Score Summary'!$E$31</f>
        <v>3</v>
      </c>
      <c r="D33" s="531"/>
      <c r="E33" s="531">
        <f t="shared" si="1"/>
        <v>0</v>
      </c>
      <c r="F33" s="531"/>
      <c r="G33" s="341"/>
      <c r="H33" s="310"/>
      <c r="I33" s="310"/>
      <c r="K33" s="530">
        <f>'[3]Maintainability Score Summary'!$F$31</f>
        <v>0</v>
      </c>
      <c r="L33" s="531"/>
      <c r="M33" s="530">
        <f>'[4]Maintainability Score Summary'!$F$31</f>
        <v>0</v>
      </c>
      <c r="N33" s="531"/>
    </row>
    <row r="34" spans="1:14" x14ac:dyDescent="0.25">
      <c r="A34" s="6">
        <v>3.6</v>
      </c>
      <c r="B34" s="9" t="str">
        <f>'[3]Maintainability Score Summary'!$B$32</f>
        <v xml:space="preserve">Fire Protection System </v>
      </c>
      <c r="C34" s="531">
        <f>'[3]Maintainability Score Summary'!$E$32</f>
        <v>1</v>
      </c>
      <c r="D34" s="531"/>
      <c r="E34" s="531">
        <f t="shared" si="1"/>
        <v>0</v>
      </c>
      <c r="F34" s="531"/>
      <c r="G34" s="341"/>
      <c r="H34" s="310"/>
      <c r="I34" s="310"/>
      <c r="K34" s="530">
        <f>'[3]Maintainability Score Summary'!$F$32</f>
        <v>0</v>
      </c>
      <c r="L34" s="531"/>
      <c r="M34" s="530">
        <f>'[4]Maintainability Score Summary'!$F$32</f>
        <v>0</v>
      </c>
      <c r="N34" s="531"/>
    </row>
    <row r="35" spans="1:14" x14ac:dyDescent="0.25">
      <c r="A35" s="6">
        <v>3.7</v>
      </c>
      <c r="B35" s="9" t="str">
        <f>'[3]Maintainability Score Summary'!$B$33</f>
        <v>Swimming Pool System</v>
      </c>
      <c r="C35" s="531">
        <f>'[3]Maintainability Score Summary'!$E$33</f>
        <v>3</v>
      </c>
      <c r="D35" s="531"/>
      <c r="E35" s="531">
        <f t="shared" si="1"/>
        <v>0</v>
      </c>
      <c r="F35" s="531"/>
      <c r="G35" s="341"/>
      <c r="H35" s="310"/>
      <c r="I35" s="310"/>
      <c r="K35" s="530">
        <f>'[3]Maintainability Score Summary'!$F$33</f>
        <v>0</v>
      </c>
      <c r="L35" s="531"/>
      <c r="M35" s="530">
        <f>'[4]Maintainability Score Summary'!$F$33</f>
        <v>0</v>
      </c>
      <c r="N35" s="531"/>
    </row>
    <row r="36" spans="1:14" x14ac:dyDescent="0.25">
      <c r="A36" s="561" t="s">
        <v>490</v>
      </c>
      <c r="B36" s="561" t="s">
        <v>466</v>
      </c>
      <c r="C36" s="533">
        <f>'[3]Maintainability Score Summary'!$E$35</f>
        <v>10.5</v>
      </c>
      <c r="D36" s="533"/>
      <c r="E36" s="533">
        <f t="shared" si="1"/>
        <v>0</v>
      </c>
      <c r="F36" s="533"/>
      <c r="G36" s="331" t="str">
        <f>IF(OR(G37="",G38="",G39="",G40="",G41=""),"",SUM(G37:G41))</f>
        <v/>
      </c>
      <c r="H36" s="310"/>
      <c r="I36" s="310"/>
      <c r="K36" s="532">
        <f>'[3]Maintainability Score Summary'!$F$35</f>
        <v>0</v>
      </c>
      <c r="L36" s="533"/>
      <c r="M36" s="532">
        <f>'[4]Maintainability Score Summary'!$F$35</f>
        <v>0</v>
      </c>
      <c r="N36" s="533"/>
    </row>
    <row r="37" spans="1:14" x14ac:dyDescent="0.25">
      <c r="A37" s="6">
        <v>4.0999999999999996</v>
      </c>
      <c r="B37" s="9" t="str">
        <f>'[3]Maintainability Score Summary'!$B$36</f>
        <v>Lighting System</v>
      </c>
      <c r="C37" s="531">
        <f>'[3]Maintainability Score Summary'!$E$36</f>
        <v>1.5</v>
      </c>
      <c r="D37" s="531"/>
      <c r="E37" s="531">
        <f t="shared" si="1"/>
        <v>0</v>
      </c>
      <c r="F37" s="531"/>
      <c r="G37" s="341"/>
      <c r="H37" s="310"/>
      <c r="I37" s="310"/>
      <c r="K37" s="530">
        <f>'[3]Maintainability Score Summary'!$F$36</f>
        <v>0</v>
      </c>
      <c r="L37" s="531"/>
      <c r="M37" s="530">
        <f>'[4]Maintainability Score Summary'!$F$36</f>
        <v>0</v>
      </c>
      <c r="N37" s="531"/>
    </row>
    <row r="38" spans="1:14" x14ac:dyDescent="0.25">
      <c r="A38" s="6">
        <v>4.2</v>
      </c>
      <c r="B38" s="9" t="str">
        <f>'[3]Maintainability Score Summary'!$B$37</f>
        <v>Power Distribution System</v>
      </c>
      <c r="C38" s="531">
        <f>'[3]Maintainability Score Summary'!$E$37</f>
        <v>3</v>
      </c>
      <c r="D38" s="531"/>
      <c r="E38" s="531">
        <f t="shared" si="1"/>
        <v>0</v>
      </c>
      <c r="F38" s="531"/>
      <c r="G38" s="341"/>
      <c r="H38" s="310"/>
      <c r="I38" s="310"/>
      <c r="K38" s="530">
        <f>'[3]Maintainability Score Summary'!$F$37</f>
        <v>0</v>
      </c>
      <c r="L38" s="531"/>
      <c r="M38" s="530">
        <f>'[4]Maintainability Score Summary'!$F$37</f>
        <v>0</v>
      </c>
      <c r="N38" s="531"/>
    </row>
    <row r="39" spans="1:14" x14ac:dyDescent="0.25">
      <c r="A39" s="6">
        <v>4.3</v>
      </c>
      <c r="B39" s="9" t="str">
        <f>'[3]Maintainability Score Summary'!$B$38</f>
        <v>Extra Low Voltage System</v>
      </c>
      <c r="C39" s="531">
        <f>'[3]Maintainability Score Summary'!$E$38</f>
        <v>3</v>
      </c>
      <c r="D39" s="531"/>
      <c r="E39" s="531">
        <f t="shared" si="1"/>
        <v>0</v>
      </c>
      <c r="F39" s="531"/>
      <c r="G39" s="341"/>
      <c r="H39" s="310"/>
      <c r="I39" s="310"/>
      <c r="K39" s="530">
        <f>'[3]Maintainability Score Summary'!$F$38</f>
        <v>0</v>
      </c>
      <c r="L39" s="531"/>
      <c r="M39" s="530">
        <f>'[4]Maintainability Score Summary'!$F$38</f>
        <v>0</v>
      </c>
      <c r="N39" s="531"/>
    </row>
    <row r="40" spans="1:14" x14ac:dyDescent="0.25">
      <c r="A40" s="6">
        <v>4.4000000000000004</v>
      </c>
      <c r="B40" s="9" t="str">
        <f>'[3]Maintainability Score Summary'!$B$39</f>
        <v>Lightning Protection System</v>
      </c>
      <c r="C40" s="531">
        <f>'[3]Maintainability Score Summary'!$E$39</f>
        <v>1</v>
      </c>
      <c r="D40" s="531"/>
      <c r="E40" s="531">
        <f t="shared" si="1"/>
        <v>0</v>
      </c>
      <c r="F40" s="531"/>
      <c r="G40" s="341"/>
      <c r="H40" s="310"/>
      <c r="I40" s="310"/>
      <c r="K40" s="530">
        <f>'[3]Maintainability Score Summary'!$F$39</f>
        <v>0</v>
      </c>
      <c r="L40" s="531"/>
      <c r="M40" s="530">
        <f>'[4]Maintainability Score Summary'!$F$39</f>
        <v>0</v>
      </c>
      <c r="N40" s="531"/>
    </row>
    <row r="41" spans="1:14" x14ac:dyDescent="0.25">
      <c r="A41" s="6">
        <v>4.5</v>
      </c>
      <c r="B41" s="9" t="str">
        <f>'[3]Maintainability Score Summary'!$B$40</f>
        <v>Vertical Transportation System</v>
      </c>
      <c r="C41" s="531">
        <f>'[3]Maintainability Score Summary'!$E$40</f>
        <v>2</v>
      </c>
      <c r="D41" s="531"/>
      <c r="E41" s="531">
        <f t="shared" si="1"/>
        <v>0</v>
      </c>
      <c r="F41" s="531"/>
      <c r="G41" s="341"/>
      <c r="H41" s="310"/>
      <c r="I41" s="310"/>
      <c r="K41" s="530">
        <f>'[3]Maintainability Score Summary'!$F$40</f>
        <v>0</v>
      </c>
      <c r="L41" s="531"/>
      <c r="M41" s="530">
        <f>'[4]Maintainability Score Summary'!$F$40</f>
        <v>0</v>
      </c>
      <c r="N41" s="531"/>
    </row>
    <row r="42" spans="1:14" x14ac:dyDescent="0.25">
      <c r="A42" s="6">
        <v>4.5999999999999996</v>
      </c>
      <c r="B42" s="9" t="str">
        <f>'[3]Maintainability Score Summary'!$B$41</f>
        <v>Carpark Entry System</v>
      </c>
      <c r="C42" s="531" t="str">
        <f>'[3]Maintainability Score Summary'!$E$41</f>
        <v>Pre-req</v>
      </c>
      <c r="D42" s="531"/>
      <c r="E42" s="531">
        <f t="shared" si="1"/>
        <v>0</v>
      </c>
      <c r="F42" s="531"/>
      <c r="G42" s="342"/>
      <c r="H42" s="310"/>
      <c r="I42" s="310"/>
      <c r="K42" s="531"/>
      <c r="L42" s="531"/>
      <c r="M42" s="531"/>
      <c r="N42" s="531"/>
    </row>
    <row r="43" spans="1:14" x14ac:dyDescent="0.25">
      <c r="A43" s="561" t="s">
        <v>491</v>
      </c>
      <c r="B43" s="561"/>
      <c r="C43" s="533">
        <f>'[3]Maintainability Score Summary'!$L$6</f>
        <v>10.5</v>
      </c>
      <c r="D43" s="533"/>
      <c r="E43" s="533">
        <f t="shared" si="1"/>
        <v>0</v>
      </c>
      <c r="F43" s="533"/>
      <c r="G43" s="331" t="str">
        <f>IF(OR(G44="",G45="",G47="",G48="",G49=""),"",SUM(G44:G45,G47:G49))</f>
        <v/>
      </c>
      <c r="H43" s="310"/>
      <c r="I43" s="310"/>
      <c r="K43" s="532">
        <f>'[3]Maintainability Score Summary'!$M$6</f>
        <v>0</v>
      </c>
      <c r="L43" s="533"/>
      <c r="M43" s="532">
        <f>'[4]Maintainability Score Summary'!$M$6</f>
        <v>0</v>
      </c>
      <c r="N43" s="533"/>
    </row>
    <row r="44" spans="1:14" x14ac:dyDescent="0.25">
      <c r="A44" s="6">
        <v>5.0999999999999996</v>
      </c>
      <c r="B44" s="9" t="str">
        <f>'[3]Maintainability Score Summary'!$I$7</f>
        <v>Softscape</v>
      </c>
      <c r="C44" s="531">
        <f>'[3]Maintainability Score Summary'!$L$7</f>
        <v>1</v>
      </c>
      <c r="D44" s="531"/>
      <c r="E44" s="531">
        <f t="shared" si="1"/>
        <v>0</v>
      </c>
      <c r="F44" s="531"/>
      <c r="G44" s="341"/>
      <c r="H44" s="310"/>
      <c r="I44" s="310"/>
      <c r="K44" s="530">
        <f>'[3]Maintainability Score Summary'!$M$7</f>
        <v>0</v>
      </c>
      <c r="L44" s="531"/>
      <c r="M44" s="530">
        <f>'[4]Maintainability Score Summary'!$M$7</f>
        <v>0</v>
      </c>
      <c r="N44" s="531"/>
    </row>
    <row r="45" spans="1:14" x14ac:dyDescent="0.25">
      <c r="A45" s="6">
        <v>5.2</v>
      </c>
      <c r="B45" s="9" t="str">
        <f>'[3]Maintainability Score Summary'!$I$8</f>
        <v>Hardscape</v>
      </c>
      <c r="C45" s="531">
        <f>'[3]Maintainability Score Summary'!$L$8</f>
        <v>3.5</v>
      </c>
      <c r="D45" s="531"/>
      <c r="E45" s="531">
        <f t="shared" si="1"/>
        <v>0</v>
      </c>
      <c r="F45" s="531"/>
      <c r="G45" s="341"/>
      <c r="H45" s="310"/>
      <c r="I45" s="310"/>
      <c r="K45" s="530">
        <f>'[3]Maintainability Score Summary'!$M$8</f>
        <v>0</v>
      </c>
      <c r="L45" s="531"/>
      <c r="M45" s="530">
        <f>'[4]Maintainability Score Summary'!$M$8</f>
        <v>0</v>
      </c>
      <c r="N45" s="531"/>
    </row>
    <row r="46" spans="1:14" x14ac:dyDescent="0.25">
      <c r="A46" s="6">
        <v>5.3</v>
      </c>
      <c r="B46" s="9" t="str">
        <f>'[3]Maintainability Score Summary'!$I$9</f>
        <v>Vertical Greenery</v>
      </c>
      <c r="C46" s="531" t="str">
        <f>'[3]Maintainability Score Summary'!$L$9</f>
        <v>Pre-req</v>
      </c>
      <c r="D46" s="531"/>
      <c r="E46" s="531">
        <f t="shared" si="1"/>
        <v>0</v>
      </c>
      <c r="F46" s="531"/>
      <c r="G46" s="342"/>
      <c r="H46" s="310"/>
      <c r="I46" s="310"/>
      <c r="K46" s="531"/>
      <c r="L46" s="531"/>
      <c r="M46" s="531"/>
      <c r="N46" s="531"/>
    </row>
    <row r="47" spans="1:14" x14ac:dyDescent="0.25">
      <c r="A47" s="6">
        <v>5.4</v>
      </c>
      <c r="B47" s="9" t="str">
        <f>'[3]Maintainability Score Summary'!$I$10</f>
        <v>Roof and Sky Terraces</v>
      </c>
      <c r="C47" s="531">
        <f>'[3]Maintainability Score Summary'!$L$10</f>
        <v>1</v>
      </c>
      <c r="D47" s="531"/>
      <c r="E47" s="531">
        <f t="shared" si="1"/>
        <v>0</v>
      </c>
      <c r="F47" s="531"/>
      <c r="G47" s="341"/>
      <c r="H47" s="310"/>
      <c r="I47" s="310"/>
      <c r="K47" s="530">
        <f>'[3]Maintainability Score Summary'!$M$10</f>
        <v>0</v>
      </c>
      <c r="L47" s="531"/>
      <c r="M47" s="530">
        <f>'[4]Maintainability Score Summary'!$M$10</f>
        <v>0</v>
      </c>
      <c r="N47" s="531"/>
    </row>
    <row r="48" spans="1:14" x14ac:dyDescent="0.25">
      <c r="A48" s="6">
        <v>5.5</v>
      </c>
      <c r="B48" s="9" t="str">
        <f>'[3]Maintainability Score Summary'!$I$11</f>
        <v>Water Retaining Structures</v>
      </c>
      <c r="C48" s="531">
        <f>'[3]Maintainability Score Summary'!$L$11</f>
        <v>3</v>
      </c>
      <c r="D48" s="531"/>
      <c r="E48" s="531">
        <f t="shared" si="1"/>
        <v>0</v>
      </c>
      <c r="F48" s="531"/>
      <c r="G48" s="341"/>
      <c r="H48" s="310"/>
      <c r="I48" s="310"/>
      <c r="K48" s="530">
        <f>'[3]Maintainability Score Summary'!$M$11</f>
        <v>0</v>
      </c>
      <c r="L48" s="531"/>
      <c r="M48" s="530">
        <f>'[4]Maintainability Score Summary'!$M$11</f>
        <v>0</v>
      </c>
      <c r="N48" s="531"/>
    </row>
    <row r="49" spans="1:14" x14ac:dyDescent="0.25">
      <c r="A49" s="6">
        <v>5.6</v>
      </c>
      <c r="B49" s="9" t="str">
        <f>'[3]Maintainability Score Summary'!$I$12</f>
        <v>Standalone Structures</v>
      </c>
      <c r="C49" s="531">
        <f>'[3]Maintainability Score Summary'!$L$12</f>
        <v>2</v>
      </c>
      <c r="D49" s="531"/>
      <c r="E49" s="531">
        <f t="shared" si="1"/>
        <v>0</v>
      </c>
      <c r="F49" s="531"/>
      <c r="G49" s="341"/>
      <c r="H49" s="310"/>
      <c r="I49" s="310"/>
      <c r="K49" s="530">
        <f>'[3]Maintainability Score Summary'!$M$12</f>
        <v>0</v>
      </c>
      <c r="L49" s="531"/>
      <c r="M49" s="530">
        <f>'[4]Maintainability Score Summary'!$M$12</f>
        <v>0</v>
      </c>
      <c r="N49" s="531"/>
    </row>
    <row r="50" spans="1:14" x14ac:dyDescent="0.25">
      <c r="A50" s="561" t="s">
        <v>492</v>
      </c>
      <c r="B50" s="561"/>
      <c r="C50" s="533">
        <f>'[3]Maintainability Score Summary'!$L$13</f>
        <v>2</v>
      </c>
      <c r="D50" s="533"/>
      <c r="E50" s="533">
        <f t="shared" si="1"/>
        <v>0</v>
      </c>
      <c r="F50" s="533"/>
      <c r="G50" s="331" t="str">
        <f>IF(G51="","",G51)</f>
        <v/>
      </c>
      <c r="H50" s="310"/>
      <c r="I50" s="310"/>
      <c r="K50" s="532">
        <f>'[3]Maintainability Score Summary'!$M$13</f>
        <v>0</v>
      </c>
      <c r="L50" s="533"/>
      <c r="M50" s="532">
        <f>'[4]Maintainability Score Summary'!$M$13</f>
        <v>0</v>
      </c>
      <c r="N50" s="533"/>
    </row>
    <row r="51" spans="1:14" x14ac:dyDescent="0.25">
      <c r="A51" s="6">
        <v>6.1</v>
      </c>
      <c r="B51" s="9" t="str">
        <f>'[3]Maintainability Score Summary'!$I$14</f>
        <v>Outdoor games court</v>
      </c>
      <c r="C51" s="531">
        <f>'[3]Maintainability Score Summary'!$L$14</f>
        <v>2</v>
      </c>
      <c r="D51" s="531"/>
      <c r="E51" s="531">
        <f t="shared" si="1"/>
        <v>0</v>
      </c>
      <c r="F51" s="531"/>
      <c r="G51" s="341"/>
      <c r="H51" s="310"/>
      <c r="I51" s="310"/>
      <c r="K51" s="530">
        <f>'[3]Maintainability Score Summary'!$M$14</f>
        <v>0</v>
      </c>
      <c r="L51" s="531"/>
      <c r="M51" s="530">
        <f>'[4]Maintainability Score Summary'!$M$14</f>
        <v>0</v>
      </c>
      <c r="N51" s="531"/>
    </row>
    <row r="52" spans="1:14" x14ac:dyDescent="0.25">
      <c r="A52" s="561" t="s">
        <v>493</v>
      </c>
      <c r="B52" s="561" t="s">
        <v>494</v>
      </c>
      <c r="C52" s="533">
        <f>'[3]Maintainability Score Summary'!$L$15</f>
        <v>5</v>
      </c>
      <c r="D52" s="533"/>
      <c r="E52" s="533">
        <f t="shared" si="1"/>
        <v>0</v>
      </c>
      <c r="F52" s="533"/>
      <c r="G52" s="331" t="str">
        <f>IF(G53="","",G53)</f>
        <v/>
      </c>
      <c r="H52" s="310"/>
      <c r="I52" s="310"/>
      <c r="K52" s="532">
        <f>'[3]Maintainability Score Summary'!$M$15</f>
        <v>0</v>
      </c>
      <c r="L52" s="533"/>
      <c r="M52" s="532">
        <f>'[4]Maintainability Score Summary'!$M$15</f>
        <v>0</v>
      </c>
      <c r="N52" s="533"/>
    </row>
    <row r="53" spans="1:14" x14ac:dyDescent="0.25">
      <c r="A53" s="6">
        <v>7.1</v>
      </c>
      <c r="B53" s="9" t="str">
        <f>'[3]Maintainability Score Summary'!$I$16</f>
        <v>Innovation features in labour-saving/maintenance-free</v>
      </c>
      <c r="C53" s="531">
        <f>'[3]Maintainability Score Summary'!$L$16</f>
        <v>5</v>
      </c>
      <c r="D53" s="531"/>
      <c r="E53" s="531">
        <f t="shared" si="1"/>
        <v>0</v>
      </c>
      <c r="F53" s="531"/>
      <c r="G53" s="341"/>
      <c r="H53" s="310"/>
      <c r="I53" s="310"/>
      <c r="K53" s="530">
        <f>'[3]Maintainability Score Summary'!$M$16</f>
        <v>0</v>
      </c>
      <c r="L53" s="531"/>
      <c r="M53" s="530">
        <f>'[4]Maintainability Score Summary'!$M$16</f>
        <v>0</v>
      </c>
      <c r="N53" s="531"/>
    </row>
    <row r="54" spans="1:14" x14ac:dyDescent="0.25">
      <c r="A54" s="561" t="s">
        <v>495</v>
      </c>
      <c r="B54" s="561"/>
      <c r="C54" s="533">
        <v>4</v>
      </c>
      <c r="D54" s="533"/>
      <c r="E54" s="533">
        <f t="shared" si="1"/>
        <v>0</v>
      </c>
      <c r="F54" s="533"/>
      <c r="G54" s="331" t="str">
        <f>IF(OR(G55="",G56=""),"",SUM(G55:G56))</f>
        <v/>
      </c>
      <c r="H54" s="310"/>
      <c r="I54" s="310"/>
      <c r="K54" s="532">
        <f>SUM(K55:K56)</f>
        <v>0</v>
      </c>
      <c r="L54" s="532"/>
      <c r="M54" s="532">
        <f>SUM(M55:M56)</f>
        <v>0</v>
      </c>
      <c r="N54" s="532"/>
    </row>
    <row r="55" spans="1:14" x14ac:dyDescent="0.25">
      <c r="A55" s="8"/>
      <c r="B55" s="9" t="str">
        <f>'[3]Maintainability Score Summary'!$H$18</f>
        <v>Section 1 BONUS POINTS</v>
      </c>
      <c r="C55" s="531">
        <f>'[3]Maintainability Score Summary'!$L$18</f>
        <v>3</v>
      </c>
      <c r="D55" s="531"/>
      <c r="E55" s="531">
        <f t="shared" si="1"/>
        <v>0</v>
      </c>
      <c r="F55" s="531"/>
      <c r="G55" s="341"/>
      <c r="H55" s="310"/>
      <c r="I55" s="310"/>
      <c r="K55" s="530">
        <f>'[3]Maintainability Score Summary'!$M$18</f>
        <v>0</v>
      </c>
      <c r="L55" s="531"/>
      <c r="M55" s="530">
        <f>'[4]Maintainability Score Summary'!$M$18</f>
        <v>0</v>
      </c>
      <c r="N55" s="531"/>
    </row>
    <row r="56" spans="1:14" x14ac:dyDescent="0.25">
      <c r="A56" s="8"/>
      <c r="B56" s="9" t="str">
        <f>'[3]Maintainability Score Summary'!$H$19</f>
        <v>Section 5 BONUS POINTS</v>
      </c>
      <c r="C56" s="531">
        <f>'[3]Maintainability Score Summary'!$L$19</f>
        <v>1</v>
      </c>
      <c r="D56" s="531"/>
      <c r="E56" s="531">
        <f>MAX(K56:N56)</f>
        <v>0</v>
      </c>
      <c r="F56" s="531"/>
      <c r="G56" s="341"/>
      <c r="H56" s="310"/>
      <c r="I56" s="310"/>
      <c r="K56" s="530">
        <f>'[3]Maintainability Score Summary'!$M$19</f>
        <v>0</v>
      </c>
      <c r="L56" s="531"/>
      <c r="M56" s="530">
        <f>'[4]Maintainability Score Summary'!$M$19</f>
        <v>0</v>
      </c>
      <c r="N56" s="531"/>
    </row>
    <row r="57" spans="1:14" s="1" customFormat="1" x14ac:dyDescent="0.25">
      <c r="A57" s="14"/>
      <c r="B57" s="15" t="s">
        <v>496</v>
      </c>
      <c r="C57" s="544" t="str">
        <f>IF(J57=0,IF(OR(G52="",G50="",G43="",G36="",G28="",G22="",G10="",G8=""),"",G52+G50+G43+G36+G28+G22+G10+G8),J57)</f>
        <v/>
      </c>
      <c r="D57" s="544"/>
      <c r="E57" s="544"/>
      <c r="F57" s="544"/>
      <c r="G57" s="544"/>
      <c r="H57" s="310"/>
      <c r="I57" s="339"/>
      <c r="J57" s="344">
        <f>MAX(K57:N57)</f>
        <v>0</v>
      </c>
      <c r="K57" s="541">
        <f>'[3]Maintainability Score Summary'!$K$22</f>
        <v>0</v>
      </c>
      <c r="L57" s="541"/>
      <c r="M57" s="541">
        <f>'[4]Maintainability Score Summary'!$K$22</f>
        <v>0</v>
      </c>
      <c r="N57" s="541"/>
    </row>
    <row r="58" spans="1:14" s="1" customFormat="1" x14ac:dyDescent="0.25">
      <c r="A58" s="14"/>
      <c r="B58" s="15" t="s">
        <v>497</v>
      </c>
      <c r="C58" s="544">
        <f>MAX(K58:N58)</f>
        <v>0</v>
      </c>
      <c r="D58" s="540"/>
      <c r="E58" s="540"/>
      <c r="F58" s="540"/>
      <c r="G58" s="341"/>
      <c r="H58" s="310"/>
      <c r="I58" s="339"/>
      <c r="J58" s="335"/>
      <c r="K58" s="542">
        <f>'[3]Maintainability Score Summary'!$K$24</f>
        <v>0</v>
      </c>
      <c r="L58" s="543"/>
      <c r="M58" s="542">
        <f>'[4]Maintainability Score Summary'!$K$24</f>
        <v>0</v>
      </c>
      <c r="N58" s="543"/>
    </row>
    <row r="59" spans="1:14" s="1" customFormat="1" x14ac:dyDescent="0.25">
      <c r="A59" s="14"/>
      <c r="B59" s="336" t="s">
        <v>507</v>
      </c>
      <c r="C59" s="544">
        <f>MAX(K59:N59)</f>
        <v>0</v>
      </c>
      <c r="D59" s="540"/>
      <c r="E59" s="540"/>
      <c r="F59" s="540"/>
      <c r="G59" s="337" t="str">
        <f>IF(OR(G55="",G56="",C57=""),"",IF(C57=J60,G55+G56,""))</f>
        <v/>
      </c>
      <c r="H59" s="310"/>
      <c r="I59" s="339"/>
      <c r="J59" s="335"/>
      <c r="K59" s="544">
        <f>'[3]Maintainability Score Summary'!$N$22</f>
        <v>0</v>
      </c>
      <c r="L59" s="544"/>
      <c r="M59" s="544">
        <f>'[4]Maintainability Score Summary'!$N$22</f>
        <v>0</v>
      </c>
      <c r="N59" s="544"/>
    </row>
    <row r="60" spans="1:14" s="1" customFormat="1" x14ac:dyDescent="0.25">
      <c r="A60" s="14"/>
      <c r="B60" s="565" t="s">
        <v>498</v>
      </c>
      <c r="C60" s="542" t="s">
        <v>499</v>
      </c>
      <c r="D60" s="543"/>
      <c r="E60" s="567">
        <f>MAX(K60:N60)</f>
        <v>0</v>
      </c>
      <c r="F60" s="568"/>
      <c r="G60" s="337">
        <f>IF(OR(C57="",G54=""),0,IF(C57=J60,(C57/(71-G58))*71,0))</f>
        <v>0</v>
      </c>
      <c r="H60" s="310"/>
      <c r="I60" s="339"/>
      <c r="J60" s="344" t="str">
        <f>IF(OR(G52="",G50="",G43="",G36="",G28="",G22="",G10="",G8=""),"",G52+G50+G43+G36+G28+G22+G10+G8)</f>
        <v/>
      </c>
      <c r="K60" s="539">
        <f>'[3]Maintainability Score Summary'!$K$25</f>
        <v>0</v>
      </c>
      <c r="L60" s="539"/>
      <c r="M60" s="539">
        <f>'[4]Maintainability Score Summary'!$K$25</f>
        <v>0</v>
      </c>
      <c r="N60" s="539"/>
    </row>
    <row r="61" spans="1:14" s="1" customFormat="1" x14ac:dyDescent="0.25">
      <c r="A61" s="14"/>
      <c r="B61" s="566"/>
      <c r="C61" s="542" t="s">
        <v>500</v>
      </c>
      <c r="D61" s="543"/>
      <c r="E61" s="567">
        <f>MAX(K61:N61)</f>
        <v>0</v>
      </c>
      <c r="F61" s="568"/>
      <c r="G61" s="337">
        <f>IF(OR(G60="",G59=""),0,G60+G59)</f>
        <v>0</v>
      </c>
      <c r="H61" s="310"/>
      <c r="I61" s="339"/>
      <c r="J61" s="335"/>
      <c r="K61" s="539">
        <f>'[3]Maintainability Score Summary'!$M$25</f>
        <v>0</v>
      </c>
      <c r="L61" s="539"/>
      <c r="M61" s="539">
        <f>'[4]Maintainability Score Summary'!$M$25</f>
        <v>0</v>
      </c>
      <c r="N61" s="539"/>
    </row>
    <row r="62" spans="1:14" x14ac:dyDescent="0.25">
      <c r="A62" s="14"/>
      <c r="B62" s="15" t="s">
        <v>501</v>
      </c>
      <c r="C62" s="540">
        <f>MAX(K62:N62)</f>
        <v>0</v>
      </c>
      <c r="D62" s="540"/>
      <c r="E62" s="540"/>
      <c r="F62" s="540"/>
      <c r="G62" s="343"/>
      <c r="H62" s="310"/>
      <c r="I62" s="310"/>
      <c r="J62" s="13">
        <f>IF(AND(C62="",G62=""),"",IF(C62="",G62,C62))</f>
        <v>0</v>
      </c>
      <c r="K62" s="540" t="str">
        <f>'[3]Maintainability Score Summary'!$M$30</f>
        <v/>
      </c>
      <c r="L62" s="540"/>
      <c r="M62" s="540" t="str">
        <f>'[4]Maintainability Score Summary'!$M$30</f>
        <v/>
      </c>
      <c r="N62" s="540"/>
    </row>
    <row r="63" spans="1:14" x14ac:dyDescent="0.25">
      <c r="A63" s="14"/>
      <c r="B63" s="15" t="s">
        <v>502</v>
      </c>
      <c r="C63" s="542">
        <f>IF(J63=0,IF(G61=0,0,IF(G61/4&gt;15,15,G61/4)),J63)</f>
        <v>0</v>
      </c>
      <c r="D63" s="563"/>
      <c r="E63" s="563"/>
      <c r="F63" s="563"/>
      <c r="G63" s="543"/>
      <c r="H63" s="310"/>
      <c r="I63" s="310"/>
      <c r="J63" s="344">
        <f>MAX(K63:N63)</f>
        <v>0</v>
      </c>
      <c r="K63" s="562">
        <f>'[3]Maintainability Score Summary'!$M$31</f>
        <v>0</v>
      </c>
      <c r="L63" s="562"/>
      <c r="M63" s="562">
        <f>'[4]Maintainability Score Summary'!$M$31</f>
        <v>0</v>
      </c>
      <c r="N63" s="562"/>
    </row>
    <row r="64" spans="1:14" x14ac:dyDescent="0.25">
      <c r="A64" s="14"/>
      <c r="B64" s="15" t="s">
        <v>503</v>
      </c>
      <c r="C64" s="564" t="str">
        <f>IF(AND(C63=0,G61=""),"",IF(AND(C63&gt;=10,J62=0),"Yes","No"))</f>
        <v>No</v>
      </c>
      <c r="D64" s="564"/>
      <c r="E64" s="564"/>
      <c r="F64" s="564"/>
      <c r="G64" s="564"/>
      <c r="H64" s="310"/>
      <c r="I64" s="310"/>
    </row>
  </sheetData>
  <sheetProtection algorithmName="SHA-512" hashValue="PtJjBj8R/KJPrQlN3vHg3l6oU78dRkvb98sO/RgRi/JeplR54nLB7N1m6Z//evcvQOI8UO6lr5xVqhUQ/kJm1A==" saltValue="sjZwBmTX7R/Pt7at9INdtA==" spinCount="100000" sheet="1" formatCells="0" selectLockedCells="1"/>
  <mergeCells count="238">
    <mergeCell ref="C58:F58"/>
    <mergeCell ref="C62:F62"/>
    <mergeCell ref="E55:F55"/>
    <mergeCell ref="C55:D55"/>
    <mergeCell ref="E39:F39"/>
    <mergeCell ref="E37:F37"/>
    <mergeCell ref="C38:D38"/>
    <mergeCell ref="E38:F38"/>
    <mergeCell ref="C35:D35"/>
    <mergeCell ref="E35:F35"/>
    <mergeCell ref="C37:D37"/>
    <mergeCell ref="C51:D51"/>
    <mergeCell ref="E51:F51"/>
    <mergeCell ref="C47:D47"/>
    <mergeCell ref="E47:F47"/>
    <mergeCell ref="A52:B52"/>
    <mergeCell ref="C56:D56"/>
    <mergeCell ref="E56:F56"/>
    <mergeCell ref="K63:L63"/>
    <mergeCell ref="M63:N63"/>
    <mergeCell ref="C63:G63"/>
    <mergeCell ref="C64:G64"/>
    <mergeCell ref="B60:B61"/>
    <mergeCell ref="C60:D60"/>
    <mergeCell ref="C61:D61"/>
    <mergeCell ref="E60:F60"/>
    <mergeCell ref="E61:F61"/>
    <mergeCell ref="C54:D54"/>
    <mergeCell ref="E54:F54"/>
    <mergeCell ref="C52:D52"/>
    <mergeCell ref="E52:F52"/>
    <mergeCell ref="C53:D53"/>
    <mergeCell ref="E53:F53"/>
    <mergeCell ref="M53:N53"/>
    <mergeCell ref="M54:N54"/>
    <mergeCell ref="M55:N55"/>
    <mergeCell ref="M56:N56"/>
    <mergeCell ref="M58:N58"/>
    <mergeCell ref="M59:N59"/>
    <mergeCell ref="A3:G3"/>
    <mergeCell ref="A4:G4"/>
    <mergeCell ref="C57:G57"/>
    <mergeCell ref="C59:F59"/>
    <mergeCell ref="A7:B7"/>
    <mergeCell ref="C12:D12"/>
    <mergeCell ref="C21:D21"/>
    <mergeCell ref="A43:B43"/>
    <mergeCell ref="A50:B50"/>
    <mergeCell ref="A54:B54"/>
    <mergeCell ref="E36:F36"/>
    <mergeCell ref="C36:D36"/>
    <mergeCell ref="C28:D28"/>
    <mergeCell ref="A8:B8"/>
    <mergeCell ref="A10:B10"/>
    <mergeCell ref="A22:B22"/>
    <mergeCell ref="A28:B28"/>
    <mergeCell ref="A36:B36"/>
    <mergeCell ref="C30:D30"/>
    <mergeCell ref="C34:D34"/>
    <mergeCell ref="C39:D39"/>
    <mergeCell ref="C29:D29"/>
    <mergeCell ref="E29:F29"/>
    <mergeCell ref="E34:F34"/>
    <mergeCell ref="E26:F26"/>
    <mergeCell ref="E20:F20"/>
    <mergeCell ref="E22:F22"/>
    <mergeCell ref="C23:D23"/>
    <mergeCell ref="C24:D24"/>
    <mergeCell ref="C25:D25"/>
    <mergeCell ref="C18:D18"/>
    <mergeCell ref="C19:D19"/>
    <mergeCell ref="E33:F33"/>
    <mergeCell ref="C6:D6"/>
    <mergeCell ref="C7:D7"/>
    <mergeCell ref="C8:D8"/>
    <mergeCell ref="C9:D9"/>
    <mergeCell ref="C10:D10"/>
    <mergeCell ref="C11:D11"/>
    <mergeCell ref="C13:D13"/>
    <mergeCell ref="C17:D17"/>
    <mergeCell ref="E6:F6"/>
    <mergeCell ref="E7:F7"/>
    <mergeCell ref="E8:F8"/>
    <mergeCell ref="E10:F10"/>
    <mergeCell ref="C14:D16"/>
    <mergeCell ref="E12:F12"/>
    <mergeCell ref="A2:G2"/>
    <mergeCell ref="A11:B11"/>
    <mergeCell ref="A13:B13"/>
    <mergeCell ref="A17:B17"/>
    <mergeCell ref="C48:D48"/>
    <mergeCell ref="E48:F48"/>
    <mergeCell ref="C49:D49"/>
    <mergeCell ref="E49:F49"/>
    <mergeCell ref="C50:D50"/>
    <mergeCell ref="E50:F50"/>
    <mergeCell ref="C44:D44"/>
    <mergeCell ref="E44:F44"/>
    <mergeCell ref="C45:D45"/>
    <mergeCell ref="E45:F45"/>
    <mergeCell ref="C46:D46"/>
    <mergeCell ref="E46:F46"/>
    <mergeCell ref="E28:F28"/>
    <mergeCell ref="E11:F11"/>
    <mergeCell ref="E13:F13"/>
    <mergeCell ref="E17:F17"/>
    <mergeCell ref="E14:F16"/>
    <mergeCell ref="E27:F27"/>
    <mergeCell ref="E9:F9"/>
    <mergeCell ref="E23:F23"/>
    <mergeCell ref="G14:G16"/>
    <mergeCell ref="E43:F43"/>
    <mergeCell ref="C43:D43"/>
    <mergeCell ref="C40:D40"/>
    <mergeCell ref="E40:F40"/>
    <mergeCell ref="C41:D41"/>
    <mergeCell ref="E41:F41"/>
    <mergeCell ref="C42:D42"/>
    <mergeCell ref="E42:F42"/>
    <mergeCell ref="E24:F24"/>
    <mergeCell ref="E25:F25"/>
    <mergeCell ref="E21:F21"/>
    <mergeCell ref="C27:D27"/>
    <mergeCell ref="C22:D22"/>
    <mergeCell ref="C26:D26"/>
    <mergeCell ref="C20:D20"/>
    <mergeCell ref="E30:F30"/>
    <mergeCell ref="C31:D31"/>
    <mergeCell ref="E31:F31"/>
    <mergeCell ref="C32:D32"/>
    <mergeCell ref="E32:F32"/>
    <mergeCell ref="C33:D33"/>
    <mergeCell ref="E18:F18"/>
    <mergeCell ref="E19:F19"/>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M60:N60"/>
    <mergeCell ref="M61:N61"/>
    <mergeCell ref="M62:N62"/>
    <mergeCell ref="M57:N57"/>
    <mergeCell ref="K53:L53"/>
    <mergeCell ref="K54:L54"/>
    <mergeCell ref="K55:L55"/>
    <mergeCell ref="K56:L56"/>
    <mergeCell ref="K60:L60"/>
    <mergeCell ref="K61:L61"/>
    <mergeCell ref="K62:L62"/>
    <mergeCell ref="K58:L58"/>
    <mergeCell ref="K59:L59"/>
    <mergeCell ref="K57:L57"/>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s>
  <dataValidations count="12">
    <dataValidation type="list" allowBlank="1" showInputMessage="1" showErrorMessage="1" sqref="K46:N46 K32:N32 K21:N21 K42:N42" xr:uid="{00000000-0002-0000-0700-000000000000}">
      <formula1>"Y,N"</formula1>
    </dataValidation>
    <dataValidation type="decimal" allowBlank="1" showInputMessage="1" showErrorMessage="1" sqref="K55:N55 K9:N9 K18:N18 K33:N33 K35:N35 K38:N39 K48:N48 K53:N53" xr:uid="{00000000-0002-0000-0700-000001000000}">
      <formula1>0</formula1>
      <formula2>3</formula2>
    </dataValidation>
    <dataValidation type="decimal" allowBlank="1" showInputMessage="1" showErrorMessage="1" sqref="K37:N37" xr:uid="{00000000-0002-0000-0700-000002000000}">
      <formula1>0</formula1>
      <formula2>1.5</formula2>
    </dataValidation>
    <dataValidation type="decimal" allowBlank="1" showInputMessage="1" showErrorMessage="1" sqref="K25:N25 K27:N27" xr:uid="{00000000-0002-0000-0700-000003000000}">
      <formula1>0</formula1>
      <formula2>4</formula2>
    </dataValidation>
    <dataValidation type="decimal" allowBlank="1" showInputMessage="1" showErrorMessage="1" sqref="K23:N23" xr:uid="{00000000-0002-0000-0700-000004000000}">
      <formula1>0</formula1>
      <formula2>2.5</formula2>
    </dataValidation>
    <dataValidation type="decimal" allowBlank="1" showInputMessage="1" showErrorMessage="1" sqref="K31:N31 K24:N24 K34:N34 K40:N40 K44:N44 K47:N47 K56:N56" xr:uid="{00000000-0002-0000-0700-000005000000}">
      <formula1>0</formula1>
      <formula2>1</formula2>
    </dataValidation>
    <dataValidation type="decimal" allowBlank="1" showInputMessage="1" showErrorMessage="1" sqref="K26:N26" xr:uid="{00000000-0002-0000-0700-000006000000}">
      <formula1>0</formula1>
      <formula2>7</formula2>
    </dataValidation>
    <dataValidation type="decimal" allowBlank="1" showInputMessage="1" showErrorMessage="1" sqref="K19:N20 K29:N29 K41:N41 K49:N49 K51:N51" xr:uid="{00000000-0002-0000-0700-000007000000}">
      <formula1>0</formula1>
      <formula2>2</formula2>
    </dataValidation>
    <dataValidation type="decimal" allowBlank="1" showInputMessage="1" showErrorMessage="1" sqref="K45:N45" xr:uid="{00000000-0002-0000-0700-000008000000}">
      <formula1>0</formula1>
      <formula2>3.5</formula2>
    </dataValidation>
    <dataValidation type="decimal" allowBlank="1" showInputMessage="1" showErrorMessage="1" sqref="K12:N12" xr:uid="{00000000-0002-0000-0700-000009000000}">
      <formula1>0</formula1>
      <formula2>0.5</formula2>
    </dataValidation>
    <dataValidation type="decimal" allowBlank="1" showInputMessage="1" showErrorMessage="1" sqref="K30:N30" xr:uid="{00000000-0002-0000-0700-00000A000000}">
      <formula1>0</formula1>
      <formula2>0</formula2>
    </dataValidation>
    <dataValidation type="decimal" allowBlank="1" showInputMessage="1" showErrorMessage="1" sqref="G9 G12 G14:G16 G53 G18:G20 G23:G27 G29 G31 G33:G35 G37:G41 G44:G45 G47:G49 G51 G55:G56" xr:uid="{00000000-0002-0000-0700-00000B000000}">
      <formula1>0</formula1>
      <formula2>C9</formula2>
    </dataValidation>
  </dataValidations>
  <pageMargins left="0.7" right="0.7" top="0.75" bottom="0.75" header="0.3" footer="0.3"/>
  <pageSetup paperSize="9" scale="65" orientation="portrait" r:id="rId1"/>
  <colBreaks count="1" manualBreakCount="1">
    <brk id="7" max="60" man="1"/>
  </colBreaks>
  <drawing r:id="rId2"/>
  <legacyDrawing r:id="rId3"/>
  <oleObjects>
    <mc:AlternateContent xmlns:mc="http://schemas.openxmlformats.org/markup-compatibility/2006">
      <mc:Choice Requires="x14">
        <oleObject progId="Worksheet" dvAspect="DVASPECT_ICON" shapeId="5123" r:id="rId4">
          <objectPr defaultSize="0" autoPict="0" r:id="rId5">
            <anchor moveWithCells="1">
              <from>
                <xdr:col>0</xdr:col>
                <xdr:colOff>0</xdr:colOff>
                <xdr:row>2</xdr:row>
                <xdr:rowOff>228600</xdr:rowOff>
              </from>
              <to>
                <xdr:col>1</xdr:col>
                <xdr:colOff>314325</xdr:colOff>
                <xdr:row>3</xdr:row>
                <xdr:rowOff>0</xdr:rowOff>
              </to>
            </anchor>
          </objectPr>
        </oleObject>
      </mc:Choice>
      <mc:Fallback>
        <oleObject progId="Worksheet" dvAspect="DVASPECT_ICON" shapeId="512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6AFF2056A95145A6B5C761651A0786" ma:contentTypeVersion="2" ma:contentTypeDescription="Create a new document." ma:contentTypeScope="" ma:versionID="be6f32415e24d8d7e76743ae20546465">
  <xsd:schema xmlns:xsd="http://www.w3.org/2001/XMLSchema" xmlns:xs="http://www.w3.org/2001/XMLSchema" xmlns:p="http://schemas.microsoft.com/office/2006/metadata/properties" xmlns:ns2="0b3cb28a-1a54-47b8-ac26-0dd7a10a3d05" targetNamespace="http://schemas.microsoft.com/office/2006/metadata/properties" ma:root="true" ma:fieldsID="b6f9d39df99d02760627bd46788f5429" ns2:_="">
    <xsd:import namespace="0b3cb28a-1a54-47b8-ac26-0dd7a10a3d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cb28a-1a54-47b8-ac26-0dd7a10a3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554AFC-828D-4E65-88F3-ADECD513C2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cb28a-1a54-47b8-ac26-0dd7a10a3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A12950-58DB-4E77-9B70-B9E86C52842D}">
  <ds:schemaRefs>
    <ds:schemaRef ds:uri="http://schemas.microsoft.com/sharepoint/v3/contenttype/forms"/>
  </ds:schemaRefs>
</ds:datastoreItem>
</file>

<file path=customXml/itemProps3.xml><?xml version="1.0" encoding="utf-8"?>
<ds:datastoreItem xmlns:ds="http://schemas.openxmlformats.org/officeDocument/2006/customXml" ds:itemID="{6999D3F9-538E-4A25-9B95-2DD42F932368}">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0b3cb28a-1a54-47b8-ac26-0dd7a10a3d05"/>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Yu Xuan TAN (BCA)</cp:lastModifiedBy>
  <cp:revision/>
  <cp:lastPrinted>2022-05-13T09:06:16Z</cp:lastPrinted>
  <dcterms:created xsi:type="dcterms:W3CDTF">2021-09-01T03:12:41Z</dcterms:created>
  <dcterms:modified xsi:type="dcterms:W3CDTF">2022-07-19T07:42:54Z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2021-10-28T10:46:37Z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0x010100D16AFF2056A95145A6B5C761651A0786</vt:lpwstr>
  </property>
</Properties>
</file>