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codeName="ThisWorkbook"/>
  <mc:AlternateContent xmlns:mc="http://schemas.openxmlformats.org/markup-compatibility/2006">
    <mc:Choice Requires="x15">
      <x15ac:absPath xmlns:x15ac="http://schemas.microsoft.com/office/spreadsheetml/2010/11/ac" url="C:\Users\bca_jiaminw\Documents\5. B-Score Matters\COP 2020\11. B-Score Form\"/>
    </mc:Choice>
  </mc:AlternateContent>
  <xr:revisionPtr revIDLastSave="0" documentId="13_ncr:1_{ACFBD747-9109-44D3-8B27-729EBC6C13D5}" xr6:coauthVersionLast="47" xr6:coauthVersionMax="47" xr10:uidLastSave="{00000000-0000-0000-0000-000000000000}"/>
  <workbookProtection workbookAlgorithmName="SHA-512" workbookHashValue="wKsvGtMlZZBRcDxnCWdOcuL+ZOszPDohKFucXIY2ewpZYIQ5R6lnFgY/ZqQbk3oWOpsIdkxAWnM+rsVo7GFG0g==" workbookSaltValue="ffhSSAOSm5yJ13GD83oRcg==" workbookSpinCount="100000" lockStructure="1"/>
  <bookViews>
    <workbookView xWindow="-108" yWindow="-108" windowWidth="23256" windowHeight="12576" tabRatio="751" firstSheet="2" activeTab="4" xr2:uid="{00000000-000D-0000-FFFF-FFFF00000000}"/>
  </bookViews>
  <sheets>
    <sheet name="Manpower allocation" sheetId="8" state="hidden" r:id="rId1"/>
    <sheet name="Point Allocation" sheetId="61" state="hidden" r:id="rId2"/>
    <sheet name="Min B-Score" sheetId="62" r:id="rId3"/>
    <sheet name="Explanatory Notes" sheetId="63" r:id="rId4"/>
    <sheet name="Summary" sheetId="37" r:id="rId5"/>
    <sheet name="Block 1" sheetId="38" r:id="rId6"/>
    <sheet name="Block 2" sheetId="44" r:id="rId7"/>
    <sheet name="Block 3" sheetId="45" r:id="rId8"/>
    <sheet name="Block 4" sheetId="46" r:id="rId9"/>
    <sheet name="Block 5" sheetId="47" r:id="rId10"/>
    <sheet name="Block 6" sheetId="48" r:id="rId11"/>
    <sheet name="Block 7" sheetId="49" r:id="rId12"/>
    <sheet name="Block 8" sheetId="50" r:id="rId13"/>
    <sheet name="Block 9" sheetId="51" r:id="rId14"/>
    <sheet name="Block 10" sheetId="52" r:id="rId15"/>
    <sheet name="Basement Block 1" sheetId="53" r:id="rId16"/>
    <sheet name="Basement Block 2" sheetId="54" r:id="rId17"/>
    <sheet name="Basement Block 3" sheetId="55" r:id="rId18"/>
    <sheet name="Basement Block 4" sheetId="56" r:id="rId19"/>
    <sheet name="Basement Block 5" sheetId="57" r:id="rId20"/>
  </sheets>
  <definedNames>
    <definedName name="_xlnm._FilterDatabase" localSheetId="5" hidden="1">'Block 1'!$A$224:$H$234</definedName>
    <definedName name="_xlnm.Print_Area" localSheetId="15">'Basement Block 1'!$A$1:$O$243</definedName>
    <definedName name="_xlnm.Print_Area" localSheetId="16">'Basement Block 2'!$A$1:$M$243</definedName>
    <definedName name="_xlnm.Print_Area" localSheetId="17">'Basement Block 3'!$A$1:$H$243</definedName>
    <definedName name="_xlnm.Print_Area" localSheetId="18">'Basement Block 4'!$A$1:$H$243</definedName>
    <definedName name="_xlnm.Print_Area" localSheetId="19">'Basement Block 5'!$A$1:$H$243</definedName>
    <definedName name="_xlnm.Print_Area" localSheetId="5">'Block 1'!$A$1:$I$243</definedName>
    <definedName name="_xlnm.Print_Area" localSheetId="14">'Block 10'!$A$1:$H$243</definedName>
    <definedName name="_xlnm.Print_Area" localSheetId="6">'Block 2'!$A$1:$H$243</definedName>
    <definedName name="_xlnm.Print_Area" localSheetId="7">'Block 3'!$A$1:$H$243</definedName>
    <definedName name="_xlnm.Print_Area" localSheetId="8">'Block 4'!$A$1:$H$243</definedName>
    <definedName name="_xlnm.Print_Area" localSheetId="9">'Block 5'!$A$1:$H$243</definedName>
    <definedName name="_xlnm.Print_Area" localSheetId="10">'Block 6'!$A$1:$H$243</definedName>
    <definedName name="_xlnm.Print_Area" localSheetId="11">'Block 7'!$A$1:$H$243</definedName>
    <definedName name="_xlnm.Print_Area" localSheetId="12">'Block 8'!$A$1:$H$243</definedName>
    <definedName name="_xlnm.Print_Area" localSheetId="13">'Block 9'!$A$1:$H$243</definedName>
    <definedName name="_xlnm.Print_Area" localSheetId="3">'Explanatory Notes'!$A$1:$I$127</definedName>
    <definedName name="_xlnm.Print_Area" localSheetId="2">'Min B-Score'!$A$1:$C$12</definedName>
    <definedName name="_xlnm.Print_Area" localSheetId="4">Summary!$A$1:$G$141</definedName>
    <definedName name="_xlnm.Print_Titles" localSheetId="5">'Block 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1" i="37" l="1"/>
  <c r="H173" i="51"/>
  <c r="H173" i="47"/>
  <c r="H160" i="47"/>
  <c r="H173" i="46"/>
  <c r="H160" i="46"/>
  <c r="H173" i="45"/>
  <c r="H183" i="44"/>
  <c r="H160" i="44"/>
  <c r="H173" i="44" s="1"/>
  <c r="F138" i="38"/>
  <c r="E138" i="38"/>
  <c r="C241" i="38"/>
  <c r="C240" i="38"/>
  <c r="H197" i="38"/>
  <c r="H211" i="38"/>
  <c r="H218" i="38"/>
  <c r="H181" i="38"/>
  <c r="H173" i="38"/>
  <c r="H160" i="38"/>
  <c r="F54" i="37"/>
  <c r="H233" i="57"/>
  <c r="H231" i="57"/>
  <c r="H230" i="57"/>
  <c r="H229" i="57"/>
  <c r="H228" i="57"/>
  <c r="H227" i="57"/>
  <c r="H226" i="57"/>
  <c r="H217" i="57"/>
  <c r="H216" i="57"/>
  <c r="H218" i="57" s="1"/>
  <c r="H210" i="57"/>
  <c r="H209" i="57"/>
  <c r="H208" i="57"/>
  <c r="H206" i="57"/>
  <c r="H205" i="57"/>
  <c r="H204" i="57"/>
  <c r="H203" i="57"/>
  <c r="F197" i="57"/>
  <c r="G196" i="57"/>
  <c r="G195" i="57"/>
  <c r="G194" i="57"/>
  <c r="G192" i="57"/>
  <c r="G190" i="57"/>
  <c r="J185" i="57"/>
  <c r="G185" i="57"/>
  <c r="H180" i="57"/>
  <c r="H179" i="57"/>
  <c r="H178" i="57"/>
  <c r="H172" i="57"/>
  <c r="H171" i="57"/>
  <c r="H170" i="57"/>
  <c r="H167" i="57"/>
  <c r="H165" i="57"/>
  <c r="H160" i="57"/>
  <c r="H163" i="57"/>
  <c r="H162" i="57"/>
  <c r="H159" i="57"/>
  <c r="H158" i="57"/>
  <c r="H154" i="57"/>
  <c r="H152" i="57"/>
  <c r="H151" i="57"/>
  <c r="H150" i="57"/>
  <c r="H143" i="57"/>
  <c r="H142" i="57"/>
  <c r="F142" i="57"/>
  <c r="E124" i="57"/>
  <c r="E122" i="57"/>
  <c r="F120" i="57"/>
  <c r="F138" i="57" s="1"/>
  <c r="E120" i="57"/>
  <c r="F115" i="57"/>
  <c r="G114" i="57" s="1"/>
  <c r="H114" i="57" s="1"/>
  <c r="J86" i="57"/>
  <c r="G86" i="57"/>
  <c r="H81" i="57"/>
  <c r="H80" i="57"/>
  <c r="H79" i="57"/>
  <c r="H77" i="57"/>
  <c r="H75" i="57"/>
  <c r="H74" i="57"/>
  <c r="H73" i="57"/>
  <c r="H71" i="57"/>
  <c r="H70" i="57"/>
  <c r="H63" i="57"/>
  <c r="H62" i="57"/>
  <c r="H61" i="57"/>
  <c r="F56" i="57"/>
  <c r="G46" i="57" s="1"/>
  <c r="J42" i="57"/>
  <c r="J41" i="57"/>
  <c r="J40" i="57"/>
  <c r="J39" i="57"/>
  <c r="J38" i="57"/>
  <c r="J37" i="57"/>
  <c r="J24" i="57"/>
  <c r="G24" i="57"/>
  <c r="H233" i="56"/>
  <c r="H231" i="56"/>
  <c r="H230" i="56"/>
  <c r="H229" i="56"/>
  <c r="H228" i="56"/>
  <c r="H227" i="56"/>
  <c r="H226" i="56"/>
  <c r="H217" i="56"/>
  <c r="H216" i="56"/>
  <c r="H210" i="56"/>
  <c r="H209" i="56"/>
  <c r="H208" i="56"/>
  <c r="H206" i="56"/>
  <c r="H205" i="56"/>
  <c r="H204" i="56"/>
  <c r="H203" i="56"/>
  <c r="F197" i="56"/>
  <c r="E197" i="56" s="1"/>
  <c r="G197" i="56" s="1"/>
  <c r="C242" i="56" s="1"/>
  <c r="G242" i="56" s="1"/>
  <c r="G196" i="56"/>
  <c r="G195" i="56"/>
  <c r="G194" i="56"/>
  <c r="G192" i="56"/>
  <c r="G190" i="56"/>
  <c r="J185" i="56"/>
  <c r="G185" i="56"/>
  <c r="H180" i="56"/>
  <c r="H179" i="56"/>
  <c r="H178" i="56"/>
  <c r="H172" i="56"/>
  <c r="H171" i="56"/>
  <c r="H170" i="56"/>
  <c r="H167" i="56"/>
  <c r="H165" i="56"/>
  <c r="H160" i="56"/>
  <c r="H163" i="56"/>
  <c r="H162" i="56"/>
  <c r="H159" i="56"/>
  <c r="H158" i="56"/>
  <c r="H154" i="56"/>
  <c r="H152" i="56"/>
  <c r="H151" i="56"/>
  <c r="H150" i="56"/>
  <c r="H143" i="56"/>
  <c r="H142" i="56"/>
  <c r="F142" i="56"/>
  <c r="E124" i="56"/>
  <c r="E122" i="56"/>
  <c r="F120" i="56"/>
  <c r="F138" i="56" s="1"/>
  <c r="E120" i="56"/>
  <c r="F115" i="56"/>
  <c r="G114" i="56" s="1"/>
  <c r="H114" i="56" s="1"/>
  <c r="J86" i="56"/>
  <c r="G86" i="56"/>
  <c r="H81" i="56"/>
  <c r="H80" i="56"/>
  <c r="H79" i="56"/>
  <c r="H77" i="56"/>
  <c r="H75" i="56"/>
  <c r="H74" i="56"/>
  <c r="H73" i="56"/>
  <c r="H71" i="56"/>
  <c r="H70" i="56"/>
  <c r="H63" i="56"/>
  <c r="H62" i="56"/>
  <c r="H61" i="56"/>
  <c r="F56" i="56"/>
  <c r="G46" i="56" s="1"/>
  <c r="J42" i="56"/>
  <c r="J41" i="56"/>
  <c r="J40" i="56"/>
  <c r="J39" i="56"/>
  <c r="J38" i="56"/>
  <c r="J37" i="56"/>
  <c r="J24" i="56"/>
  <c r="G24" i="56"/>
  <c r="H233" i="55"/>
  <c r="H231" i="55"/>
  <c r="H230" i="55"/>
  <c r="H229" i="55"/>
  <c r="H228" i="55"/>
  <c r="H227" i="55"/>
  <c r="H226" i="55"/>
  <c r="H217" i="55"/>
  <c r="H216" i="55"/>
  <c r="H210" i="55"/>
  <c r="H209" i="55"/>
  <c r="H208" i="55"/>
  <c r="H206" i="55"/>
  <c r="H205" i="55"/>
  <c r="H204" i="55"/>
  <c r="H203" i="55"/>
  <c r="F197" i="55"/>
  <c r="G196" i="55"/>
  <c r="G195" i="55"/>
  <c r="G194" i="55"/>
  <c r="G192" i="55"/>
  <c r="G190" i="55"/>
  <c r="J185" i="55"/>
  <c r="G185" i="55"/>
  <c r="H180" i="55"/>
  <c r="H179" i="55"/>
  <c r="H178" i="55"/>
  <c r="H172" i="55"/>
  <c r="H171" i="55"/>
  <c r="H170" i="55"/>
  <c r="H167" i="55"/>
  <c r="H165" i="55"/>
  <c r="H160" i="55"/>
  <c r="H163" i="55"/>
  <c r="H162" i="55"/>
  <c r="H159" i="55"/>
  <c r="H158" i="55"/>
  <c r="H154" i="55"/>
  <c r="H152" i="55"/>
  <c r="H151" i="55"/>
  <c r="H150" i="55"/>
  <c r="H143" i="55"/>
  <c r="H142" i="55"/>
  <c r="F142" i="55"/>
  <c r="E124" i="55"/>
  <c r="E122" i="55"/>
  <c r="F120" i="55"/>
  <c r="F138" i="55" s="1"/>
  <c r="E120" i="55"/>
  <c r="F115" i="55"/>
  <c r="G109" i="55" s="1"/>
  <c r="J86" i="55"/>
  <c r="G86" i="55"/>
  <c r="H81" i="55"/>
  <c r="H80" i="55"/>
  <c r="H79" i="55"/>
  <c r="H77" i="55"/>
  <c r="H75" i="55"/>
  <c r="H74" i="55"/>
  <c r="H73" i="55"/>
  <c r="H71" i="55"/>
  <c r="H70" i="55"/>
  <c r="H63" i="55"/>
  <c r="H62" i="55"/>
  <c r="H61" i="55"/>
  <c r="F56" i="55"/>
  <c r="G51" i="55" s="1"/>
  <c r="J42" i="55"/>
  <c r="J41" i="55"/>
  <c r="J40" i="55"/>
  <c r="J39" i="55"/>
  <c r="J38" i="55"/>
  <c r="J37" i="55"/>
  <c r="J24" i="55"/>
  <c r="G24" i="55"/>
  <c r="H233" i="54"/>
  <c r="H231" i="54"/>
  <c r="H230" i="54"/>
  <c r="H229" i="54"/>
  <c r="H228" i="54"/>
  <c r="H227" i="54"/>
  <c r="H226" i="54"/>
  <c r="H217" i="54"/>
  <c r="H216" i="54"/>
  <c r="H210" i="54"/>
  <c r="H209" i="54"/>
  <c r="H208" i="54"/>
  <c r="H206" i="54"/>
  <c r="H205" i="54"/>
  <c r="H204" i="54"/>
  <c r="H203" i="54"/>
  <c r="F197" i="54"/>
  <c r="E197" i="54" s="1"/>
  <c r="G197" i="54" s="1"/>
  <c r="C242" i="54" s="1"/>
  <c r="G242" i="54" s="1"/>
  <c r="G196" i="54"/>
  <c r="G195" i="54"/>
  <c r="G194" i="54"/>
  <c r="G192" i="54"/>
  <c r="G190" i="54"/>
  <c r="J185" i="54"/>
  <c r="G185" i="54"/>
  <c r="H180" i="54"/>
  <c r="H179" i="54"/>
  <c r="H178" i="54"/>
  <c r="H172" i="54"/>
  <c r="H171" i="54"/>
  <c r="H170" i="54"/>
  <c r="H167" i="54"/>
  <c r="H165" i="54"/>
  <c r="H160" i="54"/>
  <c r="H163" i="54"/>
  <c r="H162" i="54"/>
  <c r="H159" i="54"/>
  <c r="H158" i="54"/>
  <c r="H154" i="54"/>
  <c r="H152" i="54"/>
  <c r="H151" i="54"/>
  <c r="H150" i="54"/>
  <c r="H143" i="54"/>
  <c r="H142" i="54"/>
  <c r="F142" i="54"/>
  <c r="E124" i="54"/>
  <c r="E122" i="54"/>
  <c r="F120" i="54"/>
  <c r="F138" i="54" s="1"/>
  <c r="E120" i="54"/>
  <c r="F115" i="54"/>
  <c r="G114" i="54" s="1"/>
  <c r="H114" i="54" s="1"/>
  <c r="J86" i="54"/>
  <c r="G86" i="54"/>
  <c r="H81" i="54"/>
  <c r="H80" i="54"/>
  <c r="H79" i="54"/>
  <c r="H77" i="54"/>
  <c r="H75" i="54"/>
  <c r="H74" i="54"/>
  <c r="H73" i="54"/>
  <c r="H71" i="54"/>
  <c r="H70" i="54"/>
  <c r="H63" i="54"/>
  <c r="H62" i="54"/>
  <c r="H61" i="54"/>
  <c r="F56" i="54"/>
  <c r="G46" i="54" s="1"/>
  <c r="J42" i="54"/>
  <c r="J41" i="54"/>
  <c r="J40" i="54"/>
  <c r="J39" i="54"/>
  <c r="J38" i="54"/>
  <c r="J37" i="54"/>
  <c r="J24" i="54"/>
  <c r="G24" i="54"/>
  <c r="H233" i="53"/>
  <c r="H231" i="53"/>
  <c r="H230" i="53"/>
  <c r="H229" i="53"/>
  <c r="H228" i="53"/>
  <c r="H227" i="53"/>
  <c r="H226" i="53"/>
  <c r="H217" i="53"/>
  <c r="H216" i="53"/>
  <c r="H218" i="53" s="1"/>
  <c r="H210" i="53"/>
  <c r="H209" i="53"/>
  <c r="H208" i="53"/>
  <c r="H206" i="53"/>
  <c r="H205" i="53"/>
  <c r="H204" i="53"/>
  <c r="H203" i="53"/>
  <c r="F197" i="53"/>
  <c r="E197" i="53" s="1"/>
  <c r="G197" i="53" s="1"/>
  <c r="C242" i="53" s="1"/>
  <c r="G242" i="53" s="1"/>
  <c r="G196" i="53"/>
  <c r="G195" i="53"/>
  <c r="G194" i="53"/>
  <c r="G192" i="53"/>
  <c r="G190" i="53"/>
  <c r="J185" i="53"/>
  <c r="G185" i="53"/>
  <c r="H180" i="53"/>
  <c r="H179" i="53"/>
  <c r="H178" i="53"/>
  <c r="H172" i="53"/>
  <c r="H171" i="53"/>
  <c r="H170" i="53"/>
  <c r="H167" i="53"/>
  <c r="H165" i="53"/>
  <c r="H160" i="53"/>
  <c r="H163" i="53"/>
  <c r="H162" i="53"/>
  <c r="H159" i="53"/>
  <c r="H158" i="53"/>
  <c r="H154" i="53"/>
  <c r="H152" i="53"/>
  <c r="H151" i="53"/>
  <c r="H150" i="53"/>
  <c r="H143" i="53"/>
  <c r="H142" i="53"/>
  <c r="F142" i="53"/>
  <c r="E124" i="53"/>
  <c r="E122" i="53"/>
  <c r="F120" i="53"/>
  <c r="F138" i="53" s="1"/>
  <c r="E120" i="53"/>
  <c r="F115" i="53"/>
  <c r="G109" i="53" s="1"/>
  <c r="J86" i="53"/>
  <c r="G86" i="53"/>
  <c r="H81" i="53"/>
  <c r="H80" i="53"/>
  <c r="H79" i="53"/>
  <c r="H77" i="53"/>
  <c r="H75" i="53"/>
  <c r="H74" i="53"/>
  <c r="H73" i="53"/>
  <c r="H71" i="53"/>
  <c r="H70" i="53"/>
  <c r="H63" i="53"/>
  <c r="H62" i="53"/>
  <c r="H61" i="53"/>
  <c r="F56" i="53"/>
  <c r="G46" i="53" s="1"/>
  <c r="J42" i="53"/>
  <c r="J41" i="53"/>
  <c r="J40" i="53"/>
  <c r="J39" i="53"/>
  <c r="J38" i="53"/>
  <c r="J37" i="53"/>
  <c r="J24" i="53"/>
  <c r="G24" i="53"/>
  <c r="H233" i="52"/>
  <c r="H231" i="52"/>
  <c r="H230" i="52"/>
  <c r="H229" i="52"/>
  <c r="H228" i="52"/>
  <c r="H227" i="52"/>
  <c r="H226" i="52"/>
  <c r="H217" i="52"/>
  <c r="H216" i="52"/>
  <c r="H218" i="52" s="1"/>
  <c r="H210" i="52"/>
  <c r="H209" i="52"/>
  <c r="H208" i="52"/>
  <c r="H206" i="52"/>
  <c r="H205" i="52"/>
  <c r="H204" i="52"/>
  <c r="H203" i="52"/>
  <c r="F197" i="52"/>
  <c r="E197" i="52" s="1"/>
  <c r="G197" i="52" s="1"/>
  <c r="C242" i="52" s="1"/>
  <c r="G242" i="52" s="1"/>
  <c r="G196" i="52"/>
  <c r="G195" i="52"/>
  <c r="G194" i="52"/>
  <c r="G192" i="52"/>
  <c r="G190" i="52"/>
  <c r="J185" i="52"/>
  <c r="G185" i="52"/>
  <c r="H180" i="52"/>
  <c r="H179" i="52"/>
  <c r="H178" i="52"/>
  <c r="H172" i="52"/>
  <c r="H171" i="52"/>
  <c r="H170" i="52"/>
  <c r="H167" i="52"/>
  <c r="H165" i="52"/>
  <c r="H160" i="52"/>
  <c r="H163" i="52"/>
  <c r="H162" i="52"/>
  <c r="H159" i="52"/>
  <c r="H158" i="52"/>
  <c r="H154" i="52"/>
  <c r="H152" i="52"/>
  <c r="H151" i="52"/>
  <c r="H150" i="52"/>
  <c r="H143" i="52"/>
  <c r="H142" i="52"/>
  <c r="F142" i="52"/>
  <c r="E124" i="52"/>
  <c r="E122" i="52"/>
  <c r="F120" i="52"/>
  <c r="F138" i="52" s="1"/>
  <c r="E120" i="52"/>
  <c r="F115" i="52"/>
  <c r="G110" i="52" s="1"/>
  <c r="J86" i="52"/>
  <c r="G86" i="52"/>
  <c r="H81" i="52"/>
  <c r="H80" i="52"/>
  <c r="H79" i="52"/>
  <c r="H77" i="52"/>
  <c r="H75" i="52"/>
  <c r="H74" i="52"/>
  <c r="H73" i="52"/>
  <c r="H71" i="52"/>
  <c r="H70" i="52"/>
  <c r="H63" i="52"/>
  <c r="H62" i="52"/>
  <c r="H61" i="52"/>
  <c r="F56" i="52"/>
  <c r="G46" i="52" s="1"/>
  <c r="G47" i="52"/>
  <c r="J42" i="52"/>
  <c r="J41" i="52"/>
  <c r="J40" i="52"/>
  <c r="J39" i="52"/>
  <c r="J38" i="52"/>
  <c r="J37" i="52"/>
  <c r="J24" i="52"/>
  <c r="G24" i="52"/>
  <c r="H233" i="51"/>
  <c r="H231" i="51"/>
  <c r="H230" i="51"/>
  <c r="H229" i="51"/>
  <c r="H228" i="51"/>
  <c r="H227" i="51"/>
  <c r="H226" i="51"/>
  <c r="H217" i="51"/>
  <c r="H216" i="51"/>
  <c r="H218" i="51" s="1"/>
  <c r="H210" i="51"/>
  <c r="H209" i="51"/>
  <c r="H208" i="51"/>
  <c r="H206" i="51"/>
  <c r="H205" i="51"/>
  <c r="H204" i="51"/>
  <c r="H203" i="51"/>
  <c r="F197" i="51"/>
  <c r="E197" i="51" s="1"/>
  <c r="G197" i="51" s="1"/>
  <c r="C242" i="51" s="1"/>
  <c r="G242" i="51" s="1"/>
  <c r="G196" i="51"/>
  <c r="G195" i="51"/>
  <c r="G194" i="51"/>
  <c r="G192" i="51"/>
  <c r="G190" i="51"/>
  <c r="J185" i="51"/>
  <c r="G185" i="51"/>
  <c r="H180" i="51"/>
  <c r="H179" i="51"/>
  <c r="H178" i="51"/>
  <c r="H172" i="51"/>
  <c r="H171" i="51"/>
  <c r="H170" i="51"/>
  <c r="H167" i="51"/>
  <c r="H165" i="51"/>
  <c r="H160" i="51"/>
  <c r="H163" i="51"/>
  <c r="H162" i="51"/>
  <c r="H159" i="51"/>
  <c r="H158" i="51"/>
  <c r="H154" i="51"/>
  <c r="H152" i="51"/>
  <c r="H151" i="51"/>
  <c r="H150" i="51"/>
  <c r="H143" i="51"/>
  <c r="H142" i="51"/>
  <c r="F142" i="51"/>
  <c r="E124" i="51"/>
  <c r="E122" i="51"/>
  <c r="F120" i="51"/>
  <c r="F138" i="51" s="1"/>
  <c r="E120" i="51"/>
  <c r="F115" i="51"/>
  <c r="G114" i="51" s="1"/>
  <c r="H114" i="51" s="1"/>
  <c r="J86" i="51"/>
  <c r="G86" i="51"/>
  <c r="H81" i="51"/>
  <c r="H80" i="51"/>
  <c r="H79" i="51"/>
  <c r="H77" i="51"/>
  <c r="H75" i="51"/>
  <c r="H74" i="51"/>
  <c r="H73" i="51"/>
  <c r="H71" i="51"/>
  <c r="H70" i="51"/>
  <c r="H63" i="51"/>
  <c r="H62" i="51"/>
  <c r="H61" i="51"/>
  <c r="F56" i="51"/>
  <c r="G46" i="51" s="1"/>
  <c r="G53" i="51"/>
  <c r="H53" i="51" s="1"/>
  <c r="J42" i="51"/>
  <c r="J41" i="51"/>
  <c r="J40" i="51"/>
  <c r="J39" i="51"/>
  <c r="J38" i="51"/>
  <c r="J37" i="51"/>
  <c r="G35" i="51"/>
  <c r="G29" i="51"/>
  <c r="J24" i="51"/>
  <c r="G24" i="51"/>
  <c r="H233" i="50"/>
  <c r="H231" i="50"/>
  <c r="H230" i="50"/>
  <c r="H229" i="50"/>
  <c r="H228" i="50"/>
  <c r="H227" i="50"/>
  <c r="H226" i="50"/>
  <c r="H217" i="50"/>
  <c r="H216" i="50"/>
  <c r="H218" i="50" s="1"/>
  <c r="H210" i="50"/>
  <c r="H209" i="50"/>
  <c r="H208" i="50"/>
  <c r="H206" i="50"/>
  <c r="H205" i="50"/>
  <c r="H204" i="50"/>
  <c r="H203" i="50"/>
  <c r="F197" i="50"/>
  <c r="E197" i="50" s="1"/>
  <c r="G197" i="50" s="1"/>
  <c r="C242" i="50" s="1"/>
  <c r="G242" i="50" s="1"/>
  <c r="G196" i="50"/>
  <c r="G195" i="50"/>
  <c r="G194" i="50"/>
  <c r="G192" i="50"/>
  <c r="G190" i="50"/>
  <c r="J185" i="50"/>
  <c r="G185" i="50"/>
  <c r="H180" i="50"/>
  <c r="H179" i="50"/>
  <c r="H178" i="50"/>
  <c r="H172" i="50"/>
  <c r="H171" i="50"/>
  <c r="H170" i="50"/>
  <c r="H167" i="50"/>
  <c r="H165" i="50"/>
  <c r="H160" i="50"/>
  <c r="H163" i="50"/>
  <c r="H162" i="50"/>
  <c r="H159" i="50"/>
  <c r="H158" i="50"/>
  <c r="H154" i="50"/>
  <c r="H152" i="50"/>
  <c r="H151" i="50"/>
  <c r="H150" i="50"/>
  <c r="H143" i="50"/>
  <c r="H142" i="50"/>
  <c r="F142" i="50"/>
  <c r="E124" i="50"/>
  <c r="E122" i="50"/>
  <c r="F120" i="50"/>
  <c r="F138" i="50" s="1"/>
  <c r="E120" i="50"/>
  <c r="F115" i="50"/>
  <c r="G114" i="50" s="1"/>
  <c r="H114" i="50" s="1"/>
  <c r="J86" i="50"/>
  <c r="G86" i="50"/>
  <c r="H81" i="50"/>
  <c r="H80" i="50"/>
  <c r="H79" i="50"/>
  <c r="H77" i="50"/>
  <c r="H75" i="50"/>
  <c r="H74" i="50"/>
  <c r="H73" i="50"/>
  <c r="H71" i="50"/>
  <c r="H70" i="50"/>
  <c r="H63" i="50"/>
  <c r="H62" i="50"/>
  <c r="H61" i="50"/>
  <c r="F56" i="50"/>
  <c r="G46" i="50" s="1"/>
  <c r="J42" i="50"/>
  <c r="J41" i="50"/>
  <c r="J40" i="50"/>
  <c r="J39" i="50"/>
  <c r="J38" i="50"/>
  <c r="J37" i="50"/>
  <c r="J24" i="50"/>
  <c r="G24" i="50"/>
  <c r="H233" i="49"/>
  <c r="H231" i="49"/>
  <c r="H230" i="49"/>
  <c r="H229" i="49"/>
  <c r="H228" i="49"/>
  <c r="H227" i="49"/>
  <c r="H226" i="49"/>
  <c r="H217" i="49"/>
  <c r="H216" i="49"/>
  <c r="H210" i="49"/>
  <c r="H209" i="49"/>
  <c r="H208" i="49"/>
  <c r="H206" i="49"/>
  <c r="H205" i="49"/>
  <c r="H204" i="49"/>
  <c r="H203" i="49"/>
  <c r="F197" i="49"/>
  <c r="E197" i="49" s="1"/>
  <c r="G196" i="49"/>
  <c r="G195" i="49"/>
  <c r="G194" i="49"/>
  <c r="G192" i="49"/>
  <c r="G190" i="49"/>
  <c r="J185" i="49"/>
  <c r="G185" i="49"/>
  <c r="H180" i="49"/>
  <c r="H179" i="49"/>
  <c r="H178" i="49"/>
  <c r="H172" i="49"/>
  <c r="H171" i="49"/>
  <c r="H170" i="49"/>
  <c r="H167" i="49"/>
  <c r="H165" i="49"/>
  <c r="H160" i="49"/>
  <c r="H163" i="49"/>
  <c r="H162" i="49"/>
  <c r="H159" i="49"/>
  <c r="H158" i="49"/>
  <c r="H154" i="49"/>
  <c r="H152" i="49"/>
  <c r="H151" i="49"/>
  <c r="H150" i="49"/>
  <c r="H143" i="49"/>
  <c r="H142" i="49"/>
  <c r="F142" i="49"/>
  <c r="E124" i="49"/>
  <c r="E122" i="49"/>
  <c r="F120" i="49"/>
  <c r="F138" i="49" s="1"/>
  <c r="E120" i="49"/>
  <c r="F115" i="49"/>
  <c r="G109" i="49" s="1"/>
  <c r="J86" i="49"/>
  <c r="G86" i="49"/>
  <c r="H81" i="49"/>
  <c r="H80" i="49"/>
  <c r="H79" i="49"/>
  <c r="H77" i="49"/>
  <c r="H75" i="49"/>
  <c r="H74" i="49"/>
  <c r="H73" i="49"/>
  <c r="H71" i="49"/>
  <c r="H70" i="49"/>
  <c r="H63" i="49"/>
  <c r="H62" i="49"/>
  <c r="H61" i="49"/>
  <c r="F56" i="49"/>
  <c r="G46" i="49" s="1"/>
  <c r="J42" i="49"/>
  <c r="J41" i="49"/>
  <c r="J40" i="49"/>
  <c r="J39" i="49"/>
  <c r="J38" i="49"/>
  <c r="J37" i="49"/>
  <c r="J24" i="49"/>
  <c r="G24" i="49"/>
  <c r="H233" i="48"/>
  <c r="H231" i="48"/>
  <c r="H230" i="48"/>
  <c r="H229" i="48"/>
  <c r="H228" i="48"/>
  <c r="H227" i="48"/>
  <c r="H226" i="48"/>
  <c r="H217" i="48"/>
  <c r="H216" i="48"/>
  <c r="H218" i="48" s="1"/>
  <c r="H210" i="48"/>
  <c r="H209" i="48"/>
  <c r="H208" i="48"/>
  <c r="H206" i="48"/>
  <c r="H205" i="48"/>
  <c r="H204" i="48"/>
  <c r="H203" i="48"/>
  <c r="F197" i="48"/>
  <c r="E197" i="48"/>
  <c r="G197" i="48" s="1"/>
  <c r="C242" i="48" s="1"/>
  <c r="G242" i="48" s="1"/>
  <c r="G196" i="48"/>
  <c r="G195" i="48"/>
  <c r="G194" i="48"/>
  <c r="G192" i="48"/>
  <c r="G190" i="48"/>
  <c r="J185" i="48"/>
  <c r="G185" i="48"/>
  <c r="H180" i="48"/>
  <c r="H179" i="48"/>
  <c r="H178" i="48"/>
  <c r="H172" i="48"/>
  <c r="H171" i="48"/>
  <c r="H170" i="48"/>
  <c r="H167" i="48"/>
  <c r="H165" i="48"/>
  <c r="H160" i="48"/>
  <c r="H163" i="48"/>
  <c r="H162" i="48"/>
  <c r="H159" i="48"/>
  <c r="H158" i="48"/>
  <c r="H154" i="48"/>
  <c r="H152" i="48"/>
  <c r="H151" i="48"/>
  <c r="H150" i="48"/>
  <c r="H143" i="48"/>
  <c r="H142" i="48"/>
  <c r="F142" i="48"/>
  <c r="E124" i="48"/>
  <c r="E122" i="48"/>
  <c r="F120" i="48"/>
  <c r="F138" i="48" s="1"/>
  <c r="E120" i="48"/>
  <c r="F115" i="48"/>
  <c r="G105" i="48" s="1"/>
  <c r="J86" i="48"/>
  <c r="G86" i="48"/>
  <c r="H81" i="48"/>
  <c r="H80" i="48"/>
  <c r="H79" i="48"/>
  <c r="H77" i="48"/>
  <c r="H75" i="48"/>
  <c r="H74" i="48"/>
  <c r="H73" i="48"/>
  <c r="H71" i="48"/>
  <c r="H70" i="48"/>
  <c r="H63" i="48"/>
  <c r="H62" i="48"/>
  <c r="H61" i="48"/>
  <c r="F56" i="48"/>
  <c r="J42" i="48"/>
  <c r="J41" i="48"/>
  <c r="J40" i="48"/>
  <c r="J39" i="48"/>
  <c r="J38" i="48"/>
  <c r="J37" i="48"/>
  <c r="J24" i="48"/>
  <c r="G24" i="48"/>
  <c r="H233" i="47"/>
  <c r="H231" i="47"/>
  <c r="H230" i="47"/>
  <c r="H229" i="47"/>
  <c r="H228" i="47"/>
  <c r="H227" i="47"/>
  <c r="H226" i="47"/>
  <c r="H217" i="47"/>
  <c r="H216" i="47"/>
  <c r="H218" i="47" s="1"/>
  <c r="H210" i="47"/>
  <c r="H209" i="47"/>
  <c r="H208" i="47"/>
  <c r="H206" i="47"/>
  <c r="H205" i="47"/>
  <c r="H204" i="47"/>
  <c r="H203" i="47"/>
  <c r="F197" i="47"/>
  <c r="G196" i="47"/>
  <c r="G195" i="47"/>
  <c r="G194" i="47"/>
  <c r="G192" i="47"/>
  <c r="G190" i="47"/>
  <c r="J185" i="47"/>
  <c r="G185" i="47"/>
  <c r="H180" i="47"/>
  <c r="H179" i="47"/>
  <c r="H178" i="47"/>
  <c r="H172" i="47"/>
  <c r="H171" i="47"/>
  <c r="H170" i="47"/>
  <c r="H167" i="47"/>
  <c r="H165" i="47"/>
  <c r="H163" i="47"/>
  <c r="H162" i="47"/>
  <c r="H159" i="47"/>
  <c r="H158" i="47"/>
  <c r="H154" i="47"/>
  <c r="H152" i="47"/>
  <c r="H151" i="47"/>
  <c r="H150" i="47"/>
  <c r="H143" i="47"/>
  <c r="H142" i="47"/>
  <c r="F142" i="47"/>
  <c r="E124" i="47"/>
  <c r="E122" i="47"/>
  <c r="F120" i="47"/>
  <c r="F138" i="47" s="1"/>
  <c r="E120" i="47"/>
  <c r="F115" i="47"/>
  <c r="G91" i="47" s="1"/>
  <c r="J86" i="47"/>
  <c r="G86" i="47"/>
  <c r="H81" i="47"/>
  <c r="H80" i="47"/>
  <c r="H79" i="47"/>
  <c r="H77" i="47"/>
  <c r="H75" i="47"/>
  <c r="H74" i="47"/>
  <c r="H73" i="47"/>
  <c r="H71" i="47"/>
  <c r="H70" i="47"/>
  <c r="H63" i="47"/>
  <c r="H62" i="47"/>
  <c r="H61" i="47"/>
  <c r="F56" i="47"/>
  <c r="G55" i="47" s="1"/>
  <c r="H55" i="47" s="1"/>
  <c r="J42" i="47"/>
  <c r="J41" i="47"/>
  <c r="J40" i="47"/>
  <c r="J39" i="47"/>
  <c r="J38" i="47"/>
  <c r="J37" i="47"/>
  <c r="G35" i="47"/>
  <c r="J24" i="47"/>
  <c r="G24" i="47"/>
  <c r="H233" i="46"/>
  <c r="H231" i="46"/>
  <c r="H230" i="46"/>
  <c r="H229" i="46"/>
  <c r="H228" i="46"/>
  <c r="H227" i="46"/>
  <c r="H226" i="46"/>
  <c r="H217" i="46"/>
  <c r="H216" i="46"/>
  <c r="H218" i="46" s="1"/>
  <c r="H210" i="46"/>
  <c r="H209" i="46"/>
  <c r="H208" i="46"/>
  <c r="H206" i="46"/>
  <c r="H205" i="46"/>
  <c r="H204" i="46"/>
  <c r="H203" i="46"/>
  <c r="F197" i="46"/>
  <c r="E197" i="46" s="1"/>
  <c r="G197" i="46" s="1"/>
  <c r="C242" i="46" s="1"/>
  <c r="G242" i="46" s="1"/>
  <c r="G196" i="46"/>
  <c r="G195" i="46"/>
  <c r="G194" i="46"/>
  <c r="G192" i="46"/>
  <c r="G190" i="46"/>
  <c r="J185" i="46"/>
  <c r="G185" i="46"/>
  <c r="H180" i="46"/>
  <c r="H179" i="46"/>
  <c r="H178" i="46"/>
  <c r="H172" i="46"/>
  <c r="H171" i="46"/>
  <c r="H170" i="46"/>
  <c r="H167" i="46"/>
  <c r="H165" i="46"/>
  <c r="H163" i="46"/>
  <c r="H162" i="46"/>
  <c r="H159" i="46"/>
  <c r="H158" i="46"/>
  <c r="H154" i="46"/>
  <c r="H152" i="46"/>
  <c r="H151" i="46"/>
  <c r="H150" i="46"/>
  <c r="H143" i="46"/>
  <c r="H142" i="46"/>
  <c r="F142" i="46"/>
  <c r="E124" i="46"/>
  <c r="E122" i="46"/>
  <c r="F120" i="46"/>
  <c r="F138" i="46" s="1"/>
  <c r="E120" i="46"/>
  <c r="F115" i="46"/>
  <c r="G113" i="46" s="1"/>
  <c r="H113" i="46" s="1"/>
  <c r="J86" i="46"/>
  <c r="G86" i="46"/>
  <c r="H81" i="46"/>
  <c r="H80" i="46"/>
  <c r="H79" i="46"/>
  <c r="H77" i="46"/>
  <c r="H75" i="46"/>
  <c r="H74" i="46"/>
  <c r="H73" i="46"/>
  <c r="H71" i="46"/>
  <c r="H70" i="46"/>
  <c r="H63" i="46"/>
  <c r="H62" i="46"/>
  <c r="H61" i="46"/>
  <c r="F56" i="46"/>
  <c r="G46" i="46" s="1"/>
  <c r="J42" i="46"/>
  <c r="J41" i="46"/>
  <c r="J40" i="46"/>
  <c r="J39" i="46"/>
  <c r="J38" i="46"/>
  <c r="J37" i="46"/>
  <c r="J24" i="46"/>
  <c r="G24" i="46"/>
  <c r="H233" i="45"/>
  <c r="H231" i="45"/>
  <c r="H230" i="45"/>
  <c r="H229" i="45"/>
  <c r="H228" i="45"/>
  <c r="H227" i="45"/>
  <c r="H226" i="45"/>
  <c r="H217" i="45"/>
  <c r="H216" i="45"/>
  <c r="H218" i="45" s="1"/>
  <c r="H210" i="45"/>
  <c r="H209" i="45"/>
  <c r="H208" i="45"/>
  <c r="H206" i="45"/>
  <c r="H205" i="45"/>
  <c r="H204" i="45"/>
  <c r="H203" i="45"/>
  <c r="F197" i="45"/>
  <c r="E197" i="45" s="1"/>
  <c r="G197" i="45" s="1"/>
  <c r="C242" i="45" s="1"/>
  <c r="G242" i="45" s="1"/>
  <c r="G196" i="45"/>
  <c r="G195" i="45"/>
  <c r="G194" i="45"/>
  <c r="G192" i="45"/>
  <c r="G190" i="45"/>
  <c r="J185" i="45"/>
  <c r="G185" i="45"/>
  <c r="H180" i="45"/>
  <c r="H179" i="45"/>
  <c r="H178" i="45"/>
  <c r="H172" i="45"/>
  <c r="H171" i="45"/>
  <c r="H170" i="45"/>
  <c r="H167" i="45"/>
  <c r="H165" i="45"/>
  <c r="H160" i="45"/>
  <c r="H163" i="45"/>
  <c r="H162" i="45"/>
  <c r="H159" i="45"/>
  <c r="H158" i="45"/>
  <c r="H154" i="45"/>
  <c r="H152" i="45"/>
  <c r="H151" i="45"/>
  <c r="H150" i="45"/>
  <c r="H143" i="45"/>
  <c r="H142" i="45"/>
  <c r="F142" i="45"/>
  <c r="E124" i="45"/>
  <c r="E122" i="45"/>
  <c r="F120" i="45"/>
  <c r="F138" i="45" s="1"/>
  <c r="E120" i="45"/>
  <c r="E138" i="45" s="1"/>
  <c r="F115" i="45"/>
  <c r="G105" i="45" s="1"/>
  <c r="J86" i="45"/>
  <c r="G86" i="45"/>
  <c r="H81" i="45"/>
  <c r="H80" i="45"/>
  <c r="H79" i="45"/>
  <c r="H77" i="45"/>
  <c r="H75" i="45"/>
  <c r="H74" i="45"/>
  <c r="H73" i="45"/>
  <c r="H71" i="45"/>
  <c r="H70" i="45"/>
  <c r="H63" i="45"/>
  <c r="H62" i="45"/>
  <c r="H61" i="45"/>
  <c r="F56" i="45"/>
  <c r="G46" i="45" s="1"/>
  <c r="J42" i="45"/>
  <c r="J41" i="45"/>
  <c r="J40" i="45"/>
  <c r="J39" i="45"/>
  <c r="J38" i="45"/>
  <c r="J37" i="45"/>
  <c r="J24" i="45"/>
  <c r="G24" i="45"/>
  <c r="H233" i="44"/>
  <c r="H231" i="44"/>
  <c r="H230" i="44"/>
  <c r="H229" i="44"/>
  <c r="H228" i="44"/>
  <c r="H227" i="44"/>
  <c r="H226" i="44"/>
  <c r="H217" i="44"/>
  <c r="H216" i="44"/>
  <c r="H210" i="44"/>
  <c r="H209" i="44"/>
  <c r="H208" i="44"/>
  <c r="H206" i="44"/>
  <c r="H205" i="44"/>
  <c r="H204" i="44"/>
  <c r="H203" i="44"/>
  <c r="G197" i="44"/>
  <c r="C242" i="44" s="1"/>
  <c r="G242" i="44" s="1"/>
  <c r="F197" i="44"/>
  <c r="E197" i="44"/>
  <c r="G196" i="44"/>
  <c r="G195" i="44"/>
  <c r="G194" i="44"/>
  <c r="G192" i="44"/>
  <c r="G190" i="44"/>
  <c r="J185" i="44"/>
  <c r="G185" i="44"/>
  <c r="H180" i="44"/>
  <c r="H179" i="44"/>
  <c r="H178" i="44"/>
  <c r="H172" i="44"/>
  <c r="H171" i="44"/>
  <c r="H170" i="44"/>
  <c r="H167" i="44"/>
  <c r="H165" i="44"/>
  <c r="H163" i="44"/>
  <c r="H162" i="44"/>
  <c r="H159" i="44"/>
  <c r="H158" i="44"/>
  <c r="H154" i="44"/>
  <c r="H152" i="44"/>
  <c r="H151" i="44"/>
  <c r="H150" i="44"/>
  <c r="H143" i="44"/>
  <c r="H142" i="44"/>
  <c r="F142" i="44"/>
  <c r="E124" i="44"/>
  <c r="E122" i="44"/>
  <c r="F120" i="44"/>
  <c r="F138" i="44" s="1"/>
  <c r="E120" i="44"/>
  <c r="F115" i="44"/>
  <c r="G114" i="44" s="1"/>
  <c r="H114" i="44" s="1"/>
  <c r="J86" i="44"/>
  <c r="G86" i="44"/>
  <c r="H81" i="44"/>
  <c r="H80" i="44"/>
  <c r="H79" i="44"/>
  <c r="H77" i="44"/>
  <c r="H75" i="44"/>
  <c r="H74" i="44"/>
  <c r="H73" i="44"/>
  <c r="H71" i="44"/>
  <c r="H70" i="44"/>
  <c r="H63" i="44"/>
  <c r="H62" i="44"/>
  <c r="H61" i="44"/>
  <c r="F56" i="44"/>
  <c r="G46" i="44" s="1"/>
  <c r="J42" i="44"/>
  <c r="J41" i="44"/>
  <c r="J40" i="44"/>
  <c r="J39" i="44"/>
  <c r="J38" i="44"/>
  <c r="J37" i="44"/>
  <c r="J24" i="44"/>
  <c r="G24" i="44"/>
  <c r="D7" i="57"/>
  <c r="D7" i="56"/>
  <c r="D7" i="55"/>
  <c r="D7" i="54"/>
  <c r="D7" i="53"/>
  <c r="D7" i="52"/>
  <c r="D7" i="51"/>
  <c r="D7" i="50"/>
  <c r="D7" i="49"/>
  <c r="D7" i="48"/>
  <c r="D7" i="47"/>
  <c r="D7" i="46"/>
  <c r="D7" i="45"/>
  <c r="D7" i="44"/>
  <c r="K21" i="57"/>
  <c r="K20" i="57"/>
  <c r="K19" i="57"/>
  <c r="K17" i="57"/>
  <c r="K16" i="57"/>
  <c r="K15" i="57"/>
  <c r="K14" i="57"/>
  <c r="A4" i="57"/>
  <c r="K21" i="56"/>
  <c r="K20" i="56"/>
  <c r="K19" i="56"/>
  <c r="K17" i="56"/>
  <c r="K16" i="56"/>
  <c r="K15" i="56"/>
  <c r="K14" i="56"/>
  <c r="A4" i="56"/>
  <c r="K21" i="55"/>
  <c r="K20" i="55"/>
  <c r="K19" i="55"/>
  <c r="K17" i="55"/>
  <c r="K16" i="55"/>
  <c r="K15" i="55"/>
  <c r="K14" i="55"/>
  <c r="A4" i="55"/>
  <c r="K21" i="54"/>
  <c r="K20" i="54"/>
  <c r="K19" i="54"/>
  <c r="K17" i="54"/>
  <c r="K16" i="54"/>
  <c r="K15" i="54"/>
  <c r="K14" i="54"/>
  <c r="A4" i="54"/>
  <c r="K21" i="53"/>
  <c r="K20" i="53"/>
  <c r="K19" i="53"/>
  <c r="F19" i="53"/>
  <c r="K17" i="53"/>
  <c r="K16" i="53"/>
  <c r="K15" i="53"/>
  <c r="K14" i="53"/>
  <c r="A4" i="53"/>
  <c r="K21" i="52"/>
  <c r="K20" i="52"/>
  <c r="K19" i="52"/>
  <c r="K17" i="52"/>
  <c r="K16" i="52"/>
  <c r="K15" i="52"/>
  <c r="K14" i="52"/>
  <c r="A4" i="52"/>
  <c r="K21" i="51"/>
  <c r="K20" i="51"/>
  <c r="K19" i="51"/>
  <c r="F19" i="51"/>
  <c r="K17" i="51"/>
  <c r="K16" i="51"/>
  <c r="K15" i="51"/>
  <c r="K14" i="51"/>
  <c r="A4" i="51"/>
  <c r="K21" i="50"/>
  <c r="K20" i="50"/>
  <c r="K19" i="50"/>
  <c r="F19" i="50"/>
  <c r="K17" i="50"/>
  <c r="K16" i="50"/>
  <c r="K15" i="50"/>
  <c r="K14" i="50"/>
  <c r="A4" i="50"/>
  <c r="K21" i="49"/>
  <c r="K20" i="49"/>
  <c r="K19" i="49"/>
  <c r="F19" i="49"/>
  <c r="K17" i="49"/>
  <c r="K16" i="49"/>
  <c r="K15" i="49"/>
  <c r="K14" i="49"/>
  <c r="A4" i="49"/>
  <c r="K21" i="48"/>
  <c r="K20" i="48"/>
  <c r="K19" i="48"/>
  <c r="K17" i="48"/>
  <c r="K16" i="48"/>
  <c r="K15" i="48"/>
  <c r="K14" i="48"/>
  <c r="A4" i="48"/>
  <c r="K21" i="47"/>
  <c r="K20" i="47"/>
  <c r="K19" i="47"/>
  <c r="K17" i="47"/>
  <c r="K16" i="47"/>
  <c r="K15" i="47"/>
  <c r="K14" i="47"/>
  <c r="A4" i="47"/>
  <c r="K21" i="46"/>
  <c r="K20" i="46"/>
  <c r="K19" i="46"/>
  <c r="F19" i="46"/>
  <c r="K17" i="46"/>
  <c r="K16" i="46"/>
  <c r="K15" i="46"/>
  <c r="K14" i="46"/>
  <c r="A4" i="46"/>
  <c r="K21" i="45"/>
  <c r="K20" i="45"/>
  <c r="K19" i="45"/>
  <c r="K17" i="45"/>
  <c r="K16" i="45"/>
  <c r="K15" i="45"/>
  <c r="K14" i="45"/>
  <c r="A4" i="45"/>
  <c r="K21" i="44"/>
  <c r="K20" i="44"/>
  <c r="K19" i="44"/>
  <c r="K17" i="44"/>
  <c r="K16" i="44"/>
  <c r="K15" i="44"/>
  <c r="K14" i="44"/>
  <c r="A4" i="44"/>
  <c r="G53" i="57" l="1"/>
  <c r="H53" i="57" s="1"/>
  <c r="G103" i="57"/>
  <c r="G51" i="57"/>
  <c r="G110" i="57"/>
  <c r="H181" i="57"/>
  <c r="G45" i="57"/>
  <c r="G30" i="57"/>
  <c r="G47" i="57"/>
  <c r="G93" i="56"/>
  <c r="G101" i="56"/>
  <c r="G110" i="56"/>
  <c r="G113" i="56"/>
  <c r="H113" i="56" s="1"/>
  <c r="G30" i="56"/>
  <c r="G51" i="56"/>
  <c r="G91" i="56"/>
  <c r="G105" i="56"/>
  <c r="H35" i="56"/>
  <c r="H64" i="56" s="1"/>
  <c r="G44" i="56"/>
  <c r="G35" i="56"/>
  <c r="G50" i="56"/>
  <c r="H218" i="56"/>
  <c r="G103" i="56"/>
  <c r="G91" i="55"/>
  <c r="G102" i="55"/>
  <c r="G112" i="55"/>
  <c r="H112" i="55" s="1"/>
  <c r="H218" i="55"/>
  <c r="G30" i="54"/>
  <c r="G29" i="54"/>
  <c r="G44" i="54"/>
  <c r="G110" i="54"/>
  <c r="H35" i="54"/>
  <c r="H64" i="54" s="1"/>
  <c r="G51" i="54"/>
  <c r="G91" i="54"/>
  <c r="G93" i="54"/>
  <c r="G98" i="54"/>
  <c r="H218" i="54"/>
  <c r="G103" i="54"/>
  <c r="G105" i="54"/>
  <c r="G108" i="54"/>
  <c r="G110" i="53"/>
  <c r="G105" i="53"/>
  <c r="G113" i="53"/>
  <c r="H113" i="53" s="1"/>
  <c r="H234" i="53"/>
  <c r="G4" i="53" s="1"/>
  <c r="G44" i="53"/>
  <c r="G91" i="53"/>
  <c r="G101" i="53"/>
  <c r="H35" i="52"/>
  <c r="H64" i="52" s="1"/>
  <c r="G32" i="52"/>
  <c r="G44" i="52"/>
  <c r="G30" i="52"/>
  <c r="G53" i="52"/>
  <c r="H53" i="52" s="1"/>
  <c r="H181" i="51"/>
  <c r="G32" i="51"/>
  <c r="G47" i="51"/>
  <c r="G30" i="51"/>
  <c r="G55" i="51"/>
  <c r="H55" i="51" s="1"/>
  <c r="G98" i="51"/>
  <c r="G93" i="50"/>
  <c r="G98" i="50"/>
  <c r="G30" i="50"/>
  <c r="G101" i="50"/>
  <c r="G108" i="50"/>
  <c r="G104" i="50"/>
  <c r="G51" i="50"/>
  <c r="G112" i="50"/>
  <c r="H112" i="50" s="1"/>
  <c r="H181" i="50"/>
  <c r="G35" i="50"/>
  <c r="G55" i="50"/>
  <c r="H55" i="50" s="1"/>
  <c r="G91" i="50"/>
  <c r="G113" i="50"/>
  <c r="H113" i="50" s="1"/>
  <c r="G102" i="50"/>
  <c r="G98" i="49"/>
  <c r="G101" i="49"/>
  <c r="G102" i="49"/>
  <c r="G110" i="49"/>
  <c r="G35" i="49"/>
  <c r="G104" i="49"/>
  <c r="H218" i="49"/>
  <c r="G103" i="49"/>
  <c r="G113" i="49"/>
  <c r="H113" i="49" s="1"/>
  <c r="H181" i="49"/>
  <c r="G114" i="49"/>
  <c r="H114" i="49" s="1"/>
  <c r="G30" i="49"/>
  <c r="G51" i="49"/>
  <c r="G197" i="49"/>
  <c r="C242" i="49" s="1"/>
  <c r="G242" i="49" s="1"/>
  <c r="G91" i="48"/>
  <c r="G98" i="48"/>
  <c r="H234" i="48"/>
  <c r="G4" i="48" s="1"/>
  <c r="G104" i="48"/>
  <c r="G110" i="48"/>
  <c r="G113" i="48"/>
  <c r="H113" i="48" s="1"/>
  <c r="G47" i="47"/>
  <c r="H234" i="47"/>
  <c r="G4" i="47" s="1"/>
  <c r="G30" i="47"/>
  <c r="G44" i="47"/>
  <c r="G51" i="47"/>
  <c r="H35" i="47"/>
  <c r="H64" i="47" s="1"/>
  <c r="E197" i="47"/>
  <c r="G197" i="47" s="1"/>
  <c r="C242" i="47" s="1"/>
  <c r="G242" i="47" s="1"/>
  <c r="G29" i="47"/>
  <c r="G50" i="46"/>
  <c r="G30" i="46"/>
  <c r="G35" i="46"/>
  <c r="G53" i="46"/>
  <c r="H53" i="46" s="1"/>
  <c r="G104" i="46"/>
  <c r="H181" i="46"/>
  <c r="G34" i="46"/>
  <c r="G47" i="46"/>
  <c r="G51" i="46"/>
  <c r="G29" i="46"/>
  <c r="G55" i="46"/>
  <c r="H55" i="46" s="1"/>
  <c r="G103" i="46"/>
  <c r="G32" i="46"/>
  <c r="G110" i="46"/>
  <c r="G30" i="45"/>
  <c r="H35" i="45"/>
  <c r="H64" i="45" s="1"/>
  <c r="G91" i="45"/>
  <c r="H234" i="45"/>
  <c r="G4" i="45" s="1"/>
  <c r="G98" i="45"/>
  <c r="H218" i="44"/>
  <c r="E138" i="44"/>
  <c r="G137" i="44" s="1"/>
  <c r="H137" i="44" s="1"/>
  <c r="H35" i="44"/>
  <c r="H64" i="44" s="1"/>
  <c r="H234" i="44"/>
  <c r="G4" i="44" s="1"/>
  <c r="H211" i="54"/>
  <c r="G137" i="45"/>
  <c r="H137" i="45" s="1"/>
  <c r="G134" i="45"/>
  <c r="G46" i="48"/>
  <c r="G51" i="48"/>
  <c r="G32" i="45"/>
  <c r="G47" i="45"/>
  <c r="G32" i="47"/>
  <c r="G50" i="47"/>
  <c r="G35" i="48"/>
  <c r="G32" i="44"/>
  <c r="G47" i="44"/>
  <c r="G122" i="45"/>
  <c r="H181" i="45"/>
  <c r="G114" i="46"/>
  <c r="H114" i="46" s="1"/>
  <c r="D80" i="37"/>
  <c r="H173" i="50"/>
  <c r="G114" i="52"/>
  <c r="H114" i="52" s="1"/>
  <c r="G105" i="52"/>
  <c r="D86" i="37"/>
  <c r="G91" i="52"/>
  <c r="G98" i="52"/>
  <c r="H35" i="53"/>
  <c r="H64" i="53" s="1"/>
  <c r="H181" i="55"/>
  <c r="G35" i="45"/>
  <c r="G51" i="45"/>
  <c r="G98" i="46"/>
  <c r="G105" i="47"/>
  <c r="G114" i="48"/>
  <c r="H114" i="48" s="1"/>
  <c r="D82" i="37"/>
  <c r="G101" i="48"/>
  <c r="H211" i="49"/>
  <c r="H234" i="52"/>
  <c r="G4" i="52" s="1"/>
  <c r="E197" i="55"/>
  <c r="G197" i="55" s="1"/>
  <c r="C242" i="55" s="1"/>
  <c r="G242" i="55" s="1"/>
  <c r="G35" i="44"/>
  <c r="G51" i="44"/>
  <c r="H181" i="44"/>
  <c r="G44" i="45"/>
  <c r="G114" i="45"/>
  <c r="H114" i="45" s="1"/>
  <c r="D79" i="37"/>
  <c r="H234" i="46"/>
  <c r="G4" i="46" s="1"/>
  <c r="G46" i="47"/>
  <c r="G34" i="47"/>
  <c r="G53" i="47"/>
  <c r="H53" i="47" s="1"/>
  <c r="H35" i="50"/>
  <c r="H64" i="50" s="1"/>
  <c r="H234" i="54"/>
  <c r="G4" i="54" s="1"/>
  <c r="H234" i="56"/>
  <c r="G4" i="56" s="1"/>
  <c r="G44" i="44"/>
  <c r="G53" i="44"/>
  <c r="H53" i="44" s="1"/>
  <c r="G53" i="45"/>
  <c r="H53" i="45" s="1"/>
  <c r="G126" i="45"/>
  <c r="H35" i="46"/>
  <c r="H64" i="46" s="1"/>
  <c r="G30" i="48"/>
  <c r="G114" i="47"/>
  <c r="H114" i="47" s="1"/>
  <c r="D81" i="37"/>
  <c r="G30" i="44"/>
  <c r="E138" i="47"/>
  <c r="G120" i="47" s="1"/>
  <c r="H234" i="51"/>
  <c r="G4" i="51" s="1"/>
  <c r="E138" i="49"/>
  <c r="G126" i="49" s="1"/>
  <c r="H173" i="49"/>
  <c r="G110" i="51"/>
  <c r="H173" i="52"/>
  <c r="H181" i="52"/>
  <c r="H173" i="53"/>
  <c r="H181" i="53"/>
  <c r="G34" i="54"/>
  <c r="G102" i="54"/>
  <c r="H35" i="55"/>
  <c r="H64" i="55" s="1"/>
  <c r="G98" i="55"/>
  <c r="G105" i="55"/>
  <c r="G114" i="55"/>
  <c r="H114" i="55" s="1"/>
  <c r="G55" i="56"/>
  <c r="H55" i="56" s="1"/>
  <c r="E138" i="57"/>
  <c r="G130" i="57" s="1"/>
  <c r="H173" i="57"/>
  <c r="E197" i="57"/>
  <c r="G197" i="57" s="1"/>
  <c r="C242" i="57" s="1"/>
  <c r="G242" i="57" s="1"/>
  <c r="D100" i="37"/>
  <c r="H234" i="49"/>
  <c r="H35" i="51"/>
  <c r="H64" i="51" s="1"/>
  <c r="G93" i="53"/>
  <c r="G102" i="53"/>
  <c r="E138" i="53"/>
  <c r="G137" i="53" s="1"/>
  <c r="H137" i="53" s="1"/>
  <c r="G50" i="54"/>
  <c r="H173" i="54"/>
  <c r="H234" i="57"/>
  <c r="G4" i="57" s="1"/>
  <c r="D101" i="37"/>
  <c r="H35" i="48"/>
  <c r="H64" i="48" s="1"/>
  <c r="G29" i="50"/>
  <c r="G45" i="50"/>
  <c r="G54" i="50"/>
  <c r="H54" i="50" s="1"/>
  <c r="G110" i="50"/>
  <c r="H234" i="50"/>
  <c r="G4" i="50" s="1"/>
  <c r="G103" i="51"/>
  <c r="G35" i="52"/>
  <c r="G51" i="52"/>
  <c r="H211" i="52"/>
  <c r="G30" i="53"/>
  <c r="G35" i="54"/>
  <c r="H181" i="54"/>
  <c r="G108" i="55"/>
  <c r="G34" i="56"/>
  <c r="G102" i="56"/>
  <c r="G108" i="56"/>
  <c r="H173" i="56"/>
  <c r="G35" i="57"/>
  <c r="G44" i="57"/>
  <c r="G98" i="57"/>
  <c r="D102" i="37"/>
  <c r="E138" i="55"/>
  <c r="G133" i="55" s="1"/>
  <c r="H173" i="55"/>
  <c r="H181" i="56"/>
  <c r="H35" i="57"/>
  <c r="H64" i="57" s="1"/>
  <c r="D83" i="37"/>
  <c r="D103" i="37"/>
  <c r="D84" i="37"/>
  <c r="H35" i="49"/>
  <c r="H64" i="49" s="1"/>
  <c r="E138" i="52"/>
  <c r="G130" i="52" s="1"/>
  <c r="G51" i="53"/>
  <c r="G98" i="53"/>
  <c r="G104" i="53"/>
  <c r="G114" i="53"/>
  <c r="H114" i="53" s="1"/>
  <c r="G45" i="54"/>
  <c r="G54" i="54"/>
  <c r="H54" i="54" s="1"/>
  <c r="G104" i="54"/>
  <c r="G112" i="54"/>
  <c r="H112" i="54" s="1"/>
  <c r="G93" i="55"/>
  <c r="G103" i="55"/>
  <c r="G110" i="55"/>
  <c r="H234" i="55"/>
  <c r="G4" i="55" s="1"/>
  <c r="D85" i="37"/>
  <c r="H181" i="47"/>
  <c r="H173" i="48"/>
  <c r="H181" i="48"/>
  <c r="G34" i="50"/>
  <c r="G50" i="50"/>
  <c r="G51" i="51"/>
  <c r="G35" i="53"/>
  <c r="G32" i="54"/>
  <c r="G55" i="54"/>
  <c r="H55" i="54" s="1"/>
  <c r="G101" i="54"/>
  <c r="G113" i="54"/>
  <c r="H113" i="54" s="1"/>
  <c r="G29" i="56"/>
  <c r="G98" i="56"/>
  <c r="G104" i="56"/>
  <c r="G112" i="56"/>
  <c r="H112" i="56" s="1"/>
  <c r="G32" i="57"/>
  <c r="G54" i="57"/>
  <c r="H54" i="57" s="1"/>
  <c r="H211" i="55"/>
  <c r="G45" i="56"/>
  <c r="G54" i="56"/>
  <c r="H54" i="56" s="1"/>
  <c r="D99" i="37"/>
  <c r="H211" i="57"/>
  <c r="H211" i="56"/>
  <c r="H211" i="53"/>
  <c r="H211" i="51"/>
  <c r="H211" i="50"/>
  <c r="H211" i="48"/>
  <c r="H211" i="47"/>
  <c r="H211" i="46"/>
  <c r="H211" i="45"/>
  <c r="G126" i="44"/>
  <c r="D78" i="37"/>
  <c r="G105" i="44"/>
  <c r="G122" i="44"/>
  <c r="G91" i="44"/>
  <c r="G134" i="44"/>
  <c r="H211" i="44"/>
  <c r="G91" i="57"/>
  <c r="G105" i="57"/>
  <c r="G93" i="57"/>
  <c r="G108" i="57"/>
  <c r="G112" i="57"/>
  <c r="H112" i="57" s="1"/>
  <c r="G34" i="57"/>
  <c r="G50" i="57"/>
  <c r="G101" i="57"/>
  <c r="F19" i="57"/>
  <c r="G29" i="57"/>
  <c r="G55" i="57"/>
  <c r="H55" i="57" s="1"/>
  <c r="G104" i="57"/>
  <c r="G113" i="57"/>
  <c r="H113" i="57" s="1"/>
  <c r="G95" i="57"/>
  <c r="G109" i="57"/>
  <c r="G102" i="57"/>
  <c r="G32" i="56"/>
  <c r="G47" i="56"/>
  <c r="G53" i="56"/>
  <c r="H53" i="56" s="1"/>
  <c r="E138" i="56"/>
  <c r="G122" i="56" s="1"/>
  <c r="G95" i="56"/>
  <c r="G109" i="56"/>
  <c r="G44" i="55"/>
  <c r="G32" i="55"/>
  <c r="G47" i="55"/>
  <c r="G53" i="55"/>
  <c r="H53" i="55" s="1"/>
  <c r="G54" i="55"/>
  <c r="H54" i="55" s="1"/>
  <c r="G34" i="55"/>
  <c r="G50" i="55"/>
  <c r="G101" i="55"/>
  <c r="G45" i="55"/>
  <c r="G29" i="55"/>
  <c r="G55" i="55"/>
  <c r="H55" i="55" s="1"/>
  <c r="G104" i="55"/>
  <c r="G113" i="55"/>
  <c r="H113" i="55" s="1"/>
  <c r="G46" i="55"/>
  <c r="G95" i="55"/>
  <c r="G30" i="55"/>
  <c r="G35" i="55"/>
  <c r="G47" i="54"/>
  <c r="G53" i="54"/>
  <c r="H53" i="54" s="1"/>
  <c r="E138" i="54"/>
  <c r="G126" i="54" s="1"/>
  <c r="G95" i="54"/>
  <c r="G109" i="54"/>
  <c r="G32" i="53"/>
  <c r="G47" i="53"/>
  <c r="G53" i="53"/>
  <c r="H53" i="53" s="1"/>
  <c r="G103" i="53"/>
  <c r="G45" i="53"/>
  <c r="G54" i="53"/>
  <c r="H54" i="53" s="1"/>
  <c r="G108" i="53"/>
  <c r="G112" i="53"/>
  <c r="H112" i="53" s="1"/>
  <c r="G34" i="53"/>
  <c r="G50" i="53"/>
  <c r="G29" i="53"/>
  <c r="G55" i="53"/>
  <c r="H55" i="53" s="1"/>
  <c r="G95" i="53"/>
  <c r="G103" i="52"/>
  <c r="G45" i="52"/>
  <c r="G54" i="52"/>
  <c r="H54" i="52" s="1"/>
  <c r="G93" i="52"/>
  <c r="G108" i="52"/>
  <c r="G112" i="52"/>
  <c r="H112" i="52" s="1"/>
  <c r="G135" i="52"/>
  <c r="G34" i="52"/>
  <c r="G50" i="52"/>
  <c r="G101" i="52"/>
  <c r="G29" i="52"/>
  <c r="G55" i="52"/>
  <c r="H55" i="52" s="1"/>
  <c r="G104" i="52"/>
  <c r="G113" i="52"/>
  <c r="H113" i="52" s="1"/>
  <c r="G133" i="52"/>
  <c r="F19" i="52"/>
  <c r="G95" i="52"/>
  <c r="G109" i="52"/>
  <c r="G102" i="52"/>
  <c r="G44" i="51"/>
  <c r="G91" i="51"/>
  <c r="G105" i="51"/>
  <c r="E138" i="51"/>
  <c r="G45" i="51"/>
  <c r="G54" i="51"/>
  <c r="H54" i="51" s="1"/>
  <c r="G93" i="51"/>
  <c r="G108" i="51"/>
  <c r="G112" i="51"/>
  <c r="H112" i="51" s="1"/>
  <c r="G34" i="51"/>
  <c r="G50" i="51"/>
  <c r="G101" i="51"/>
  <c r="G104" i="51"/>
  <c r="G113" i="51"/>
  <c r="H113" i="51" s="1"/>
  <c r="G95" i="51"/>
  <c r="G109" i="51"/>
  <c r="G102" i="51"/>
  <c r="G44" i="50"/>
  <c r="G105" i="50"/>
  <c r="G32" i="50"/>
  <c r="G47" i="50"/>
  <c r="G53" i="50"/>
  <c r="H53" i="50" s="1"/>
  <c r="E138" i="50"/>
  <c r="G103" i="50"/>
  <c r="G95" i="50"/>
  <c r="G109" i="50"/>
  <c r="G129" i="49"/>
  <c r="G44" i="49"/>
  <c r="G91" i="49"/>
  <c r="G105" i="49"/>
  <c r="G32" i="49"/>
  <c r="G47" i="49"/>
  <c r="G53" i="49"/>
  <c r="H53" i="49" s="1"/>
  <c r="G45" i="49"/>
  <c r="G54" i="49"/>
  <c r="H54" i="49" s="1"/>
  <c r="G93" i="49"/>
  <c r="G108" i="49"/>
  <c r="G112" i="49"/>
  <c r="H112" i="49" s="1"/>
  <c r="G34" i="49"/>
  <c r="G50" i="49"/>
  <c r="G29" i="49"/>
  <c r="G55" i="49"/>
  <c r="H55" i="49" s="1"/>
  <c r="G95" i="49"/>
  <c r="G122" i="48"/>
  <c r="G44" i="48"/>
  <c r="G32" i="48"/>
  <c r="G47" i="48"/>
  <c r="G53" i="48"/>
  <c r="H53" i="48" s="1"/>
  <c r="E138" i="48"/>
  <c r="G126" i="48" s="1"/>
  <c r="G103" i="48"/>
  <c r="G45" i="48"/>
  <c r="G54" i="48"/>
  <c r="H54" i="48" s="1"/>
  <c r="G93" i="48"/>
  <c r="G108" i="48"/>
  <c r="G112" i="48"/>
  <c r="H112" i="48" s="1"/>
  <c r="G34" i="48"/>
  <c r="G50" i="48"/>
  <c r="G29" i="48"/>
  <c r="G55" i="48"/>
  <c r="H55" i="48" s="1"/>
  <c r="G95" i="48"/>
  <c r="G109" i="48"/>
  <c r="G102" i="48"/>
  <c r="G103" i="47"/>
  <c r="G98" i="47"/>
  <c r="G110" i="47"/>
  <c r="G45" i="47"/>
  <c r="G54" i="47"/>
  <c r="H54" i="47" s="1"/>
  <c r="G93" i="47"/>
  <c r="G108" i="47"/>
  <c r="G112" i="47"/>
  <c r="H112" i="47" s="1"/>
  <c r="G104" i="47"/>
  <c r="G113" i="47"/>
  <c r="H113" i="47" s="1"/>
  <c r="G136" i="47"/>
  <c r="H136" i="47" s="1"/>
  <c r="F19" i="47"/>
  <c r="G101" i="47"/>
  <c r="G95" i="47"/>
  <c r="G109" i="47"/>
  <c r="G102" i="47"/>
  <c r="G44" i="46"/>
  <c r="G91" i="46"/>
  <c r="G105" i="46"/>
  <c r="E138" i="46"/>
  <c r="G122" i="46" s="1"/>
  <c r="G45" i="46"/>
  <c r="G54" i="46"/>
  <c r="H54" i="46" s="1"/>
  <c r="G93" i="46"/>
  <c r="G108" i="46"/>
  <c r="G112" i="46"/>
  <c r="H112" i="46" s="1"/>
  <c r="G101" i="46"/>
  <c r="G95" i="46"/>
  <c r="G109" i="46"/>
  <c r="G102" i="46"/>
  <c r="G45" i="45"/>
  <c r="G54" i="45"/>
  <c r="H54" i="45" s="1"/>
  <c r="G93" i="45"/>
  <c r="G108" i="45"/>
  <c r="G112" i="45"/>
  <c r="H112" i="45" s="1"/>
  <c r="G135" i="45"/>
  <c r="G34" i="45"/>
  <c r="G50" i="45"/>
  <c r="G101" i="45"/>
  <c r="G29" i="45"/>
  <c r="G55" i="45"/>
  <c r="H55" i="45" s="1"/>
  <c r="G104" i="45"/>
  <c r="G113" i="45"/>
  <c r="H113" i="45" s="1"/>
  <c r="G133" i="45"/>
  <c r="G136" i="45"/>
  <c r="H136" i="45" s="1"/>
  <c r="G110" i="45"/>
  <c r="G103" i="45"/>
  <c r="G130" i="45"/>
  <c r="G95" i="45"/>
  <c r="G109" i="45"/>
  <c r="G102" i="45"/>
  <c r="G120" i="45"/>
  <c r="G124" i="45"/>
  <c r="G129" i="45"/>
  <c r="G103" i="44"/>
  <c r="G130" i="44"/>
  <c r="G98" i="44"/>
  <c r="G45" i="44"/>
  <c r="G54" i="44"/>
  <c r="H54" i="44" s="1"/>
  <c r="G93" i="44"/>
  <c r="G108" i="44"/>
  <c r="G112" i="44"/>
  <c r="H112" i="44" s="1"/>
  <c r="G135" i="44"/>
  <c r="G34" i="44"/>
  <c r="G50" i="44"/>
  <c r="G101" i="44"/>
  <c r="G29" i="44"/>
  <c r="G55" i="44"/>
  <c r="H55" i="44" s="1"/>
  <c r="G104" i="44"/>
  <c r="G113" i="44"/>
  <c r="H113" i="44" s="1"/>
  <c r="G133" i="44"/>
  <c r="G136" i="44"/>
  <c r="H136" i="44" s="1"/>
  <c r="G110" i="44"/>
  <c r="G95" i="44"/>
  <c r="G109" i="44"/>
  <c r="G102" i="44"/>
  <c r="G120" i="44"/>
  <c r="G124" i="44"/>
  <c r="G129" i="44"/>
  <c r="F19" i="56"/>
  <c r="G4" i="49"/>
  <c r="F19" i="55"/>
  <c r="F19" i="54"/>
  <c r="F19" i="48"/>
  <c r="F19" i="45"/>
  <c r="F19" i="44"/>
  <c r="H152" i="38"/>
  <c r="H70" i="38"/>
  <c r="G136" i="55" l="1"/>
  <c r="H136" i="55" s="1"/>
  <c r="G137" i="49"/>
  <c r="H137" i="49" s="1"/>
  <c r="G134" i="49"/>
  <c r="C240" i="47"/>
  <c r="G240" i="47" s="1"/>
  <c r="G56" i="46"/>
  <c r="G129" i="57"/>
  <c r="G122" i="57"/>
  <c r="G137" i="57"/>
  <c r="H137" i="57" s="1"/>
  <c r="G134" i="57"/>
  <c r="G133" i="57"/>
  <c r="G136" i="57"/>
  <c r="H136" i="57" s="1"/>
  <c r="G135" i="57"/>
  <c r="G120" i="57"/>
  <c r="G126" i="57"/>
  <c r="G124" i="57"/>
  <c r="G135" i="53"/>
  <c r="G129" i="52"/>
  <c r="G136" i="52"/>
  <c r="H136" i="52" s="1"/>
  <c r="G129" i="47"/>
  <c r="G133" i="47"/>
  <c r="G126" i="47"/>
  <c r="G124" i="47"/>
  <c r="G135" i="47"/>
  <c r="G130" i="47"/>
  <c r="G122" i="47"/>
  <c r="G134" i="53"/>
  <c r="G133" i="53"/>
  <c r="G120" i="53"/>
  <c r="G122" i="53"/>
  <c r="G129" i="53"/>
  <c r="G136" i="53"/>
  <c r="H136" i="53" s="1"/>
  <c r="G126" i="53"/>
  <c r="G124" i="53"/>
  <c r="G130" i="53"/>
  <c r="G124" i="52"/>
  <c r="G120" i="52"/>
  <c r="G122" i="52"/>
  <c r="G126" i="52"/>
  <c r="G130" i="49"/>
  <c r="G135" i="49"/>
  <c r="G122" i="49"/>
  <c r="G133" i="49"/>
  <c r="G120" i="49"/>
  <c r="G136" i="49"/>
  <c r="H136" i="49" s="1"/>
  <c r="G124" i="49"/>
  <c r="G126" i="46"/>
  <c r="G130" i="55"/>
  <c r="C241" i="50"/>
  <c r="G241" i="50" s="1"/>
  <c r="G135" i="55"/>
  <c r="G137" i="47"/>
  <c r="H137" i="47" s="1"/>
  <c r="G134" i="47"/>
  <c r="G120" i="55"/>
  <c r="C241" i="46"/>
  <c r="G241" i="46" s="1"/>
  <c r="G122" i="55"/>
  <c r="G124" i="55"/>
  <c r="G129" i="55"/>
  <c r="G126" i="56"/>
  <c r="G120" i="56"/>
  <c r="C241" i="49"/>
  <c r="G241" i="49" s="1"/>
  <c r="G134" i="55"/>
  <c r="G137" i="55"/>
  <c r="H137" i="55" s="1"/>
  <c r="G137" i="52"/>
  <c r="H137" i="52" s="1"/>
  <c r="G134" i="52"/>
  <c r="C240" i="46"/>
  <c r="G240" i="46" s="1"/>
  <c r="C240" i="50"/>
  <c r="G240" i="50" s="1"/>
  <c r="C240" i="54"/>
  <c r="G240" i="54" s="1"/>
  <c r="G126" i="55"/>
  <c r="C240" i="57"/>
  <c r="G240" i="57" s="1"/>
  <c r="G56" i="57"/>
  <c r="C241" i="57"/>
  <c r="G241" i="57" s="1"/>
  <c r="G115" i="57"/>
  <c r="C240" i="56"/>
  <c r="G240" i="56" s="1"/>
  <c r="G56" i="56"/>
  <c r="G137" i="56"/>
  <c r="H137" i="56" s="1"/>
  <c r="G129" i="56"/>
  <c r="G124" i="56"/>
  <c r="G134" i="56"/>
  <c r="G136" i="56"/>
  <c r="H136" i="56" s="1"/>
  <c r="G133" i="56"/>
  <c r="G130" i="56"/>
  <c r="G135" i="56"/>
  <c r="G115" i="56"/>
  <c r="C241" i="56"/>
  <c r="G241" i="56" s="1"/>
  <c r="C240" i="55"/>
  <c r="G240" i="55" s="1"/>
  <c r="G56" i="55"/>
  <c r="C241" i="55"/>
  <c r="G241" i="55" s="1"/>
  <c r="G115" i="55"/>
  <c r="C241" i="54"/>
  <c r="G241" i="54" s="1"/>
  <c r="G115" i="54"/>
  <c r="G137" i="54"/>
  <c r="H137" i="54" s="1"/>
  <c r="G129" i="54"/>
  <c r="G124" i="54"/>
  <c r="G134" i="54"/>
  <c r="G136" i="54"/>
  <c r="H136" i="54" s="1"/>
  <c r="G133" i="54"/>
  <c r="G130" i="54"/>
  <c r="G135" i="54"/>
  <c r="G56" i="54"/>
  <c r="G122" i="54"/>
  <c r="G120" i="54"/>
  <c r="C241" i="53"/>
  <c r="G241" i="53" s="1"/>
  <c r="G56" i="53"/>
  <c r="C240" i="53"/>
  <c r="G240" i="53" s="1"/>
  <c r="G115" i="53"/>
  <c r="C240" i="52"/>
  <c r="G240" i="52" s="1"/>
  <c r="G56" i="52"/>
  <c r="C241" i="52"/>
  <c r="G241" i="52" s="1"/>
  <c r="G115" i="52"/>
  <c r="G137" i="51"/>
  <c r="H137" i="51" s="1"/>
  <c r="G129" i="51"/>
  <c r="G124" i="51"/>
  <c r="G130" i="51"/>
  <c r="G136" i="51"/>
  <c r="H136" i="51" s="1"/>
  <c r="G133" i="51"/>
  <c r="G135" i="51"/>
  <c r="G134" i="51"/>
  <c r="C241" i="51"/>
  <c r="G241" i="51" s="1"/>
  <c r="G56" i="51"/>
  <c r="C240" i="51"/>
  <c r="G240" i="51" s="1"/>
  <c r="G115" i="51"/>
  <c r="G122" i="51"/>
  <c r="G126" i="51"/>
  <c r="G120" i="51"/>
  <c r="G137" i="50"/>
  <c r="H137" i="50" s="1"/>
  <c r="G129" i="50"/>
  <c r="G124" i="50"/>
  <c r="G135" i="50"/>
  <c r="G126" i="50"/>
  <c r="G122" i="50"/>
  <c r="G136" i="50"/>
  <c r="H136" i="50" s="1"/>
  <c r="G130" i="50"/>
  <c r="G133" i="50"/>
  <c r="G134" i="50"/>
  <c r="G56" i="50"/>
  <c r="G115" i="50"/>
  <c r="G120" i="50"/>
  <c r="G115" i="49"/>
  <c r="C240" i="49"/>
  <c r="G240" i="49" s="1"/>
  <c r="G56" i="49"/>
  <c r="C240" i="48"/>
  <c r="G240" i="48" s="1"/>
  <c r="G56" i="48"/>
  <c r="G137" i="48"/>
  <c r="H137" i="48" s="1"/>
  <c r="G129" i="48"/>
  <c r="G124" i="48"/>
  <c r="G136" i="48"/>
  <c r="H136" i="48" s="1"/>
  <c r="G133" i="48"/>
  <c r="G135" i="48"/>
  <c r="G130" i="48"/>
  <c r="G134" i="48"/>
  <c r="G120" i="48"/>
  <c r="C241" i="48"/>
  <c r="G241" i="48" s="1"/>
  <c r="G115" i="48"/>
  <c r="C241" i="47"/>
  <c r="G241" i="47" s="1"/>
  <c r="G115" i="47"/>
  <c r="G56" i="47"/>
  <c r="G137" i="46"/>
  <c r="H137" i="46" s="1"/>
  <c r="G129" i="46"/>
  <c r="G124" i="46"/>
  <c r="G135" i="46"/>
  <c r="G130" i="46"/>
  <c r="G136" i="46"/>
  <c r="H136" i="46" s="1"/>
  <c r="G134" i="46"/>
  <c r="G133" i="46"/>
  <c r="G120" i="46"/>
  <c r="G115" i="46"/>
  <c r="G56" i="45"/>
  <c r="C240" i="45"/>
  <c r="G240" i="45" s="1"/>
  <c r="C241" i="45"/>
  <c r="G241" i="45" s="1"/>
  <c r="G115" i="45"/>
  <c r="G138" i="45"/>
  <c r="G138" i="44"/>
  <c r="C241" i="44"/>
  <c r="G241" i="44" s="1"/>
  <c r="G115" i="44"/>
  <c r="C240" i="44"/>
  <c r="G240" i="44" s="1"/>
  <c r="G56" i="44"/>
  <c r="J24" i="38"/>
  <c r="J55" i="61"/>
  <c r="J54" i="61"/>
  <c r="J53" i="61"/>
  <c r="J52" i="61"/>
  <c r="J51" i="61"/>
  <c r="J50" i="61"/>
  <c r="J49" i="61"/>
  <c r="J48" i="61"/>
  <c r="J47" i="61"/>
  <c r="J41" i="61"/>
  <c r="J40" i="61"/>
  <c r="J39" i="61"/>
  <c r="J38" i="61"/>
  <c r="J37" i="61"/>
  <c r="J36" i="61"/>
  <c r="J35" i="61"/>
  <c r="J34" i="61"/>
  <c r="J33" i="61"/>
  <c r="J32" i="61"/>
  <c r="J31" i="61"/>
  <c r="J30" i="61"/>
  <c r="J29" i="61"/>
  <c r="J28" i="61"/>
  <c r="J27" i="61"/>
  <c r="J26" i="61"/>
  <c r="J25" i="61"/>
  <c r="J24" i="61"/>
  <c r="J23" i="61"/>
  <c r="J22" i="61"/>
  <c r="J21" i="61"/>
  <c r="J15" i="61"/>
  <c r="J14" i="61"/>
  <c r="J13" i="61"/>
  <c r="J12" i="61"/>
  <c r="J11" i="61"/>
  <c r="J10" i="61"/>
  <c r="J9" i="61"/>
  <c r="J8" i="61"/>
  <c r="J7" i="61"/>
  <c r="J6" i="61"/>
  <c r="G138" i="57" l="1"/>
  <c r="G138" i="49"/>
  <c r="G138" i="47"/>
  <c r="G138" i="53"/>
  <c r="G138" i="52"/>
  <c r="G138" i="56"/>
  <c r="G138" i="55"/>
  <c r="G138" i="54"/>
  <c r="G138" i="51"/>
  <c r="G138" i="50"/>
  <c r="G138" i="48"/>
  <c r="G138" i="46"/>
  <c r="H71" i="38" l="1"/>
  <c r="B103" i="37" l="1"/>
  <c r="B102" i="37"/>
  <c r="B101" i="37"/>
  <c r="B100" i="37"/>
  <c r="B99" i="37"/>
  <c r="B86" i="37"/>
  <c r="B85" i="37"/>
  <c r="B84" i="37"/>
  <c r="B83" i="37"/>
  <c r="B82" i="37"/>
  <c r="B81" i="37"/>
  <c r="B80" i="37"/>
  <c r="B79" i="37"/>
  <c r="B78" i="37"/>
  <c r="H154" i="38"/>
  <c r="H151" i="38" l="1"/>
  <c r="H233" i="38" l="1"/>
  <c r="E124" i="38" l="1"/>
  <c r="A4" i="38"/>
  <c r="D7" i="38"/>
  <c r="F56" i="38" l="1"/>
  <c r="B77" i="37" l="1"/>
  <c r="G29" i="38"/>
  <c r="G30" i="38"/>
  <c r="E120" i="38"/>
  <c r="F115" i="38"/>
  <c r="D77" i="37" s="1"/>
  <c r="H81" i="38"/>
  <c r="H80" i="38"/>
  <c r="H79" i="38"/>
  <c r="H77" i="38"/>
  <c r="H75" i="38"/>
  <c r="H74" i="38"/>
  <c r="H73" i="38"/>
  <c r="H63" i="38"/>
  <c r="H62" i="38"/>
  <c r="H61" i="38"/>
  <c r="G46" i="38"/>
  <c r="I11" i="61"/>
  <c r="E45" i="54" s="1"/>
  <c r="H45" i="54" s="1"/>
  <c r="H11" i="61"/>
  <c r="G11" i="61"/>
  <c r="F11" i="61"/>
  <c r="E11" i="61"/>
  <c r="E45" i="56" l="1"/>
  <c r="H45" i="56" s="1"/>
  <c r="E45" i="55"/>
  <c r="H45" i="55" s="1"/>
  <c r="E45" i="57"/>
  <c r="H45" i="57" s="1"/>
  <c r="E45" i="47"/>
  <c r="H45" i="47" s="1"/>
  <c r="E45" i="50"/>
  <c r="H45" i="50" s="1"/>
  <c r="E45" i="53"/>
  <c r="H45" i="53" s="1"/>
  <c r="E45" i="51"/>
  <c r="H45" i="51" s="1"/>
  <c r="E45" i="44"/>
  <c r="H45" i="44" s="1"/>
  <c r="E45" i="45"/>
  <c r="H45" i="45" s="1"/>
  <c r="E45" i="46"/>
  <c r="H45" i="46" s="1"/>
  <c r="E45" i="52"/>
  <c r="H45" i="52" s="1"/>
  <c r="E45" i="38"/>
  <c r="E45" i="49"/>
  <c r="H45" i="49" s="1"/>
  <c r="E45" i="48"/>
  <c r="H45" i="48" s="1"/>
  <c r="G113" i="38"/>
  <c r="H113" i="38" s="1"/>
  <c r="G112" i="38"/>
  <c r="H112" i="38" s="1"/>
  <c r="G114" i="38"/>
  <c r="H114" i="38" s="1"/>
  <c r="I41" i="61"/>
  <c r="D135" i="54" s="1"/>
  <c r="H135" i="54" s="1"/>
  <c r="H41" i="61"/>
  <c r="G41" i="61"/>
  <c r="F41" i="61"/>
  <c r="E41" i="61"/>
  <c r="D135" i="56" l="1"/>
  <c r="H135" i="56" s="1"/>
  <c r="D135" i="53"/>
  <c r="H135" i="53" s="1"/>
  <c r="D135" i="57"/>
  <c r="H135" i="57" s="1"/>
  <c r="D135" i="50"/>
  <c r="H135" i="50" s="1"/>
  <c r="D135" i="49"/>
  <c r="H135" i="49" s="1"/>
  <c r="D135" i="55"/>
  <c r="H135" i="55" s="1"/>
  <c r="D135" i="51"/>
  <c r="H135" i="51" s="1"/>
  <c r="D135" i="48"/>
  <c r="H135" i="48" s="1"/>
  <c r="D135" i="38"/>
  <c r="D135" i="47"/>
  <c r="H135" i="47" s="1"/>
  <c r="D135" i="45"/>
  <c r="H135" i="45" s="1"/>
  <c r="D135" i="52"/>
  <c r="H135" i="52" s="1"/>
  <c r="D135" i="46"/>
  <c r="H135" i="46" s="1"/>
  <c r="D135" i="44"/>
  <c r="H135" i="44" s="1"/>
  <c r="E122" i="38"/>
  <c r="F120" i="38"/>
  <c r="G35" i="38" l="1"/>
  <c r="J42" i="38"/>
  <c r="J41" i="38"/>
  <c r="J40" i="38"/>
  <c r="J39" i="38"/>
  <c r="J38" i="38"/>
  <c r="J37" i="38"/>
  <c r="H35" i="38" l="1"/>
  <c r="G129" i="38"/>
  <c r="G133" i="38"/>
  <c r="G126" i="38"/>
  <c r="G122" i="38"/>
  <c r="G135" i="38"/>
  <c r="H135" i="38" s="1"/>
  <c r="G130" i="38"/>
  <c r="G137" i="38"/>
  <c r="H137" i="38" s="1"/>
  <c r="G136" i="38"/>
  <c r="H136" i="38" s="1"/>
  <c r="G134" i="38"/>
  <c r="G124" i="38"/>
  <c r="G120" i="38"/>
  <c r="H64" i="38" l="1"/>
  <c r="G138" i="38"/>
  <c r="H163" i="38" l="1"/>
  <c r="H231" i="38" l="1"/>
  <c r="H230" i="38"/>
  <c r="H229" i="38"/>
  <c r="H228" i="38"/>
  <c r="H227" i="38"/>
  <c r="H226" i="38"/>
  <c r="H217" i="38"/>
  <c r="H216" i="38"/>
  <c r="H210" i="38"/>
  <c r="H209" i="38"/>
  <c r="H208" i="38"/>
  <c r="F197" i="38"/>
  <c r="G196" i="38"/>
  <c r="G195" i="38"/>
  <c r="G194" i="38"/>
  <c r="G192" i="38"/>
  <c r="G190" i="38"/>
  <c r="J185" i="38"/>
  <c r="G185" i="38"/>
  <c r="H180" i="38"/>
  <c r="H179" i="38"/>
  <c r="H178" i="38"/>
  <c r="H172" i="38"/>
  <c r="H171" i="38"/>
  <c r="H170" i="38"/>
  <c r="H162" i="38"/>
  <c r="H167" i="38"/>
  <c r="H165" i="38"/>
  <c r="H159" i="38"/>
  <c r="H158" i="38"/>
  <c r="H150" i="38"/>
  <c r="H143" i="38"/>
  <c r="H142" i="38"/>
  <c r="F142" i="38"/>
  <c r="G110" i="38"/>
  <c r="G109" i="38"/>
  <c r="G108" i="38"/>
  <c r="G105" i="38"/>
  <c r="G104" i="38"/>
  <c r="G103" i="38"/>
  <c r="G102" i="38"/>
  <c r="G101" i="38"/>
  <c r="G98" i="38"/>
  <c r="G95" i="38"/>
  <c r="G93" i="38"/>
  <c r="G91" i="38"/>
  <c r="J86" i="38"/>
  <c r="G86" i="38"/>
  <c r="G24" i="38"/>
  <c r="K21" i="38"/>
  <c r="K20" i="38"/>
  <c r="K19" i="38"/>
  <c r="F19" i="38"/>
  <c r="K17" i="38"/>
  <c r="K16" i="38"/>
  <c r="K15" i="38"/>
  <c r="K14" i="38"/>
  <c r="G241" i="38" l="1"/>
  <c r="G115" i="38"/>
  <c r="G54" i="38"/>
  <c r="H54" i="38" s="1"/>
  <c r="E197" i="38"/>
  <c r="G197" i="38" s="1"/>
  <c r="C242" i="38" s="1"/>
  <c r="G242" i="38" s="1"/>
  <c r="H234" i="38"/>
  <c r="G34" i="38"/>
  <c r="G50" i="38"/>
  <c r="G32" i="38"/>
  <c r="G51" i="38"/>
  <c r="G55" i="38"/>
  <c r="H55" i="38" s="1"/>
  <c r="G45" i="38"/>
  <c r="G47" i="38"/>
  <c r="G53" i="38"/>
  <c r="H53" i="38" s="1"/>
  <c r="G44" i="38"/>
  <c r="G4" i="38" l="1"/>
  <c r="G240" i="38"/>
  <c r="G56" i="38"/>
  <c r="I55" i="61"/>
  <c r="F206" i="54" s="1"/>
  <c r="I54" i="61"/>
  <c r="F205" i="54" s="1"/>
  <c r="I53" i="61"/>
  <c r="F204" i="54" s="1"/>
  <c r="I52" i="61"/>
  <c r="F203" i="54" s="1"/>
  <c r="I51" i="61"/>
  <c r="D196" i="54" s="1"/>
  <c r="H196" i="54" s="1"/>
  <c r="I50" i="61"/>
  <c r="D195" i="54" s="1"/>
  <c r="H195" i="54" s="1"/>
  <c r="I49" i="61"/>
  <c r="D194" i="54" s="1"/>
  <c r="H194" i="54" s="1"/>
  <c r="I48" i="61"/>
  <c r="D192" i="54" s="1"/>
  <c r="H192" i="54" s="1"/>
  <c r="I47" i="61"/>
  <c r="D190" i="54" s="1"/>
  <c r="H190" i="54" s="1"/>
  <c r="E47" i="61"/>
  <c r="F47" i="61"/>
  <c r="G47" i="61"/>
  <c r="H47" i="61"/>
  <c r="F48" i="61"/>
  <c r="G48" i="61"/>
  <c r="H48" i="61"/>
  <c r="F49" i="61"/>
  <c r="G49" i="61"/>
  <c r="H49" i="61"/>
  <c r="F50" i="61"/>
  <c r="G50" i="61"/>
  <c r="H50" i="61"/>
  <c r="F51" i="61"/>
  <c r="G51" i="61"/>
  <c r="H51" i="61"/>
  <c r="F52" i="61"/>
  <c r="G52" i="61"/>
  <c r="H52" i="61"/>
  <c r="F53" i="61"/>
  <c r="G53" i="61"/>
  <c r="H53" i="61"/>
  <c r="F54" i="61"/>
  <c r="G54" i="61"/>
  <c r="H54" i="61"/>
  <c r="F55" i="61"/>
  <c r="G55" i="61"/>
  <c r="H55" i="61"/>
  <c r="E55" i="61"/>
  <c r="E54" i="61"/>
  <c r="E53" i="61"/>
  <c r="E52" i="61"/>
  <c r="E51" i="61"/>
  <c r="E50" i="61"/>
  <c r="E49" i="61"/>
  <c r="E48" i="61"/>
  <c r="H197" i="54" l="1"/>
  <c r="H220" i="54" s="1"/>
  <c r="F4" i="54" s="1"/>
  <c r="F204" i="51"/>
  <c r="F204" i="57"/>
  <c r="F204" i="56"/>
  <c r="F204" i="47"/>
  <c r="F204" i="48"/>
  <c r="F204" i="55"/>
  <c r="F204" i="46"/>
  <c r="F204" i="52"/>
  <c r="F204" i="49"/>
  <c r="F204" i="45"/>
  <c r="F204" i="50"/>
  <c r="F204" i="38"/>
  <c r="F204" i="53"/>
  <c r="F204" i="44"/>
  <c r="F203" i="55"/>
  <c r="F203" i="51"/>
  <c r="F203" i="57"/>
  <c r="F203" i="56"/>
  <c r="F203" i="53"/>
  <c r="F203" i="50"/>
  <c r="F203" i="49"/>
  <c r="F203" i="52"/>
  <c r="F203" i="47"/>
  <c r="F203" i="44"/>
  <c r="F203" i="46"/>
  <c r="F203" i="45"/>
  <c r="F203" i="48"/>
  <c r="F203" i="38"/>
  <c r="F206" i="52"/>
  <c r="F206" i="47"/>
  <c r="F206" i="57"/>
  <c r="F206" i="56"/>
  <c r="F206" i="53"/>
  <c r="F206" i="50"/>
  <c r="F206" i="49"/>
  <c r="F206" i="55"/>
  <c r="F206" i="51"/>
  <c r="F206" i="48"/>
  <c r="F206" i="44"/>
  <c r="F206" i="46"/>
  <c r="F206" i="38"/>
  <c r="F206" i="45"/>
  <c r="D195" i="55"/>
  <c r="H195" i="55" s="1"/>
  <c r="D195" i="51"/>
  <c r="H195" i="51" s="1"/>
  <c r="D195" i="56"/>
  <c r="H195" i="56" s="1"/>
  <c r="D195" i="57"/>
  <c r="H195" i="57" s="1"/>
  <c r="D195" i="48"/>
  <c r="H195" i="48" s="1"/>
  <c r="D195" i="46"/>
  <c r="H195" i="46" s="1"/>
  <c r="D195" i="44"/>
  <c r="H195" i="44" s="1"/>
  <c r="D195" i="50"/>
  <c r="H195" i="50" s="1"/>
  <c r="D195" i="49"/>
  <c r="H195" i="49" s="1"/>
  <c r="D195" i="53"/>
  <c r="H195" i="53" s="1"/>
  <c r="D195" i="52"/>
  <c r="H195" i="52" s="1"/>
  <c r="D195" i="45"/>
  <c r="H195" i="45" s="1"/>
  <c r="D195" i="47"/>
  <c r="H195" i="47" s="1"/>
  <c r="D195" i="38"/>
  <c r="H195" i="38" s="1"/>
  <c r="D190" i="56"/>
  <c r="H190" i="56" s="1"/>
  <c r="D190" i="57"/>
  <c r="H190" i="57" s="1"/>
  <c r="D190" i="53"/>
  <c r="H190" i="53" s="1"/>
  <c r="D190" i="52"/>
  <c r="H190" i="52" s="1"/>
  <c r="D190" i="49"/>
  <c r="H190" i="49" s="1"/>
  <c r="D190" i="47"/>
  <c r="H190" i="47" s="1"/>
  <c r="D190" i="55"/>
  <c r="H190" i="55" s="1"/>
  <c r="D190" i="51"/>
  <c r="H190" i="51" s="1"/>
  <c r="D190" i="50"/>
  <c r="H190" i="50" s="1"/>
  <c r="D190" i="48"/>
  <c r="H190" i="48" s="1"/>
  <c r="D190" i="45"/>
  <c r="H190" i="45" s="1"/>
  <c r="D190" i="38"/>
  <c r="H190" i="38" s="1"/>
  <c r="D190" i="46"/>
  <c r="H190" i="46" s="1"/>
  <c r="D190" i="44"/>
  <c r="H190" i="44" s="1"/>
  <c r="D194" i="47"/>
  <c r="H194" i="47" s="1"/>
  <c r="D194" i="55"/>
  <c r="H194" i="55" s="1"/>
  <c r="D194" i="51"/>
  <c r="H194" i="51" s="1"/>
  <c r="D194" i="56"/>
  <c r="H194" i="56" s="1"/>
  <c r="D194" i="57"/>
  <c r="H194" i="57" s="1"/>
  <c r="D194" i="53"/>
  <c r="H194" i="53" s="1"/>
  <c r="D194" i="52"/>
  <c r="H194" i="52" s="1"/>
  <c r="D194" i="50"/>
  <c r="H194" i="50" s="1"/>
  <c r="D194" i="49"/>
  <c r="H194" i="49" s="1"/>
  <c r="D194" i="46"/>
  <c r="H194" i="46" s="1"/>
  <c r="D194" i="44"/>
  <c r="H194" i="44" s="1"/>
  <c r="D194" i="38"/>
  <c r="H194" i="38" s="1"/>
  <c r="D194" i="48"/>
  <c r="H194" i="48" s="1"/>
  <c r="D194" i="45"/>
  <c r="H194" i="45" s="1"/>
  <c r="D196" i="56"/>
  <c r="H196" i="56" s="1"/>
  <c r="D196" i="57"/>
  <c r="H196" i="57" s="1"/>
  <c r="D196" i="53"/>
  <c r="H196" i="53" s="1"/>
  <c r="D196" i="52"/>
  <c r="H196" i="52" s="1"/>
  <c r="D196" i="50"/>
  <c r="H196" i="50" s="1"/>
  <c r="D196" i="49"/>
  <c r="H196" i="49" s="1"/>
  <c r="D196" i="47"/>
  <c r="H196" i="47" s="1"/>
  <c r="D196" i="55"/>
  <c r="H196" i="55" s="1"/>
  <c r="D196" i="51"/>
  <c r="H196" i="51" s="1"/>
  <c r="D196" i="38"/>
  <c r="H196" i="38" s="1"/>
  <c r="D196" i="45"/>
  <c r="H196" i="45" s="1"/>
  <c r="D196" i="48"/>
  <c r="H196" i="48" s="1"/>
  <c r="D196" i="46"/>
  <c r="H196" i="46" s="1"/>
  <c r="D196" i="44"/>
  <c r="H196" i="44" s="1"/>
  <c r="F205" i="57"/>
  <c r="F205" i="56"/>
  <c r="F205" i="53"/>
  <c r="F205" i="50"/>
  <c r="F205" i="49"/>
  <c r="F205" i="52"/>
  <c r="F205" i="55"/>
  <c r="F205" i="51"/>
  <c r="F205" i="38"/>
  <c r="F205" i="45"/>
  <c r="F205" i="47"/>
  <c r="F205" i="48"/>
  <c r="F205" i="46"/>
  <c r="F205" i="44"/>
  <c r="D192" i="53"/>
  <c r="H192" i="53" s="1"/>
  <c r="D192" i="52"/>
  <c r="H192" i="52" s="1"/>
  <c r="D192" i="50"/>
  <c r="H192" i="50" s="1"/>
  <c r="D192" i="55"/>
  <c r="H192" i="55" s="1"/>
  <c r="D192" i="56"/>
  <c r="H192" i="56" s="1"/>
  <c r="D192" i="57"/>
  <c r="H192" i="57" s="1"/>
  <c r="D192" i="48"/>
  <c r="H192" i="48" s="1"/>
  <c r="D192" i="45"/>
  <c r="H192" i="45" s="1"/>
  <c r="D192" i="51"/>
  <c r="H192" i="51" s="1"/>
  <c r="D192" i="47"/>
  <c r="H192" i="47" s="1"/>
  <c r="D192" i="38"/>
  <c r="H192" i="38" s="1"/>
  <c r="D192" i="49"/>
  <c r="H192" i="49" s="1"/>
  <c r="D192" i="46"/>
  <c r="H192" i="46" s="1"/>
  <c r="D192" i="44"/>
  <c r="H192" i="44" s="1"/>
  <c r="H203" i="38"/>
  <c r="H204" i="38"/>
  <c r="H205" i="38"/>
  <c r="H206" i="38"/>
  <c r="I40" i="61"/>
  <c r="I39" i="61"/>
  <c r="I38" i="61"/>
  <c r="D130" i="54" s="1"/>
  <c r="H130" i="54" s="1"/>
  <c r="I37" i="61"/>
  <c r="D129" i="54" s="1"/>
  <c r="H129" i="54" s="1"/>
  <c r="I36" i="61"/>
  <c r="D126" i="54" s="1"/>
  <c r="H126" i="54" s="1"/>
  <c r="I35" i="61"/>
  <c r="D124" i="54" s="1"/>
  <c r="H124" i="54" s="1"/>
  <c r="I34" i="61"/>
  <c r="D122" i="54" s="1"/>
  <c r="H122" i="54" s="1"/>
  <c r="I33" i="61"/>
  <c r="D120" i="54" s="1"/>
  <c r="H120" i="54" s="1"/>
  <c r="I32" i="61"/>
  <c r="E110" i="54" s="1"/>
  <c r="H110" i="54" s="1"/>
  <c r="I31" i="61"/>
  <c r="E109" i="54" s="1"/>
  <c r="H109" i="54" s="1"/>
  <c r="I30" i="61"/>
  <c r="E108" i="54" s="1"/>
  <c r="H108" i="54" s="1"/>
  <c r="I29" i="61"/>
  <c r="E105" i="54" s="1"/>
  <c r="H105" i="54" s="1"/>
  <c r="I28" i="61"/>
  <c r="E104" i="54" s="1"/>
  <c r="H104" i="54" s="1"/>
  <c r="I27" i="61"/>
  <c r="E103" i="54" s="1"/>
  <c r="H103" i="54" s="1"/>
  <c r="I26" i="61"/>
  <c r="E102" i="54" s="1"/>
  <c r="H102" i="54" s="1"/>
  <c r="I25" i="61"/>
  <c r="E101" i="54" s="1"/>
  <c r="H101" i="54" s="1"/>
  <c r="I24" i="61"/>
  <c r="E98" i="54" s="1"/>
  <c r="H98" i="54" s="1"/>
  <c r="I23" i="61"/>
  <c r="E95" i="54" s="1"/>
  <c r="H95" i="54" s="1"/>
  <c r="I22" i="61"/>
  <c r="E93" i="54" s="1"/>
  <c r="H93" i="54" s="1"/>
  <c r="I21" i="61"/>
  <c r="E91" i="54" s="1"/>
  <c r="H91" i="54" s="1"/>
  <c r="F21" i="61"/>
  <c r="G21" i="61"/>
  <c r="H21" i="61"/>
  <c r="F22" i="61"/>
  <c r="G22" i="61"/>
  <c r="H22" i="61"/>
  <c r="F23" i="61"/>
  <c r="G23" i="61"/>
  <c r="H23" i="61"/>
  <c r="F24" i="61"/>
  <c r="G24" i="61"/>
  <c r="H24" i="61"/>
  <c r="F25" i="61"/>
  <c r="G25" i="61"/>
  <c r="H25" i="61"/>
  <c r="F26" i="61"/>
  <c r="G26" i="61"/>
  <c r="H26" i="61"/>
  <c r="F27" i="61"/>
  <c r="G27" i="61"/>
  <c r="H27" i="61"/>
  <c r="F28" i="61"/>
  <c r="G28" i="61"/>
  <c r="H28" i="61"/>
  <c r="F29" i="61"/>
  <c r="G29" i="61"/>
  <c r="H29" i="61"/>
  <c r="F30" i="61"/>
  <c r="G30" i="61"/>
  <c r="H30" i="61"/>
  <c r="F31" i="61"/>
  <c r="G31" i="61"/>
  <c r="H31" i="61"/>
  <c r="F32" i="61"/>
  <c r="G32" i="61"/>
  <c r="H32" i="61"/>
  <c r="F33" i="61"/>
  <c r="G33" i="61"/>
  <c r="H33" i="61"/>
  <c r="F34" i="61"/>
  <c r="G34" i="61"/>
  <c r="H34" i="61"/>
  <c r="F35" i="61"/>
  <c r="G35" i="61"/>
  <c r="H35" i="61"/>
  <c r="F36" i="61"/>
  <c r="G36" i="61"/>
  <c r="H36" i="61"/>
  <c r="F37" i="61"/>
  <c r="G37" i="61"/>
  <c r="H37" i="61"/>
  <c r="F38" i="61"/>
  <c r="G38" i="61"/>
  <c r="H38" i="61"/>
  <c r="F39" i="61"/>
  <c r="G39" i="61"/>
  <c r="H39" i="61"/>
  <c r="F40" i="61"/>
  <c r="G40" i="61"/>
  <c r="H40" i="61"/>
  <c r="E40" i="61"/>
  <c r="E39" i="61"/>
  <c r="E38" i="61"/>
  <c r="E37" i="61"/>
  <c r="E36" i="61"/>
  <c r="E35" i="61"/>
  <c r="E34" i="61"/>
  <c r="E33" i="61"/>
  <c r="E32" i="61"/>
  <c r="E31" i="61"/>
  <c r="E30" i="61"/>
  <c r="E29" i="61"/>
  <c r="E28" i="61"/>
  <c r="E27" i="61"/>
  <c r="E26" i="61"/>
  <c r="E25" i="61"/>
  <c r="E24" i="61"/>
  <c r="E23" i="61"/>
  <c r="E22" i="61"/>
  <c r="E21" i="61"/>
  <c r="I15" i="61"/>
  <c r="E51" i="54" s="1"/>
  <c r="H51" i="54" s="1"/>
  <c r="I14" i="61"/>
  <c r="E50" i="54" s="1"/>
  <c r="H50" i="54" s="1"/>
  <c r="I13" i="61"/>
  <c r="E47" i="54" s="1"/>
  <c r="H47" i="54" s="1"/>
  <c r="I12" i="61"/>
  <c r="E46" i="54" s="1"/>
  <c r="H46" i="54" s="1"/>
  <c r="I10" i="61"/>
  <c r="E44" i="54" s="1"/>
  <c r="H44" i="54" s="1"/>
  <c r="I9" i="61"/>
  <c r="E35" i="54" s="1"/>
  <c r="I8" i="61"/>
  <c r="E34" i="54" s="1"/>
  <c r="H34" i="54" s="1"/>
  <c r="I7" i="61"/>
  <c r="E32" i="54" s="1"/>
  <c r="H32" i="54" s="1"/>
  <c r="I6" i="61"/>
  <c r="E29" i="54" s="1"/>
  <c r="H29" i="54" s="1"/>
  <c r="H6" i="61"/>
  <c r="H7" i="61"/>
  <c r="H8" i="61"/>
  <c r="H9" i="61"/>
  <c r="H10" i="61"/>
  <c r="H12" i="61"/>
  <c r="H13" i="61"/>
  <c r="H14" i="61"/>
  <c r="H15" i="61"/>
  <c r="G6" i="61"/>
  <c r="G7" i="61"/>
  <c r="G8" i="61"/>
  <c r="G9" i="61"/>
  <c r="G10" i="61"/>
  <c r="G12" i="61"/>
  <c r="G13" i="61"/>
  <c r="G14" i="61"/>
  <c r="G15" i="61"/>
  <c r="F6" i="61"/>
  <c r="F7" i="61"/>
  <c r="F8" i="61"/>
  <c r="F9" i="61"/>
  <c r="F10" i="61"/>
  <c r="F12" i="61"/>
  <c r="F13" i="61"/>
  <c r="F14" i="61"/>
  <c r="F15" i="61"/>
  <c r="E15" i="61"/>
  <c r="E14" i="61"/>
  <c r="E13" i="61"/>
  <c r="E12" i="61"/>
  <c r="E10" i="61"/>
  <c r="E9" i="61"/>
  <c r="E8" i="61"/>
  <c r="E7" i="61"/>
  <c r="E6" i="61"/>
  <c r="H197" i="51" l="1"/>
  <c r="H220" i="51" s="1"/>
  <c r="F4" i="51" s="1"/>
  <c r="H197" i="56"/>
  <c r="H220" i="56" s="1"/>
  <c r="F4" i="56" s="1"/>
  <c r="E51" i="51"/>
  <c r="H51" i="51" s="1"/>
  <c r="E51" i="57"/>
  <c r="H51" i="57" s="1"/>
  <c r="E51" i="55"/>
  <c r="H51" i="55" s="1"/>
  <c r="E51" i="52"/>
  <c r="H51" i="52" s="1"/>
  <c r="E51" i="48"/>
  <c r="H51" i="48" s="1"/>
  <c r="E51" i="50"/>
  <c r="H51" i="50" s="1"/>
  <c r="E51" i="49"/>
  <c r="H51" i="49" s="1"/>
  <c r="E51" i="53"/>
  <c r="H51" i="53" s="1"/>
  <c r="E51" i="38"/>
  <c r="H51" i="38" s="1"/>
  <c r="E51" i="56"/>
  <c r="H51" i="56" s="1"/>
  <c r="E51" i="46"/>
  <c r="H51" i="46" s="1"/>
  <c r="E51" i="44"/>
  <c r="H51" i="44" s="1"/>
  <c r="E51" i="45"/>
  <c r="H51" i="45" s="1"/>
  <c r="E51" i="47"/>
  <c r="H51" i="47" s="1"/>
  <c r="E29" i="56"/>
  <c r="H29" i="56" s="1"/>
  <c r="E29" i="57"/>
  <c r="H29" i="57" s="1"/>
  <c r="E29" i="55"/>
  <c r="H29" i="55" s="1"/>
  <c r="E29" i="53"/>
  <c r="H29" i="53" s="1"/>
  <c r="E29" i="50"/>
  <c r="H29" i="50" s="1"/>
  <c r="E29" i="51"/>
  <c r="H29" i="51" s="1"/>
  <c r="E29" i="48"/>
  <c r="H29" i="48" s="1"/>
  <c r="E29" i="52"/>
  <c r="H29" i="52" s="1"/>
  <c r="E29" i="49"/>
  <c r="H29" i="49" s="1"/>
  <c r="E29" i="44"/>
  <c r="H29" i="44" s="1"/>
  <c r="E29" i="46"/>
  <c r="H29" i="46" s="1"/>
  <c r="E29" i="45"/>
  <c r="H29" i="45" s="1"/>
  <c r="E29" i="47"/>
  <c r="H29" i="47" s="1"/>
  <c r="E29" i="38"/>
  <c r="H29" i="38" s="1"/>
  <c r="D130" i="55"/>
  <c r="H130" i="55" s="1"/>
  <c r="D130" i="51"/>
  <c r="H130" i="51" s="1"/>
  <c r="D130" i="57"/>
  <c r="H130" i="57" s="1"/>
  <c r="D130" i="50"/>
  <c r="H130" i="50" s="1"/>
  <c r="D130" i="49"/>
  <c r="H130" i="49" s="1"/>
  <c r="D130" i="48"/>
  <c r="H130" i="48" s="1"/>
  <c r="D130" i="52"/>
  <c r="H130" i="52" s="1"/>
  <c r="D130" i="53"/>
  <c r="H130" i="53" s="1"/>
  <c r="D130" i="38"/>
  <c r="H130" i="38" s="1"/>
  <c r="D130" i="56"/>
  <c r="H130" i="56" s="1"/>
  <c r="D130" i="46"/>
  <c r="H130" i="46" s="1"/>
  <c r="D130" i="44"/>
  <c r="H130" i="44" s="1"/>
  <c r="D130" i="47"/>
  <c r="H130" i="47" s="1"/>
  <c r="D130" i="45"/>
  <c r="H130" i="45" s="1"/>
  <c r="E108" i="47"/>
  <c r="H108" i="47" s="1"/>
  <c r="E108" i="51"/>
  <c r="H108" i="51" s="1"/>
  <c r="E108" i="50"/>
  <c r="H108" i="50" s="1"/>
  <c r="E108" i="57"/>
  <c r="H108" i="57" s="1"/>
  <c r="E108" i="56"/>
  <c r="H108" i="56" s="1"/>
  <c r="E108" i="55"/>
  <c r="H108" i="55" s="1"/>
  <c r="E108" i="53"/>
  <c r="H108" i="53" s="1"/>
  <c r="E108" i="52"/>
  <c r="H108" i="52" s="1"/>
  <c r="E108" i="48"/>
  <c r="H108" i="48" s="1"/>
  <c r="E108" i="38"/>
  <c r="E108" i="49"/>
  <c r="H108" i="49" s="1"/>
  <c r="E108" i="46"/>
  <c r="H108" i="46" s="1"/>
  <c r="E108" i="45"/>
  <c r="H108" i="45" s="1"/>
  <c r="E108" i="44"/>
  <c r="H108" i="44" s="1"/>
  <c r="E93" i="57"/>
  <c r="H93" i="57" s="1"/>
  <c r="E93" i="52"/>
  <c r="H93" i="52" s="1"/>
  <c r="E93" i="50"/>
  <c r="H93" i="50" s="1"/>
  <c r="E93" i="56"/>
  <c r="H93" i="56" s="1"/>
  <c r="E93" i="51"/>
  <c r="H93" i="51" s="1"/>
  <c r="E93" i="49"/>
  <c r="H93" i="49" s="1"/>
  <c r="E93" i="53"/>
  <c r="H93" i="53" s="1"/>
  <c r="E93" i="45"/>
  <c r="H93" i="45" s="1"/>
  <c r="E93" i="38"/>
  <c r="H93" i="38" s="1"/>
  <c r="E93" i="44"/>
  <c r="H93" i="44" s="1"/>
  <c r="E93" i="47"/>
  <c r="H93" i="47" s="1"/>
  <c r="E93" i="48"/>
  <c r="H93" i="48" s="1"/>
  <c r="E93" i="55"/>
  <c r="H93" i="55" s="1"/>
  <c r="E93" i="46"/>
  <c r="H93" i="46" s="1"/>
  <c r="H197" i="55"/>
  <c r="H220" i="55" s="1"/>
  <c r="F4" i="55" s="1"/>
  <c r="H197" i="44"/>
  <c r="H220" i="44" s="1"/>
  <c r="F4" i="44" s="1"/>
  <c r="H197" i="47"/>
  <c r="H220" i="47" s="1"/>
  <c r="F4" i="47" s="1"/>
  <c r="E101" i="56"/>
  <c r="H101" i="56" s="1"/>
  <c r="E101" i="51"/>
  <c r="H101" i="51" s="1"/>
  <c r="E101" i="53"/>
  <c r="H101" i="53" s="1"/>
  <c r="E101" i="49"/>
  <c r="H101" i="49" s="1"/>
  <c r="E101" i="57"/>
  <c r="H101" i="57" s="1"/>
  <c r="E101" i="52"/>
  <c r="H101" i="52" s="1"/>
  <c r="E101" i="55"/>
  <c r="H101" i="55" s="1"/>
  <c r="E101" i="48"/>
  <c r="H101" i="48" s="1"/>
  <c r="E101" i="47"/>
  <c r="H101" i="47" s="1"/>
  <c r="E101" i="50"/>
  <c r="H101" i="50" s="1"/>
  <c r="E101" i="38"/>
  <c r="H101" i="38" s="1"/>
  <c r="E101" i="46"/>
  <c r="H101" i="46" s="1"/>
  <c r="E101" i="45"/>
  <c r="H101" i="45" s="1"/>
  <c r="E101" i="44"/>
  <c r="H101" i="44" s="1"/>
  <c r="E47" i="57"/>
  <c r="H47" i="57" s="1"/>
  <c r="E47" i="52"/>
  <c r="H47" i="52" s="1"/>
  <c r="E47" i="49"/>
  <c r="H47" i="49" s="1"/>
  <c r="E47" i="53"/>
  <c r="H47" i="53" s="1"/>
  <c r="E47" i="51"/>
  <c r="H47" i="51" s="1"/>
  <c r="E47" i="56"/>
  <c r="H47" i="56" s="1"/>
  <c r="E47" i="55"/>
  <c r="H47" i="55" s="1"/>
  <c r="E47" i="45"/>
  <c r="H47" i="45" s="1"/>
  <c r="E47" i="47"/>
  <c r="H47" i="47" s="1"/>
  <c r="E47" i="46"/>
  <c r="H47" i="46" s="1"/>
  <c r="E47" i="38"/>
  <c r="H47" i="38" s="1"/>
  <c r="E47" i="48"/>
  <c r="H47" i="48" s="1"/>
  <c r="E47" i="50"/>
  <c r="H47" i="50" s="1"/>
  <c r="E47" i="44"/>
  <c r="H47" i="44" s="1"/>
  <c r="E110" i="51"/>
  <c r="H110" i="51" s="1"/>
  <c r="E110" i="57"/>
  <c r="H110" i="57" s="1"/>
  <c r="E110" i="53"/>
  <c r="H110" i="53" s="1"/>
  <c r="E110" i="52"/>
  <c r="H110" i="52" s="1"/>
  <c r="E110" i="48"/>
  <c r="H110" i="48" s="1"/>
  <c r="E110" i="50"/>
  <c r="H110" i="50" s="1"/>
  <c r="E110" i="49"/>
  <c r="H110" i="49" s="1"/>
  <c r="E110" i="55"/>
  <c r="H110" i="55" s="1"/>
  <c r="E110" i="47"/>
  <c r="H110" i="47" s="1"/>
  <c r="E110" i="46"/>
  <c r="H110" i="46" s="1"/>
  <c r="E110" i="56"/>
  <c r="H110" i="56" s="1"/>
  <c r="E110" i="45"/>
  <c r="H110" i="45" s="1"/>
  <c r="E110" i="38"/>
  <c r="H110" i="38" s="1"/>
  <c r="E110" i="44"/>
  <c r="H110" i="44" s="1"/>
  <c r="E98" i="55"/>
  <c r="H98" i="55" s="1"/>
  <c r="E98" i="48"/>
  <c r="H98" i="48" s="1"/>
  <c r="E98" i="56"/>
  <c r="H98" i="56" s="1"/>
  <c r="E98" i="50"/>
  <c r="H98" i="50" s="1"/>
  <c r="E98" i="57"/>
  <c r="H98" i="57" s="1"/>
  <c r="E98" i="52"/>
  <c r="H98" i="52" s="1"/>
  <c r="E98" i="47"/>
  <c r="H98" i="47" s="1"/>
  <c r="E98" i="49"/>
  <c r="H98" i="49" s="1"/>
  <c r="E98" i="51"/>
  <c r="H98" i="51" s="1"/>
  <c r="E98" i="46"/>
  <c r="H98" i="46" s="1"/>
  <c r="E98" i="45"/>
  <c r="H98" i="45" s="1"/>
  <c r="E98" i="38"/>
  <c r="H98" i="38" s="1"/>
  <c r="E98" i="53"/>
  <c r="H98" i="53" s="1"/>
  <c r="E98" i="44"/>
  <c r="H98" i="44" s="1"/>
  <c r="H197" i="46"/>
  <c r="H220" i="46" s="1"/>
  <c r="F4" i="46" s="1"/>
  <c r="H197" i="49"/>
  <c r="H220" i="49" s="1"/>
  <c r="F4" i="49" s="1"/>
  <c r="H197" i="52"/>
  <c r="H220" i="52" s="1"/>
  <c r="F4" i="52" s="1"/>
  <c r="E50" i="47"/>
  <c r="H50" i="47" s="1"/>
  <c r="E50" i="50"/>
  <c r="H50" i="50" s="1"/>
  <c r="E50" i="56"/>
  <c r="H50" i="56" s="1"/>
  <c r="E50" i="57"/>
  <c r="H50" i="57" s="1"/>
  <c r="E50" i="55"/>
  <c r="H50" i="55" s="1"/>
  <c r="E50" i="52"/>
  <c r="H50" i="52" s="1"/>
  <c r="E50" i="48"/>
  <c r="H50" i="48" s="1"/>
  <c r="E50" i="51"/>
  <c r="H50" i="51" s="1"/>
  <c r="E50" i="53"/>
  <c r="H50" i="53" s="1"/>
  <c r="E50" i="38"/>
  <c r="H50" i="38" s="1"/>
  <c r="E50" i="49"/>
  <c r="H50" i="49" s="1"/>
  <c r="E50" i="44"/>
  <c r="H50" i="44" s="1"/>
  <c r="E50" i="46"/>
  <c r="H50" i="46" s="1"/>
  <c r="E50" i="45"/>
  <c r="H50" i="45" s="1"/>
  <c r="D124" i="55"/>
  <c r="H124" i="55" s="1"/>
  <c r="D124" i="51"/>
  <c r="H124" i="51" s="1"/>
  <c r="D124" i="56"/>
  <c r="H124" i="56" s="1"/>
  <c r="D124" i="53"/>
  <c r="H124" i="53" s="1"/>
  <c r="D124" i="52"/>
  <c r="H124" i="52" s="1"/>
  <c r="D124" i="48"/>
  <c r="H124" i="48" s="1"/>
  <c r="D124" i="46"/>
  <c r="H124" i="46" s="1"/>
  <c r="D124" i="44"/>
  <c r="H124" i="44" s="1"/>
  <c r="D124" i="57"/>
  <c r="H124" i="57" s="1"/>
  <c r="D124" i="49"/>
  <c r="H124" i="49" s="1"/>
  <c r="D124" i="45"/>
  <c r="H124" i="45" s="1"/>
  <c r="D124" i="38"/>
  <c r="H124" i="38" s="1"/>
  <c r="D124" i="47"/>
  <c r="H124" i="47" s="1"/>
  <c r="D124" i="50"/>
  <c r="H124" i="50" s="1"/>
  <c r="E103" i="57"/>
  <c r="H103" i="57" s="1"/>
  <c r="E103" i="56"/>
  <c r="H103" i="56" s="1"/>
  <c r="E103" i="49"/>
  <c r="H103" i="49" s="1"/>
  <c r="E103" i="47"/>
  <c r="H103" i="47" s="1"/>
  <c r="E103" i="51"/>
  <c r="H103" i="51" s="1"/>
  <c r="E103" i="50"/>
  <c r="H103" i="50" s="1"/>
  <c r="E103" i="52"/>
  <c r="H103" i="52" s="1"/>
  <c r="E103" i="55"/>
  <c r="H103" i="55" s="1"/>
  <c r="E103" i="46"/>
  <c r="H103" i="46" s="1"/>
  <c r="E103" i="48"/>
  <c r="H103" i="48" s="1"/>
  <c r="E103" i="45"/>
  <c r="H103" i="45" s="1"/>
  <c r="E103" i="38"/>
  <c r="H103" i="38" s="1"/>
  <c r="E103" i="53"/>
  <c r="H103" i="53" s="1"/>
  <c r="E103" i="44"/>
  <c r="H103" i="44" s="1"/>
  <c r="H67" i="54"/>
  <c r="H66" i="54"/>
  <c r="H68" i="54"/>
  <c r="H69" i="54"/>
  <c r="D129" i="52"/>
  <c r="H129" i="52" s="1"/>
  <c r="D129" i="55"/>
  <c r="H129" i="55" s="1"/>
  <c r="D129" i="56"/>
  <c r="H129" i="56" s="1"/>
  <c r="D129" i="53"/>
  <c r="H129" i="53" s="1"/>
  <c r="D129" i="57"/>
  <c r="H129" i="57" s="1"/>
  <c r="D129" i="50"/>
  <c r="H129" i="50" s="1"/>
  <c r="D129" i="49"/>
  <c r="H129" i="49" s="1"/>
  <c r="D129" i="47"/>
  <c r="H129" i="47" s="1"/>
  <c r="D129" i="45"/>
  <c r="H129" i="45" s="1"/>
  <c r="D129" i="51"/>
  <c r="H129" i="51" s="1"/>
  <c r="D129" i="48"/>
  <c r="H129" i="48" s="1"/>
  <c r="D129" i="46"/>
  <c r="H129" i="46" s="1"/>
  <c r="D129" i="44"/>
  <c r="H129" i="44" s="1"/>
  <c r="D129" i="38"/>
  <c r="H129" i="38" s="1"/>
  <c r="E105" i="56"/>
  <c r="H105" i="56" s="1"/>
  <c r="E105" i="55"/>
  <c r="H105" i="55" s="1"/>
  <c r="E105" i="53"/>
  <c r="H105" i="53" s="1"/>
  <c r="E105" i="52"/>
  <c r="H105" i="52" s="1"/>
  <c r="E105" i="49"/>
  <c r="H105" i="49" s="1"/>
  <c r="E105" i="48"/>
  <c r="H105" i="48" s="1"/>
  <c r="E105" i="57"/>
  <c r="H105" i="57" s="1"/>
  <c r="E105" i="50"/>
  <c r="H105" i="50" s="1"/>
  <c r="E105" i="45"/>
  <c r="H105" i="45" s="1"/>
  <c r="E105" i="38"/>
  <c r="H105" i="38" s="1"/>
  <c r="E105" i="51"/>
  <c r="H105" i="51" s="1"/>
  <c r="E105" i="44"/>
  <c r="H105" i="44" s="1"/>
  <c r="E105" i="46"/>
  <c r="H105" i="46" s="1"/>
  <c r="E105" i="47"/>
  <c r="H105" i="47" s="1"/>
  <c r="E91" i="57"/>
  <c r="H91" i="57" s="1"/>
  <c r="E91" i="53"/>
  <c r="H91" i="53" s="1"/>
  <c r="E91" i="55"/>
  <c r="H91" i="55" s="1"/>
  <c r="E91" i="48"/>
  <c r="H91" i="48" s="1"/>
  <c r="E91" i="51"/>
  <c r="H91" i="51" s="1"/>
  <c r="E91" i="49"/>
  <c r="H91" i="49" s="1"/>
  <c r="E91" i="56"/>
  <c r="H91" i="56" s="1"/>
  <c r="E91" i="46"/>
  <c r="H91" i="46" s="1"/>
  <c r="E91" i="50"/>
  <c r="H91" i="50" s="1"/>
  <c r="E91" i="38"/>
  <c r="H91" i="38" s="1"/>
  <c r="E91" i="52"/>
  <c r="H91" i="52" s="1"/>
  <c r="E91" i="45"/>
  <c r="H91" i="45" s="1"/>
  <c r="E91" i="44"/>
  <c r="H91" i="44" s="1"/>
  <c r="E91" i="47"/>
  <c r="H91" i="47" s="1"/>
  <c r="E46" i="55"/>
  <c r="H46" i="55" s="1"/>
  <c r="E46" i="48"/>
  <c r="H46" i="48" s="1"/>
  <c r="E46" i="57"/>
  <c r="H46" i="57" s="1"/>
  <c r="E46" i="52"/>
  <c r="H46" i="52" s="1"/>
  <c r="E46" i="49"/>
  <c r="H46" i="49" s="1"/>
  <c r="E46" i="53"/>
  <c r="H46" i="53" s="1"/>
  <c r="E46" i="51"/>
  <c r="H46" i="51" s="1"/>
  <c r="E46" i="56"/>
  <c r="H46" i="56" s="1"/>
  <c r="E46" i="44"/>
  <c r="H46" i="44" s="1"/>
  <c r="E46" i="47"/>
  <c r="H46" i="47" s="1"/>
  <c r="E46" i="46"/>
  <c r="H46" i="46" s="1"/>
  <c r="E46" i="38"/>
  <c r="H46" i="38" s="1"/>
  <c r="E46" i="50"/>
  <c r="H46" i="50" s="1"/>
  <c r="E46" i="45"/>
  <c r="H46" i="45" s="1"/>
  <c r="E44" i="51"/>
  <c r="H44" i="51" s="1"/>
  <c r="E44" i="53"/>
  <c r="H44" i="53" s="1"/>
  <c r="E44" i="55"/>
  <c r="H44" i="55" s="1"/>
  <c r="E44" i="52"/>
  <c r="H44" i="52" s="1"/>
  <c r="E44" i="57"/>
  <c r="H44" i="57" s="1"/>
  <c r="E44" i="50"/>
  <c r="H44" i="50" s="1"/>
  <c r="E44" i="48"/>
  <c r="H44" i="48" s="1"/>
  <c r="E44" i="44"/>
  <c r="H44" i="44" s="1"/>
  <c r="E44" i="47"/>
  <c r="H44" i="47" s="1"/>
  <c r="E44" i="46"/>
  <c r="H44" i="46" s="1"/>
  <c r="E44" i="45"/>
  <c r="H44" i="45" s="1"/>
  <c r="E44" i="49"/>
  <c r="H44" i="49" s="1"/>
  <c r="E44" i="56"/>
  <c r="H44" i="56" s="1"/>
  <c r="E44" i="38"/>
  <c r="H44" i="38" s="1"/>
  <c r="D122" i="55"/>
  <c r="H122" i="55" s="1"/>
  <c r="D122" i="51"/>
  <c r="H122" i="51" s="1"/>
  <c r="D122" i="57"/>
  <c r="H122" i="57" s="1"/>
  <c r="D122" i="50"/>
  <c r="H122" i="50" s="1"/>
  <c r="D122" i="49"/>
  <c r="H122" i="49" s="1"/>
  <c r="D122" i="48"/>
  <c r="H122" i="48" s="1"/>
  <c r="D122" i="52"/>
  <c r="H122" i="52" s="1"/>
  <c r="D122" i="46"/>
  <c r="H122" i="46" s="1"/>
  <c r="D122" i="44"/>
  <c r="H122" i="44" s="1"/>
  <c r="D122" i="38"/>
  <c r="H122" i="38" s="1"/>
  <c r="D122" i="53"/>
  <c r="H122" i="53" s="1"/>
  <c r="D122" i="47"/>
  <c r="H122" i="47" s="1"/>
  <c r="D122" i="56"/>
  <c r="H122" i="56" s="1"/>
  <c r="D122" i="45"/>
  <c r="H122" i="45" s="1"/>
  <c r="E102" i="55"/>
  <c r="H102" i="55" s="1"/>
  <c r="E102" i="48"/>
  <c r="H102" i="48" s="1"/>
  <c r="E102" i="56"/>
  <c r="H102" i="56" s="1"/>
  <c r="E102" i="53"/>
  <c r="H102" i="53" s="1"/>
  <c r="E102" i="51"/>
  <c r="H102" i="51" s="1"/>
  <c r="E102" i="49"/>
  <c r="H102" i="49" s="1"/>
  <c r="E102" i="57"/>
  <c r="H102" i="57" s="1"/>
  <c r="E102" i="52"/>
  <c r="H102" i="52" s="1"/>
  <c r="E102" i="46"/>
  <c r="H102" i="46" s="1"/>
  <c r="E102" i="44"/>
  <c r="H102" i="44" s="1"/>
  <c r="E102" i="50"/>
  <c r="H102" i="50" s="1"/>
  <c r="E102" i="45"/>
  <c r="H102" i="45" s="1"/>
  <c r="E102" i="38"/>
  <c r="H102" i="38" s="1"/>
  <c r="E102" i="47"/>
  <c r="H102" i="47" s="1"/>
  <c r="H115" i="54"/>
  <c r="H197" i="45"/>
  <c r="H220" i="45" s="1"/>
  <c r="F4" i="45" s="1"/>
  <c r="H197" i="53"/>
  <c r="E32" i="52"/>
  <c r="H32" i="52" s="1"/>
  <c r="E32" i="57"/>
  <c r="H32" i="57" s="1"/>
  <c r="E32" i="48"/>
  <c r="H32" i="48" s="1"/>
  <c r="E32" i="49"/>
  <c r="H32" i="49" s="1"/>
  <c r="E32" i="56"/>
  <c r="H32" i="56" s="1"/>
  <c r="E32" i="47"/>
  <c r="H32" i="47" s="1"/>
  <c r="E32" i="45"/>
  <c r="H32" i="45" s="1"/>
  <c r="E32" i="55"/>
  <c r="H32" i="55" s="1"/>
  <c r="E32" i="51"/>
  <c r="H32" i="51" s="1"/>
  <c r="E32" i="46"/>
  <c r="H32" i="46" s="1"/>
  <c r="E32" i="38"/>
  <c r="H32" i="38" s="1"/>
  <c r="E32" i="53"/>
  <c r="H32" i="53" s="1"/>
  <c r="E32" i="50"/>
  <c r="H32" i="50" s="1"/>
  <c r="E32" i="44"/>
  <c r="H32" i="44" s="1"/>
  <c r="E35" i="51"/>
  <c r="E35" i="55"/>
  <c r="E35" i="53"/>
  <c r="E35" i="56"/>
  <c r="E35" i="57"/>
  <c r="E35" i="52"/>
  <c r="E35" i="50"/>
  <c r="E35" i="48"/>
  <c r="E35" i="38"/>
  <c r="E35" i="47"/>
  <c r="E35" i="45"/>
  <c r="E35" i="46"/>
  <c r="E35" i="44"/>
  <c r="E35" i="49"/>
  <c r="D134" i="55"/>
  <c r="H134" i="55" s="1"/>
  <c r="D134" i="51"/>
  <c r="H134" i="51" s="1"/>
  <c r="D134" i="56"/>
  <c r="H134" i="56" s="1"/>
  <c r="D133" i="55"/>
  <c r="H133" i="55" s="1"/>
  <c r="D133" i="51"/>
  <c r="H133" i="51" s="1"/>
  <c r="D133" i="47"/>
  <c r="H133" i="47" s="1"/>
  <c r="D133" i="56"/>
  <c r="H133" i="56" s="1"/>
  <c r="D134" i="53"/>
  <c r="H134" i="53" s="1"/>
  <c r="D133" i="57"/>
  <c r="H133" i="57" s="1"/>
  <c r="D134" i="52"/>
  <c r="H134" i="52" s="1"/>
  <c r="D133" i="48"/>
  <c r="H133" i="48" s="1"/>
  <c r="D133" i="52"/>
  <c r="H133" i="52" s="1"/>
  <c r="D134" i="50"/>
  <c r="H134" i="50" s="1"/>
  <c r="D134" i="46"/>
  <c r="H134" i="46" s="1"/>
  <c r="D134" i="44"/>
  <c r="H134" i="44" s="1"/>
  <c r="D133" i="44"/>
  <c r="H133" i="44" s="1"/>
  <c r="D133" i="50"/>
  <c r="H133" i="50" s="1"/>
  <c r="D133" i="46"/>
  <c r="H133" i="46" s="1"/>
  <c r="D134" i="48"/>
  <c r="H134" i="48" s="1"/>
  <c r="D134" i="49"/>
  <c r="H134" i="49" s="1"/>
  <c r="D133" i="49"/>
  <c r="H133" i="49" s="1"/>
  <c r="D134" i="57"/>
  <c r="H134" i="57" s="1"/>
  <c r="D133" i="45"/>
  <c r="H133" i="45" s="1"/>
  <c r="D134" i="38"/>
  <c r="H134" i="38" s="1"/>
  <c r="D134" i="45"/>
  <c r="H134" i="45" s="1"/>
  <c r="D133" i="53"/>
  <c r="H133" i="53" s="1"/>
  <c r="D133" i="38"/>
  <c r="H133" i="38" s="1"/>
  <c r="D134" i="47"/>
  <c r="H134" i="47" s="1"/>
  <c r="E109" i="51"/>
  <c r="H109" i="51" s="1"/>
  <c r="E109" i="56"/>
  <c r="H109" i="56" s="1"/>
  <c r="E109" i="55"/>
  <c r="H109" i="55" s="1"/>
  <c r="E109" i="57"/>
  <c r="H109" i="57" s="1"/>
  <c r="E109" i="53"/>
  <c r="H109" i="53" s="1"/>
  <c r="E109" i="52"/>
  <c r="H109" i="52" s="1"/>
  <c r="E109" i="48"/>
  <c r="H109" i="48" s="1"/>
  <c r="E109" i="50"/>
  <c r="H109" i="50" s="1"/>
  <c r="E109" i="49"/>
  <c r="H109" i="49" s="1"/>
  <c r="E109" i="44"/>
  <c r="H109" i="44" s="1"/>
  <c r="E109" i="47"/>
  <c r="H109" i="47" s="1"/>
  <c r="E109" i="46"/>
  <c r="H109" i="46" s="1"/>
  <c r="E109" i="38"/>
  <c r="H109" i="38" s="1"/>
  <c r="E109" i="45"/>
  <c r="H109" i="45" s="1"/>
  <c r="E95" i="52"/>
  <c r="H95" i="52" s="1"/>
  <c r="E95" i="55"/>
  <c r="H95" i="55" s="1"/>
  <c r="E95" i="47"/>
  <c r="H95" i="47" s="1"/>
  <c r="E95" i="50"/>
  <c r="H95" i="50" s="1"/>
  <c r="E95" i="57"/>
  <c r="H95" i="57" s="1"/>
  <c r="E95" i="53"/>
  <c r="H95" i="53" s="1"/>
  <c r="E95" i="44"/>
  <c r="H95" i="44" s="1"/>
  <c r="E95" i="56"/>
  <c r="H95" i="56" s="1"/>
  <c r="E95" i="49"/>
  <c r="H95" i="49" s="1"/>
  <c r="E95" i="48"/>
  <c r="H95" i="48" s="1"/>
  <c r="E95" i="51"/>
  <c r="H95" i="51" s="1"/>
  <c r="E95" i="46"/>
  <c r="H95" i="46" s="1"/>
  <c r="E95" i="45"/>
  <c r="H95" i="45" s="1"/>
  <c r="E95" i="38"/>
  <c r="H95" i="38" s="1"/>
  <c r="H197" i="48"/>
  <c r="H220" i="48" s="1"/>
  <c r="F4" i="48" s="1"/>
  <c r="H197" i="57"/>
  <c r="H220" i="57" s="1"/>
  <c r="F4" i="57" s="1"/>
  <c r="D120" i="57"/>
  <c r="H120" i="57" s="1"/>
  <c r="D120" i="48"/>
  <c r="H120" i="48" s="1"/>
  <c r="D120" i="52"/>
  <c r="H120" i="52" s="1"/>
  <c r="D120" i="55"/>
  <c r="H120" i="55" s="1"/>
  <c r="D120" i="51"/>
  <c r="H120" i="51" s="1"/>
  <c r="D120" i="47"/>
  <c r="H120" i="47" s="1"/>
  <c r="D120" i="56"/>
  <c r="H120" i="56" s="1"/>
  <c r="D120" i="53"/>
  <c r="H120" i="53" s="1"/>
  <c r="D120" i="46"/>
  <c r="H120" i="46" s="1"/>
  <c r="D120" i="50"/>
  <c r="H120" i="50" s="1"/>
  <c r="D120" i="45"/>
  <c r="H120" i="45" s="1"/>
  <c r="D120" i="49"/>
  <c r="H120" i="49" s="1"/>
  <c r="D120" i="44"/>
  <c r="H120" i="44" s="1"/>
  <c r="D120" i="38"/>
  <c r="H120" i="38" s="1"/>
  <c r="H56" i="54"/>
  <c r="E34" i="51"/>
  <c r="H34" i="51" s="1"/>
  <c r="E34" i="55"/>
  <c r="H34" i="55" s="1"/>
  <c r="E34" i="50"/>
  <c r="H34" i="50" s="1"/>
  <c r="E34" i="49"/>
  <c r="H34" i="49" s="1"/>
  <c r="E34" i="56"/>
  <c r="H34" i="56" s="1"/>
  <c r="E34" i="57"/>
  <c r="H34" i="57" s="1"/>
  <c r="E34" i="52"/>
  <c r="H34" i="52" s="1"/>
  <c r="E34" i="48"/>
  <c r="H34" i="48" s="1"/>
  <c r="E34" i="53"/>
  <c r="H34" i="53" s="1"/>
  <c r="E34" i="47"/>
  <c r="H34" i="47" s="1"/>
  <c r="E34" i="45"/>
  <c r="H34" i="45" s="1"/>
  <c r="E34" i="44"/>
  <c r="H34" i="44" s="1"/>
  <c r="E34" i="46"/>
  <c r="H34" i="46" s="1"/>
  <c r="E34" i="38"/>
  <c r="H34" i="38" s="1"/>
  <c r="D126" i="53"/>
  <c r="H126" i="53" s="1"/>
  <c r="D126" i="57"/>
  <c r="H126" i="57" s="1"/>
  <c r="D126" i="50"/>
  <c r="H126" i="50" s="1"/>
  <c r="D126" i="49"/>
  <c r="H126" i="49" s="1"/>
  <c r="D126" i="55"/>
  <c r="H126" i="55" s="1"/>
  <c r="D126" i="51"/>
  <c r="H126" i="51" s="1"/>
  <c r="D126" i="56"/>
  <c r="H126" i="56" s="1"/>
  <c r="D126" i="52"/>
  <c r="H126" i="52" s="1"/>
  <c r="D126" i="47"/>
  <c r="H126" i="47" s="1"/>
  <c r="D126" i="38"/>
  <c r="H126" i="38" s="1"/>
  <c r="D126" i="45"/>
  <c r="H126" i="45" s="1"/>
  <c r="D126" i="48"/>
  <c r="H126" i="48" s="1"/>
  <c r="D126" i="46"/>
  <c r="H126" i="46" s="1"/>
  <c r="D126" i="44"/>
  <c r="H126" i="44" s="1"/>
  <c r="E104" i="57"/>
  <c r="H104" i="57" s="1"/>
  <c r="E104" i="55"/>
  <c r="H104" i="55" s="1"/>
  <c r="E104" i="56"/>
  <c r="H104" i="56" s="1"/>
  <c r="E104" i="52"/>
  <c r="H104" i="52" s="1"/>
  <c r="E104" i="50"/>
  <c r="H104" i="50" s="1"/>
  <c r="E104" i="48"/>
  <c r="H104" i="48" s="1"/>
  <c r="E104" i="45"/>
  <c r="H104" i="45" s="1"/>
  <c r="E104" i="38"/>
  <c r="H104" i="38" s="1"/>
  <c r="E104" i="51"/>
  <c r="H104" i="51" s="1"/>
  <c r="E104" i="44"/>
  <c r="H104" i="44" s="1"/>
  <c r="E104" i="53"/>
  <c r="H104" i="53" s="1"/>
  <c r="E104" i="47"/>
  <c r="H104" i="47" s="1"/>
  <c r="E104" i="46"/>
  <c r="H104" i="46" s="1"/>
  <c r="E104" i="49"/>
  <c r="H104" i="49" s="1"/>
  <c r="D134" i="54"/>
  <c r="H134" i="54" s="1"/>
  <c r="D133" i="54"/>
  <c r="H133" i="54" s="1"/>
  <c r="H197" i="50"/>
  <c r="H220" i="50" s="1"/>
  <c r="F4" i="50" s="1"/>
  <c r="H108" i="38"/>
  <c r="H45" i="38"/>
  <c r="H56" i="51" l="1"/>
  <c r="H138" i="53"/>
  <c r="H138" i="54"/>
  <c r="H138" i="50"/>
  <c r="H138" i="48"/>
  <c r="H220" i="53"/>
  <c r="H115" i="50"/>
  <c r="H115" i="57"/>
  <c r="H183" i="57" s="1"/>
  <c r="E4" i="57" s="1"/>
  <c r="H67" i="44"/>
  <c r="H68" i="44"/>
  <c r="H69" i="44"/>
  <c r="H66" i="44"/>
  <c r="H56" i="44"/>
  <c r="H67" i="57"/>
  <c r="H66" i="57"/>
  <c r="H69" i="57"/>
  <c r="H68" i="57"/>
  <c r="H56" i="57"/>
  <c r="H138" i="46"/>
  <c r="H138" i="57"/>
  <c r="H115" i="46"/>
  <c r="H69" i="49"/>
  <c r="H66" i="49"/>
  <c r="H68" i="49"/>
  <c r="H56" i="49"/>
  <c r="H67" i="49"/>
  <c r="H69" i="56"/>
  <c r="H67" i="56"/>
  <c r="H66" i="56"/>
  <c r="H68" i="56"/>
  <c r="H56" i="56"/>
  <c r="H67" i="52"/>
  <c r="H56" i="52"/>
  <c r="H68" i="52"/>
  <c r="H66" i="52"/>
  <c r="H69" i="52"/>
  <c r="H115" i="47"/>
  <c r="H115" i="49"/>
  <c r="H69" i="48"/>
  <c r="H56" i="48"/>
  <c r="H68" i="48"/>
  <c r="H67" i="48"/>
  <c r="H66" i="48"/>
  <c r="H138" i="56"/>
  <c r="H138" i="47"/>
  <c r="H115" i="44"/>
  <c r="E4" i="44" s="1"/>
  <c r="H115" i="51"/>
  <c r="H67" i="51"/>
  <c r="H66" i="51"/>
  <c r="H69" i="51"/>
  <c r="H68" i="51"/>
  <c r="H138" i="44"/>
  <c r="H138" i="51"/>
  <c r="H115" i="45"/>
  <c r="H115" i="48"/>
  <c r="H69" i="47"/>
  <c r="H66" i="47"/>
  <c r="H68" i="47"/>
  <c r="H67" i="47"/>
  <c r="H56" i="47"/>
  <c r="H68" i="50"/>
  <c r="H69" i="50"/>
  <c r="H67" i="50"/>
  <c r="H66" i="50"/>
  <c r="H82" i="50" s="1"/>
  <c r="H56" i="50"/>
  <c r="H138" i="49"/>
  <c r="H138" i="55"/>
  <c r="H115" i="52"/>
  <c r="H183" i="52" s="1"/>
  <c r="E4" i="52" s="1"/>
  <c r="H115" i="55"/>
  <c r="H66" i="45"/>
  <c r="H68" i="45"/>
  <c r="H69" i="45"/>
  <c r="H56" i="45"/>
  <c r="H67" i="45"/>
  <c r="H66" i="53"/>
  <c r="H68" i="53"/>
  <c r="H69" i="53"/>
  <c r="H67" i="53"/>
  <c r="H56" i="53"/>
  <c r="H183" i="54"/>
  <c r="H115" i="56"/>
  <c r="H138" i="45"/>
  <c r="H138" i="52"/>
  <c r="H115" i="53"/>
  <c r="H82" i="54"/>
  <c r="H84" i="54" s="1"/>
  <c r="D4" i="54" s="1"/>
  <c r="H67" i="46"/>
  <c r="H66" i="46"/>
  <c r="H68" i="46"/>
  <c r="H69" i="46"/>
  <c r="H56" i="46"/>
  <c r="H66" i="55"/>
  <c r="H69" i="55"/>
  <c r="H56" i="55"/>
  <c r="H67" i="55"/>
  <c r="H68" i="55"/>
  <c r="H67" i="38"/>
  <c r="H69" i="38"/>
  <c r="H68" i="38"/>
  <c r="H66" i="38"/>
  <c r="H115" i="38"/>
  <c r="H138" i="38"/>
  <c r="H183" i="38" s="1"/>
  <c r="H236" i="38" s="1"/>
  <c r="H56" i="38"/>
  <c r="H220" i="38"/>
  <c r="B104" i="37"/>
  <c r="H183" i="46" l="1"/>
  <c r="E4" i="46" s="1"/>
  <c r="H82" i="46"/>
  <c r="H84" i="46" s="1"/>
  <c r="D4" i="46" s="1"/>
  <c r="H183" i="45"/>
  <c r="E4" i="45" s="1"/>
  <c r="H183" i="49"/>
  <c r="E4" i="49" s="1"/>
  <c r="H82" i="49"/>
  <c r="H84" i="49" s="1"/>
  <c r="H82" i="45"/>
  <c r="H84" i="45" s="1"/>
  <c r="H183" i="47"/>
  <c r="E4" i="47" s="1"/>
  <c r="H82" i="57"/>
  <c r="H84" i="57" s="1"/>
  <c r="H183" i="51"/>
  <c r="E4" i="51" s="1"/>
  <c r="H82" i="55"/>
  <c r="H84" i="55" s="1"/>
  <c r="H82" i="53"/>
  <c r="H183" i="55"/>
  <c r="E4" i="55" s="1"/>
  <c r="H183" i="56"/>
  <c r="H82" i="48"/>
  <c r="H84" i="48" s="1"/>
  <c r="H82" i="52"/>
  <c r="H84" i="52" s="1"/>
  <c r="F4" i="53"/>
  <c r="H82" i="56"/>
  <c r="H84" i="56" s="1"/>
  <c r="D4" i="56" s="1"/>
  <c r="H82" i="44"/>
  <c r="H84" i="44" s="1"/>
  <c r="H183" i="48"/>
  <c r="E4" i="48" s="1"/>
  <c r="H236" i="54"/>
  <c r="E4" i="54"/>
  <c r="H84" i="50"/>
  <c r="H82" i="47"/>
  <c r="H84" i="47" s="1"/>
  <c r="H82" i="51"/>
  <c r="H84" i="51" s="1"/>
  <c r="H183" i="53"/>
  <c r="H183" i="50"/>
  <c r="E4" i="50" s="1"/>
  <c r="F4" i="38"/>
  <c r="H82" i="38"/>
  <c r="C101" i="37"/>
  <c r="C99" i="37"/>
  <c r="C100" i="37"/>
  <c r="C102" i="37"/>
  <c r="C103" i="37"/>
  <c r="B108" i="37" l="1"/>
  <c r="H236" i="46"/>
  <c r="C108" i="37"/>
  <c r="B109" i="37"/>
  <c r="F110" i="37"/>
  <c r="H236" i="47"/>
  <c r="D4" i="47"/>
  <c r="D4" i="57"/>
  <c r="H236" i="57"/>
  <c r="H236" i="52"/>
  <c r="D4" i="52"/>
  <c r="H236" i="55"/>
  <c r="D4" i="55"/>
  <c r="H236" i="48"/>
  <c r="D4" i="48"/>
  <c r="H236" i="44"/>
  <c r="D4" i="44"/>
  <c r="D4" i="51"/>
  <c r="H236" i="51"/>
  <c r="H84" i="53"/>
  <c r="H236" i="56"/>
  <c r="E4" i="56"/>
  <c r="H236" i="45"/>
  <c r="D4" i="45"/>
  <c r="H4" i="54"/>
  <c r="F100" i="37"/>
  <c r="E4" i="53"/>
  <c r="F109" i="37"/>
  <c r="H236" i="49"/>
  <c r="D4" i="49"/>
  <c r="B111" i="37"/>
  <c r="E111" i="37" s="1"/>
  <c r="C110" i="37"/>
  <c r="C109" i="37"/>
  <c r="B110" i="37"/>
  <c r="F80" i="37"/>
  <c r="H4" i="46"/>
  <c r="D4" i="50"/>
  <c r="H236" i="50"/>
  <c r="E4" i="38"/>
  <c r="H84" i="38"/>
  <c r="C104" i="37"/>
  <c r="B87" i="37"/>
  <c r="C77" i="37" s="1"/>
  <c r="F102" i="37" l="1"/>
  <c r="G102" i="37" s="1"/>
  <c r="H4" i="56"/>
  <c r="F108" i="37"/>
  <c r="H236" i="53"/>
  <c r="D4" i="53"/>
  <c r="F101" i="37"/>
  <c r="G101" i="37" s="1"/>
  <c r="H4" i="55"/>
  <c r="H4" i="51"/>
  <c r="F85" i="37"/>
  <c r="H4" i="52"/>
  <c r="F86" i="37"/>
  <c r="F83" i="37"/>
  <c r="H4" i="49"/>
  <c r="H4" i="57"/>
  <c r="F103" i="37"/>
  <c r="G103" i="37" s="1"/>
  <c r="F78" i="37"/>
  <c r="H4" i="44"/>
  <c r="F79" i="37"/>
  <c r="H4" i="45"/>
  <c r="F84" i="37"/>
  <c r="H4" i="50"/>
  <c r="F82" i="37"/>
  <c r="H4" i="48"/>
  <c r="F81" i="37"/>
  <c r="H4" i="47"/>
  <c r="G100" i="37"/>
  <c r="D4" i="38"/>
  <c r="E108" i="37"/>
  <c r="E110" i="37"/>
  <c r="E109" i="37"/>
  <c r="C81" i="37"/>
  <c r="C80" i="37"/>
  <c r="C79" i="37"/>
  <c r="C78" i="37"/>
  <c r="C86" i="37"/>
  <c r="C84" i="37"/>
  <c r="C82" i="37"/>
  <c r="F111" i="37" l="1"/>
  <c r="F99" i="37"/>
  <c r="G99" i="37" s="1"/>
  <c r="G104" i="37" s="1"/>
  <c r="G105" i="37" s="1"/>
  <c r="H4" i="53"/>
  <c r="F77" i="37"/>
  <c r="H4" i="38"/>
  <c r="G82" i="37"/>
  <c r="D87" i="37"/>
  <c r="E81" i="37" l="1"/>
  <c r="E77" i="37"/>
  <c r="E80" i="37"/>
  <c r="E79" i="37"/>
  <c r="E83" i="37"/>
  <c r="E82" i="37"/>
  <c r="E84" i="37"/>
  <c r="E86" i="37"/>
  <c r="E78" i="37"/>
  <c r="E85" i="37"/>
  <c r="B117" i="37" l="1"/>
  <c r="E87" i="37"/>
  <c r="G77" i="37"/>
  <c r="D104" i="37"/>
  <c r="E99" i="37" s="1"/>
  <c r="E103" i="37" l="1"/>
  <c r="E101" i="37"/>
  <c r="E102" i="37"/>
  <c r="E100" i="37"/>
  <c r="E64" i="37"/>
  <c r="C64" i="37"/>
  <c r="E104" i="37" l="1"/>
  <c r="C65" i="37"/>
  <c r="G88" i="37" s="1"/>
  <c r="G84" i="37" l="1"/>
  <c r="G80" i="37"/>
  <c r="C85" i="37"/>
  <c r="G85" i="37" s="1"/>
  <c r="C83" i="37"/>
  <c r="B120" i="37" s="1"/>
  <c r="G81" i="37"/>
  <c r="G79" i="37"/>
  <c r="G86" i="37"/>
  <c r="G78" i="37"/>
  <c r="B116" i="37" l="1"/>
  <c r="F116" i="37" s="1"/>
  <c r="B122" i="37"/>
  <c r="B124" i="37"/>
  <c r="B123" i="37"/>
  <c r="B93" i="37"/>
  <c r="B92" i="37"/>
  <c r="F93" i="37"/>
  <c r="F91" i="37"/>
  <c r="F94" i="37"/>
  <c r="B91" i="37"/>
  <c r="B94" i="37"/>
  <c r="E94" i="37" s="1"/>
  <c r="C92" i="37"/>
  <c r="C91" i="37"/>
  <c r="C93" i="37"/>
  <c r="F92" i="37"/>
  <c r="G83" i="37"/>
  <c r="G87" i="37" s="1"/>
  <c r="C87" i="37"/>
  <c r="E93" i="37" l="1"/>
  <c r="E91" i="37"/>
  <c r="E92" i="37"/>
  <c r="F117" i="37"/>
</calcChain>
</file>

<file path=xl/sharedStrings.xml><?xml version="1.0" encoding="utf-8"?>
<sst xmlns="http://schemas.openxmlformats.org/spreadsheetml/2006/main" count="6859" uniqueCount="601">
  <si>
    <t>Description</t>
  </si>
  <si>
    <t>Percentage of coverage</t>
  </si>
  <si>
    <t>Area</t>
  </si>
  <si>
    <t>Length</t>
  </si>
  <si>
    <t>Unit</t>
  </si>
  <si>
    <t>e.g. MET, bare precast concrete</t>
  </si>
  <si>
    <t>Total C1</t>
  </si>
  <si>
    <t>Total C2</t>
  </si>
  <si>
    <t>Category</t>
  </si>
  <si>
    <t>Struct</t>
  </si>
  <si>
    <t>Arch</t>
  </si>
  <si>
    <t>M&amp;E</t>
  </si>
  <si>
    <t>Bonus</t>
  </si>
  <si>
    <t>(Innovation)</t>
  </si>
  <si>
    <t>Residential (Landed)</t>
  </si>
  <si>
    <t>Industrial</t>
  </si>
  <si>
    <t>Commercial</t>
  </si>
  <si>
    <t>Max allocated points (a)</t>
  </si>
  <si>
    <t>% of area (b)</t>
  </si>
  <si>
    <t>Total</t>
  </si>
  <si>
    <t>% of length (b)</t>
  </si>
  <si>
    <t>% of coverage</t>
  </si>
  <si>
    <t>Total (Average)</t>
  </si>
  <si>
    <t>Streamline Manpower</t>
  </si>
  <si>
    <t>Project Reference No.:</t>
  </si>
  <si>
    <t>Description of building works</t>
  </si>
  <si>
    <t>Location Description</t>
  </si>
  <si>
    <t>New Work</t>
  </si>
  <si>
    <t>Work within existing building</t>
  </si>
  <si>
    <t>Sub GFA</t>
  </si>
  <si>
    <t>Total GFA</t>
  </si>
  <si>
    <t>Please indicate one of the followings (this is a compulsory field):</t>
  </si>
  <si>
    <t>PART I: PROJECT DETAILS</t>
  </si>
  <si>
    <t>m²</t>
  </si>
  <si>
    <t>PART II: BUILDABLE DESIGN SCORE SUMMARY SHEET FOR SUPERSTRUCTURE</t>
  </si>
  <si>
    <t>Block No. / Name</t>
  </si>
  <si>
    <t>TOTAL</t>
  </si>
  <si>
    <t>Prefabrication Level (%)</t>
  </si>
  <si>
    <t>(a) Structural System</t>
  </si>
  <si>
    <t>(b) Wall System</t>
  </si>
  <si>
    <t>Constructed Floor Area (m²)</t>
  </si>
  <si>
    <t>Select Category</t>
  </si>
  <si>
    <t>points</t>
  </si>
  <si>
    <t>Maximum</t>
  </si>
  <si>
    <t>A. STRUCTURAL SYSTEM</t>
  </si>
  <si>
    <t>Private Residential (Non-Landed)</t>
  </si>
  <si>
    <t>Column1</t>
  </si>
  <si>
    <t>Column2</t>
  </si>
  <si>
    <t>Column3</t>
  </si>
  <si>
    <t>Column4</t>
  </si>
  <si>
    <t>-</t>
  </si>
  <si>
    <t>Nos.</t>
  </si>
  <si>
    <t>B. ARCHITECTURAL SYSTEM</t>
  </si>
  <si>
    <t>B-Score
(a) x (b)</t>
  </si>
  <si>
    <t>Buildable Design Score (c)</t>
  </si>
  <si>
    <t>Percentage of Floor Area % (b)</t>
  </si>
  <si>
    <t>See Table A</t>
  </si>
  <si>
    <t>See Table B</t>
  </si>
  <si>
    <t>Total height of all voids (m)</t>
  </si>
  <si>
    <t>Total height of building (m)</t>
  </si>
  <si>
    <t>Scenario based on Max Offset (m) OR % of Offset floors in Table B</t>
  </si>
  <si>
    <t>Total A1 + A2</t>
  </si>
  <si>
    <t>Total B1 + B2</t>
  </si>
  <si>
    <t>B-Score</t>
  </si>
  <si>
    <t>C. MEP SYSTEM</t>
  </si>
  <si>
    <t>≥ 65% to &lt;80%</t>
  </si>
  <si>
    <t>≥ 80%</t>
  </si>
  <si>
    <t>≥40 Repetitions</t>
  </si>
  <si>
    <t>&lt;40 Repetitions</t>
  </si>
  <si>
    <t>Total B-Score (A + B + C + D) (out of 120 points)</t>
  </si>
  <si>
    <t>Points</t>
  </si>
  <si>
    <t>For mixed development and A&amp;A project, please indicate the GFA for each category and type of work, where applicable.</t>
  </si>
  <si>
    <t>Scenario</t>
  </si>
  <si>
    <t>Nil</t>
  </si>
  <si>
    <t>Max Offset</t>
  </si>
  <si>
    <t>% of Offset Floors</t>
  </si>
  <si>
    <t>&lt; 15</t>
  </si>
  <si>
    <t>&lt; 45</t>
  </si>
  <si>
    <t>&lt; 90</t>
  </si>
  <si>
    <t>&lt; 135</t>
  </si>
  <si>
    <t>&gt;= 135</t>
  </si>
  <si>
    <t>Wall Length (m)</t>
  </si>
  <si>
    <t>Percentage of Wall Length %</t>
  </si>
  <si>
    <t>Apportionate Buildable Design Score 
(b) x (c)</t>
  </si>
  <si>
    <t>(a) PPVC</t>
  </si>
  <si>
    <t>(b) MET</t>
  </si>
  <si>
    <t>(d) APCS</t>
  </si>
  <si>
    <t>(e) MEP System</t>
  </si>
  <si>
    <t>(c) Structural Steel</t>
  </si>
  <si>
    <t>PART III: BUILDABLE DESIGN SCORE SUMMARY SHEET FOR BASEMENT</t>
  </si>
  <si>
    <t>PART V: COMPUTATION OF BUILDABLE DESIGN SCORE</t>
  </si>
  <si>
    <t>Category (Please Select)</t>
  </si>
  <si>
    <t>Qualified Person for Architectural Works</t>
  </si>
  <si>
    <t>QP Name</t>
  </si>
  <si>
    <t>Firm Name</t>
  </si>
  <si>
    <t>Firm Address</t>
  </si>
  <si>
    <t>Date (DD/MM/YYYY)</t>
  </si>
  <si>
    <t>Tel No.</t>
  </si>
  <si>
    <t>Email</t>
  </si>
  <si>
    <t>Qualified Person for Structural Works</t>
  </si>
  <si>
    <t>Structural System</t>
  </si>
  <si>
    <t>Architectural System</t>
  </si>
  <si>
    <t>MEP System</t>
  </si>
  <si>
    <t>Apportionate Buildable Design Score</t>
  </si>
  <si>
    <t>Total Apportionate Buildable Design Score</t>
  </si>
  <si>
    <t>Innovation</t>
  </si>
  <si>
    <t>UEN No.</t>
  </si>
  <si>
    <t>Please select the relevant category of development and enter the corresponding GFA</t>
  </si>
  <si>
    <t>Note: New work includes extension / addition outside existing building</t>
  </si>
  <si>
    <t>Prefabricated
Area (m2)</t>
  </si>
  <si>
    <t>Total C3</t>
  </si>
  <si>
    <t>Total for MEP system (C = C1 + C2 + C3)</t>
  </si>
  <si>
    <t>System</t>
  </si>
  <si>
    <t>Capped Total</t>
  </si>
  <si>
    <t>Constructed Floor Area (m2)</t>
  </si>
  <si>
    <t>e.g. High-strength / lightweight materials - high strength steel reinforcement</t>
  </si>
  <si>
    <t>Simplicity &amp; Modularization</t>
  </si>
  <si>
    <t>Coverage (%)</t>
  </si>
  <si>
    <t>≥65% to &lt;80%</t>
  </si>
  <si>
    <t>≥80%</t>
  </si>
  <si>
    <t>e.g. To state system</t>
  </si>
  <si>
    <t>&lt;30%</t>
  </si>
  <si>
    <t>≥ 30%</t>
  </si>
  <si>
    <t>e.g. Prefabricated organic components - precast wavy façade</t>
  </si>
  <si>
    <t>e.g. Prefabricated Kitchen Unit (PKU) or Prefabricated Common Toilet (PCT)</t>
  </si>
  <si>
    <t>Total Qualifying Area (m2)</t>
  </si>
  <si>
    <t>PRE-REQUISITES</t>
  </si>
  <si>
    <t>For Residential Non-Landed (RNL) Projects</t>
  </si>
  <si>
    <r>
      <t xml:space="preserve">For </t>
    </r>
    <r>
      <rPr>
        <b/>
        <u/>
        <sz val="12"/>
        <color theme="1"/>
        <rFont val="Arial"/>
        <family val="2"/>
      </rPr>
      <t xml:space="preserve">All </t>
    </r>
    <r>
      <rPr>
        <b/>
        <sz val="12"/>
        <color theme="1"/>
        <rFont val="Arial"/>
        <family val="2"/>
      </rPr>
      <t>Projects</t>
    </r>
  </si>
  <si>
    <t>Total for structural system (A = A1 + A2 + A3 + A4 + A5 + A6)</t>
  </si>
  <si>
    <t>Denominator</t>
  </si>
  <si>
    <t>All column / wall / façade wall / HHS / refuse chute / bathrooms (Nos.)</t>
  </si>
  <si>
    <t>All columns / walls (Nos.)</t>
  </si>
  <si>
    <t>All beams / column - beam junctions (Nos.)</t>
  </si>
  <si>
    <t>All non-structural walls (Nos.)</t>
  </si>
  <si>
    <t>All parapet walls / staircase (Nos.)</t>
  </si>
  <si>
    <t>Total floor area of block (m2)</t>
  </si>
  <si>
    <t>D. INNOVATIONS AND OTHERS</t>
  </si>
  <si>
    <t>Prefab components / PPVC / PBU / MEP accredited under PAS / MAS</t>
  </si>
  <si>
    <t>Total for Innovations system and others (D)</t>
  </si>
  <si>
    <t>Total B3 + B4</t>
  </si>
  <si>
    <t>Total for architectural system (B = B1 + B2 + B3 + B4 + B5 + B6 + B7)</t>
  </si>
  <si>
    <t>Total B7 (Max -4 pts)</t>
  </si>
  <si>
    <t>Structural</t>
  </si>
  <si>
    <t>Architectural</t>
  </si>
  <si>
    <t>MEP</t>
  </si>
  <si>
    <t>Pole system wardrobe / Modular kitchen cabinets</t>
  </si>
  <si>
    <t>Vertical repetition of structural floor layout</t>
  </si>
  <si>
    <t>Simplicity</t>
  </si>
  <si>
    <t>Brickwall / blockwall</t>
  </si>
  <si>
    <t>Precision blockwall</t>
  </si>
  <si>
    <t>Beam-slab system</t>
  </si>
  <si>
    <t>CIS wall</t>
  </si>
  <si>
    <t>Flat plate / Flat slab</t>
  </si>
  <si>
    <t>Cast In-situ (CIS) System</t>
  </si>
  <si>
    <t>Common M&amp;E bracket (at least 3 M&amp;E services)</t>
  </si>
  <si>
    <t>Lightweight concrete panel</t>
  </si>
  <si>
    <t>Pre-insulated mechanical piping</t>
  </si>
  <si>
    <t>Power float concrete floor</t>
  </si>
  <si>
    <t>Precast wall</t>
  </si>
  <si>
    <t>At least 1 prefabricated component</t>
  </si>
  <si>
    <t>Flexible water pipes</t>
  </si>
  <si>
    <t>Onsite dry applied finishes e.g. vinyl, raised floor, carpet, engineered stone flooring, engineered wood flooring</t>
  </si>
  <si>
    <t>Curtain wall / Full height glass partition</t>
  </si>
  <si>
    <t>Flexible sprinkler dropper</t>
  </si>
  <si>
    <t>Prefinished ceiling</t>
  </si>
  <si>
    <t>Drywall partition</t>
  </si>
  <si>
    <t>At least 2 prefabricated component</t>
  </si>
  <si>
    <t xml:space="preserve">Individual Prefabricated Components </t>
  </si>
  <si>
    <t>APCS</t>
  </si>
  <si>
    <t>Prefabricated MEP plant modules</t>
  </si>
  <si>
    <t>Precast wall off-form</t>
  </si>
  <si>
    <t>Hybrid system of SS and precast RC</t>
  </si>
  <si>
    <t>Prefabricated MEP horizontal / vertical modules</t>
  </si>
  <si>
    <t>Prefabricated and prefinished slab e.g. MET slab for sports halls</t>
  </si>
  <si>
    <t>Prefabricated and prefinished wall</t>
  </si>
  <si>
    <t>SS</t>
  </si>
  <si>
    <t>Advanced Prefabricated Systems</t>
  </si>
  <si>
    <t>Prefabricated Bathroom Unit (PBU)</t>
  </si>
  <si>
    <t>Hybrid system of MET with SS / precast RC with mechanical connections</t>
  </si>
  <si>
    <t>Prefabricated MEP modules integrated with structural / architectural system e.g. working platform, catwalk</t>
  </si>
  <si>
    <t>Prefabricated and prefinished ceiling/floor with MEP services</t>
  </si>
  <si>
    <t>Prefabricated and prefinished wall with MEP services</t>
  </si>
  <si>
    <t>MET</t>
  </si>
  <si>
    <t xml:space="preserve">Fully Integrated Sub-assemblies </t>
  </si>
  <si>
    <t>PPVC</t>
  </si>
  <si>
    <t>Fully Integrated System</t>
  </si>
  <si>
    <t>Commercial, School, Institutional and Others</t>
  </si>
  <si>
    <t>Architectural (Floor)</t>
  </si>
  <si>
    <t>Architectural (Wall)</t>
  </si>
  <si>
    <t>Buildability Matrix Point Allocation - COP 2020</t>
  </si>
  <si>
    <r>
      <t>Prefabricated and pre-insulated duct for air-conditioning system</t>
    </r>
    <r>
      <rPr>
        <b/>
        <sz val="12"/>
        <color theme="1"/>
        <rFont val="Arial"/>
        <family val="2"/>
      </rPr>
      <t xml:space="preserve"> (≥ 65%)</t>
    </r>
    <r>
      <rPr>
        <sz val="12"/>
        <color theme="1"/>
        <rFont val="Arial"/>
        <family val="2"/>
      </rPr>
      <t xml:space="preserve">
</t>
    </r>
  </si>
  <si>
    <t>3.2(a)</t>
  </si>
  <si>
    <t>3.2(b)</t>
  </si>
  <si>
    <t>3.2(d)</t>
  </si>
  <si>
    <t>3.2(f)</t>
  </si>
  <si>
    <t>4</t>
  </si>
  <si>
    <t>A2</t>
  </si>
  <si>
    <t>A1</t>
  </si>
  <si>
    <t>6.1</t>
  </si>
  <si>
    <t>6.2</t>
  </si>
  <si>
    <t>3.2(c)</t>
  </si>
  <si>
    <t>3.2(e)</t>
  </si>
  <si>
    <t>Mass Engineered Timber (MET) / Hybrid system of MET with structural steel / precast concrete</t>
  </si>
  <si>
    <t>Flat plate / flat slab</t>
  </si>
  <si>
    <t>4.1(a)</t>
  </si>
  <si>
    <t>4.1(b)</t>
  </si>
  <si>
    <t>Prefabricated &amp; prefinished wall with MEP services</t>
  </si>
  <si>
    <t>Prefabricated &amp; prefinished wall / Precast wall off-form</t>
  </si>
  <si>
    <t>Curtain wall / Full height glass partition / Prefabricated railing</t>
  </si>
  <si>
    <t>Cast in-situ wall</t>
  </si>
  <si>
    <t>Other structural system</t>
  </si>
  <si>
    <t>Cast in-situ</t>
  </si>
  <si>
    <t>Other system not listed above (Please seek BCA's advice on the points to be allocated)</t>
  </si>
  <si>
    <t>DfMA structural system</t>
  </si>
  <si>
    <t>Mechanical connection for precast column / precast wall (horizontal joints) e.g. column shoes, grouted sleeves, spiral connector</t>
  </si>
  <si>
    <t>Mechanical connection for precast beam (e.g. telescopic beam connector, grouted sleeves) / Integrated prefabricated column and beam junction (e.g. Lotus-Root system, slim floor system e.g. Deltabeam))</t>
  </si>
  <si>
    <t>Mechanical connection for precast wall (vertical joints) e.g. flexible loops</t>
  </si>
  <si>
    <t>Mechanical connection for other precast components e.g. mechanical connections for parapet walls, staircases. Staircase flight and landing slabs shall be in precast concrete</t>
  </si>
  <si>
    <t>A3</t>
  </si>
  <si>
    <t>7.3(a)</t>
  </si>
  <si>
    <t>7.3(b)</t>
  </si>
  <si>
    <t>7.3(d)</t>
  </si>
  <si>
    <t>A4</t>
  </si>
  <si>
    <t>A5</t>
  </si>
  <si>
    <t>A6</t>
  </si>
  <si>
    <r>
      <t xml:space="preserve">Mechanical connections </t>
    </r>
    <r>
      <rPr>
        <b/>
        <sz val="12"/>
        <color theme="1"/>
        <rFont val="Arial"/>
        <family val="2"/>
      </rPr>
      <t>(only if points are not claimed under Item 3.2 APCS)</t>
    </r>
  </si>
  <si>
    <t>For precast column / precast wall (horizontal joints) e.g. column shoes, grouted sleeves, spiral connector</t>
  </si>
  <si>
    <t>For precast beam (e.g. telescopic beam connector, grouted sleeves) / Integrated prefabricated column and beam junction (e.g. Lotus-Root system, slim floor system e.g. Deltabeam))</t>
  </si>
  <si>
    <t>For precast wall (vertical joints) e.g. flexible loops</t>
  </si>
  <si>
    <t>For other precast components e.g. mechanical connections for parapet walls, staircases. Staircase flight and landing slabs shall be in precast concrete</t>
  </si>
  <si>
    <t>Modularization</t>
  </si>
  <si>
    <t>Columns (3 most common sizes in module of 0.5M)</t>
  </si>
  <si>
    <t>Beams (3 most common sizes in module of 0.5M)</t>
  </si>
  <si>
    <t>Industry Standardization and Others</t>
  </si>
  <si>
    <t>7.3(c)</t>
  </si>
  <si>
    <t>Other wall system</t>
  </si>
  <si>
    <t>Cast in-situ components / Blockwall</t>
  </si>
  <si>
    <t>B3</t>
  </si>
  <si>
    <t>B4</t>
  </si>
  <si>
    <t>B5</t>
  </si>
  <si>
    <t>12.1</t>
  </si>
  <si>
    <t>12.2</t>
  </si>
  <si>
    <t>B6</t>
  </si>
  <si>
    <t>13.</t>
  </si>
  <si>
    <t>13.1</t>
  </si>
  <si>
    <t>13.2</t>
  </si>
  <si>
    <t>13.3</t>
  </si>
  <si>
    <t>13.4</t>
  </si>
  <si>
    <t>14.</t>
  </si>
  <si>
    <t>14.1</t>
  </si>
  <si>
    <t>14.2</t>
  </si>
  <si>
    <t>15.1</t>
  </si>
  <si>
    <t>15.2</t>
  </si>
  <si>
    <t>B7</t>
  </si>
  <si>
    <t>16.1</t>
  </si>
  <si>
    <t>16.2</t>
  </si>
  <si>
    <t>16.3</t>
  </si>
  <si>
    <t>Demerit Points</t>
  </si>
  <si>
    <t>Cast in-situ floor with transfer beam / cantilever transfer beam</t>
  </si>
  <si>
    <t>Inclined columns</t>
  </si>
  <si>
    <t>Non-functional void on slab (if applicable, demerit point is -1)</t>
  </si>
  <si>
    <t>Other finishes</t>
  </si>
  <si>
    <t>Other system not listed (Please seek BCA's advice on the points to be allocated)</t>
  </si>
  <si>
    <t>Modularization and Others</t>
  </si>
  <si>
    <t>C1</t>
  </si>
  <si>
    <t>Prefabricated MEP modules integrated with structural or architectural system e.g. working platform / catwalk / façade / ceiling / slab, etc.</t>
  </si>
  <si>
    <t>Prefabricated MEP vertical modules e.g. water and gas risers, hosereel risers</t>
  </si>
  <si>
    <t>Prefabricated MEP horizontal modules e.g. services at common corridors on 1st storey and typical floors</t>
  </si>
  <si>
    <t>Prefabricated MEP plant module e.g. booster pumps, transfer pumps, fire fighting pumps</t>
  </si>
  <si>
    <t>Pre-insulated mechanical piping e.g. chilled water pipes</t>
  </si>
  <si>
    <t>C2</t>
  </si>
  <si>
    <t>DfMA MEP Components</t>
  </si>
  <si>
    <t>C3</t>
  </si>
  <si>
    <t>Mechanical connection for prefabricated MEP modules</t>
  </si>
  <si>
    <t>Industry standardized prefabricated pump skids for water and firefighting services</t>
  </si>
  <si>
    <t>D1</t>
  </si>
  <si>
    <t>Innovative System (Please seek BCA's advice on the points to be allocated)</t>
  </si>
  <si>
    <t>Others</t>
  </si>
  <si>
    <t>D2</t>
  </si>
  <si>
    <t>(a)</t>
  </si>
  <si>
    <t>(b)</t>
  </si>
  <si>
    <t>(c)</t>
  </si>
  <si>
    <t>Large format tiles</t>
  </si>
  <si>
    <t>+</t>
  </si>
  <si>
    <t>=</t>
  </si>
  <si>
    <t>e.g. To state system, MET, bare precast concrete</t>
  </si>
  <si>
    <r>
      <t xml:space="preserve">Floor mesh </t>
    </r>
    <r>
      <rPr>
        <b/>
        <sz val="12"/>
        <rFont val="Arial"/>
        <family val="2"/>
      </rPr>
      <t>(≥ 65%)</t>
    </r>
    <r>
      <rPr>
        <sz val="12"/>
        <rFont val="Arial"/>
        <family val="2"/>
      </rPr>
      <t xml:space="preserve"> (See Note A.1)
</t>
    </r>
    <r>
      <rPr>
        <b/>
        <sz val="12"/>
        <rFont val="Arial"/>
        <family val="2"/>
      </rPr>
      <t/>
    </r>
  </si>
  <si>
    <r>
      <t xml:space="preserve">Drywall partition (See Note A.3)
</t>
    </r>
    <r>
      <rPr>
        <b/>
        <sz val="12"/>
        <rFont val="Arial"/>
        <family val="2"/>
      </rPr>
      <t>(All internal dry areas excluding partywall / toilet wall / kitchen wall)</t>
    </r>
    <r>
      <rPr>
        <sz val="12"/>
        <rFont val="Arial"/>
        <family val="2"/>
      </rPr>
      <t xml:space="preserve"> </t>
    </r>
  </si>
  <si>
    <r>
      <t xml:space="preserve">Precast household shelter </t>
    </r>
    <r>
      <rPr>
        <b/>
        <sz val="12"/>
        <rFont val="Arial"/>
        <family val="2"/>
      </rPr>
      <t>(≥ 65%)</t>
    </r>
    <r>
      <rPr>
        <sz val="12"/>
        <rFont val="Arial"/>
        <family val="2"/>
      </rPr>
      <t xml:space="preserve"> (See Note A.4)
</t>
    </r>
    <r>
      <rPr>
        <b/>
        <sz val="12"/>
        <rFont val="Arial"/>
        <family val="2"/>
      </rPr>
      <t/>
    </r>
  </si>
  <si>
    <t>Prefabricated Prefinished Volumetric Construction (PPVC) (See Note B.1)</t>
  </si>
  <si>
    <t>Structural steel / Hybrid system of structural steel and precast concrete (see Note B.2)</t>
  </si>
  <si>
    <t>Drywall partition for party wall / wet areas
(For Residential Non-landed projects)</t>
  </si>
  <si>
    <t>Drywall partition for other areas</t>
  </si>
  <si>
    <t>Precision blockwall (See Note B.6)</t>
  </si>
  <si>
    <t>Brickwall / blockwall (See Note B.7)</t>
  </si>
  <si>
    <t>Lightweight concrete panel (See Note B.5)</t>
  </si>
  <si>
    <t>Prefabricated Kitchen Unit (PKU) accepted by Building Innovation Panel (BIP)</t>
  </si>
  <si>
    <t>e.g. To state PKU system</t>
  </si>
  <si>
    <t>Industry Standardization</t>
  </si>
  <si>
    <t>17.1</t>
  </si>
  <si>
    <t>17.2</t>
  </si>
  <si>
    <t>17.3</t>
  </si>
  <si>
    <t>B1</t>
  </si>
  <si>
    <t>B2</t>
  </si>
  <si>
    <t>e.g. Innovative structural connections (See Note C.1)</t>
  </si>
  <si>
    <r>
      <t>Industry standard door structural openings (width)</t>
    </r>
    <r>
      <rPr>
        <b/>
        <sz val="12"/>
        <color theme="1"/>
        <rFont val="Arial"/>
        <family val="2"/>
      </rPr>
      <t xml:space="preserve"> (≥ 65%)</t>
    </r>
    <r>
      <rPr>
        <sz val="12"/>
        <color theme="1"/>
        <rFont val="Arial"/>
        <family val="2"/>
      </rPr>
      <t xml:space="preserve"> (See Note A.5)
</t>
    </r>
  </si>
  <si>
    <r>
      <t>Industry standard precast refuse chutes</t>
    </r>
    <r>
      <rPr>
        <b/>
        <sz val="12"/>
        <color theme="1"/>
        <rFont val="Arial"/>
        <family val="2"/>
      </rPr>
      <t xml:space="preserve"> (≥ 65%)</t>
    </r>
    <r>
      <rPr>
        <sz val="12"/>
        <color theme="1"/>
        <rFont val="Arial"/>
        <family val="2"/>
      </rPr>
      <t xml:space="preserve"> (See Note A.6)
</t>
    </r>
  </si>
  <si>
    <t>8</t>
  </si>
  <si>
    <t>1.2 x 1.9</t>
  </si>
  <si>
    <t>1.3 x 1.7</t>
  </si>
  <si>
    <t>1.45 x 1.6</t>
  </si>
  <si>
    <t>1.2 x 2.4</t>
  </si>
  <si>
    <t>1.25 x 2.3</t>
  </si>
  <si>
    <t>1.3 x 2.2</t>
  </si>
  <si>
    <t>1.35 x 2.1</t>
  </si>
  <si>
    <t>1.45 x 1.95</t>
  </si>
  <si>
    <t>1.5 x 2.4</t>
  </si>
  <si>
    <t>1.6 x 2.2</t>
  </si>
  <si>
    <t>2.0 x 2.4</t>
  </si>
  <si>
    <t>2.0 x 2.6</t>
  </si>
  <si>
    <t>2.0 x 3.4</t>
  </si>
  <si>
    <t>2.2 x 2.8</t>
  </si>
  <si>
    <t>1.9 x 1.9</t>
  </si>
  <si>
    <t>2.0 x 2.0</t>
  </si>
  <si>
    <t>0.8 x 1.5</t>
  </si>
  <si>
    <t>1.2 x 1.5</t>
  </si>
  <si>
    <t>1.2 x 1.6</t>
  </si>
  <si>
    <t>1.2 x 2.2</t>
  </si>
  <si>
    <t>Advanced precast concrete system (APCS) - Precast slab with at least 4 of the features listed below (each with ≥ 65% coverage):</t>
  </si>
  <si>
    <t>Advanced precast concrete system (APCS):
Precast slab with at least 4 of the features listed below (each with ≥ 65% coverage):</t>
  </si>
  <si>
    <r>
      <t xml:space="preserve">Prefabricated slab and column / wall </t>
    </r>
    <r>
      <rPr>
        <u/>
        <sz val="12"/>
        <color theme="1"/>
        <rFont val="Arial"/>
        <family val="2"/>
      </rPr>
      <t>or</t>
    </r>
    <r>
      <rPr>
        <sz val="12"/>
        <color theme="1"/>
        <rFont val="Arial"/>
        <family val="2"/>
      </rPr>
      <t xml:space="preserve"> 
Prefabricated slab and beam</t>
    </r>
  </si>
  <si>
    <t>DfMA architectural wall system</t>
  </si>
  <si>
    <t>DfMA architectural finishes</t>
  </si>
  <si>
    <t>Prefabricated &amp; prefinished wall / floor</t>
  </si>
  <si>
    <t>Area with Finishes (m2)</t>
  </si>
  <si>
    <t>% coverage (b)</t>
  </si>
  <si>
    <t>Prefabricated &amp; prefinished wall / floor / ceiling with MEP services</t>
  </si>
  <si>
    <t>Fully integrated system</t>
  </si>
  <si>
    <t>Fully integrated sub-assemblies</t>
  </si>
  <si>
    <t>Advanced prefabricated systems</t>
  </si>
  <si>
    <t>Prefabricated components</t>
  </si>
  <si>
    <t>Productive finishes</t>
  </si>
  <si>
    <t>Advanced prefab systems</t>
  </si>
  <si>
    <t>Skim coat, vinyl tiles for wall</t>
  </si>
  <si>
    <t>Large panel slab / hollow core slab / double T slab ≥ 2.4m width</t>
  </si>
  <si>
    <t>Prefabricated column/wall only</t>
  </si>
  <si>
    <t>Prefabricated slab only</t>
  </si>
  <si>
    <t>Prefabricated column/wall and beam</t>
  </si>
  <si>
    <t>7.1(a)</t>
  </si>
  <si>
    <t>7.1(b)</t>
  </si>
  <si>
    <t>7.1(c)</t>
  </si>
  <si>
    <t>Plastering and other finishes e.g. tiles</t>
  </si>
  <si>
    <t>Power float concrete floor, vinyl flooring, prefinished timber flooring, carpet, raised floor, engineered stone flooring finishes and wall paper</t>
  </si>
  <si>
    <r>
      <t xml:space="preserve">Large panel slab / Integrated precast components (2 elements) e.g. double bay façade wall, beam-façade wall, multi-tier column/wall
</t>
    </r>
    <r>
      <rPr>
        <b/>
        <sz val="12"/>
        <color theme="1"/>
        <rFont val="Arial"/>
        <family val="2"/>
      </rPr>
      <t>(only if points are not claimed under Item 3.2 APCS)</t>
    </r>
  </si>
  <si>
    <t>Lightweight concrete panel (See Note B.3)</t>
  </si>
  <si>
    <t>Precision blockwall (See Note B.4)</t>
  </si>
  <si>
    <t>Brickwall / blockwall (See Note B.5)</t>
  </si>
  <si>
    <t>DfMA MEP System (See Note B.8)</t>
  </si>
  <si>
    <t>Integrated precast components (comprising at least 2 structural / architectural elements) e.g. double bay façade wall, beam-façade wall, multi-tier column/wall, precast household shelter, precast refuse chute, prefabricated bathroom unit, prefinished façade walls, precast external wall with cast-in windows</t>
  </si>
  <si>
    <t>2.2 m x 1.7 m</t>
  </si>
  <si>
    <t>2.2 m x 2.2 m</t>
  </si>
  <si>
    <t>2.2 m x 1.5 m</t>
  </si>
  <si>
    <t>1.85 x 2.6</t>
  </si>
  <si>
    <t>1.85 x 2.8</t>
  </si>
  <si>
    <t>1.55 x 2.6</t>
  </si>
  <si>
    <t>1.75 x 1.85</t>
  </si>
  <si>
    <t>1.75 x 2.05</t>
  </si>
  <si>
    <t>1.75 x 2.25</t>
  </si>
  <si>
    <t>1.8 x 2.6</t>
  </si>
  <si>
    <t>1.8 x 2.8</t>
  </si>
  <si>
    <t>Industry standardized precast household shelters (3 most common sizes) (See Note A.4)</t>
  </si>
  <si>
    <t>≥80 Repetitions</t>
  </si>
  <si>
    <t>70 to 79 Repetitions</t>
  </si>
  <si>
    <t>1.2 x 1.2</t>
  </si>
  <si>
    <r>
      <t>Precast staircases</t>
    </r>
    <r>
      <rPr>
        <b/>
        <sz val="12"/>
        <rFont val="Arial"/>
        <family val="2"/>
      </rPr>
      <t xml:space="preserve"> </t>
    </r>
    <r>
      <rPr>
        <sz val="12"/>
        <rFont val="Arial"/>
        <family val="2"/>
      </rPr>
      <t>for typical storeys</t>
    </r>
    <r>
      <rPr>
        <b/>
        <sz val="12"/>
        <rFont val="Arial"/>
        <family val="2"/>
      </rPr>
      <t xml:space="preserve"> (≥ 65%) </t>
    </r>
    <r>
      <rPr>
        <sz val="12"/>
        <rFont val="Arial"/>
        <family val="2"/>
      </rPr>
      <t xml:space="preserve">(See Note A.2)
</t>
    </r>
  </si>
  <si>
    <r>
      <t xml:space="preserve">Repetition of typical floor height in 1.5M or 1.75M </t>
    </r>
    <r>
      <rPr>
        <b/>
        <sz val="12"/>
        <rFont val="Arial"/>
        <family val="2"/>
      </rPr>
      <t>(≥ 80%)</t>
    </r>
    <r>
      <rPr>
        <b/>
        <i/>
        <sz val="12"/>
        <rFont val="Arial"/>
        <family val="2"/>
      </rPr>
      <t xml:space="preserve"> *NEW*</t>
    </r>
    <r>
      <rPr>
        <sz val="12"/>
        <rFont val="Arial"/>
        <family val="2"/>
      </rPr>
      <t xml:space="preserve">
</t>
    </r>
  </si>
  <si>
    <t xml:space="preserve">BUILDABILITY FRAMEWORK 2020  - CALCULATIONS OF BUILDABLE DESIGN SCORE </t>
  </si>
  <si>
    <t>Project Reference Number</t>
  </si>
  <si>
    <t>(2) The development is a public sector building project by key Government Entities (HDB, JTC, LTA, MOE, MOH, MOT, NEA, PA, SPF and SPORTSG).</t>
  </si>
  <si>
    <t>(3) The development does not fall under any of the above descriptions.</t>
  </si>
  <si>
    <t>Prefabricated &amp; prefinished wall / floor, curtain wall, glass wall partition</t>
  </si>
  <si>
    <t>Drywall partition, prefinished ceiling</t>
  </si>
  <si>
    <t>PBU</t>
  </si>
  <si>
    <t>No.</t>
  </si>
  <si>
    <t>1. Prefabrication Level (%)</t>
  </si>
  <si>
    <t>2. DfMA Level (%) - To input accordingly</t>
  </si>
  <si>
    <t>3. Use of Industry Standard Components</t>
  </si>
  <si>
    <t>Remarks</t>
  </si>
  <si>
    <t>HSS</t>
  </si>
  <si>
    <t>Select PBU size</t>
  </si>
  <si>
    <t>Select HSS size</t>
  </si>
  <si>
    <t>(b) Precast Household Shelter - 3 most common sizes</t>
  </si>
  <si>
    <t>(a) Prefabricated Bathroom Unit (PBU) - 5 most common sizes</t>
  </si>
  <si>
    <t>Precast Refuse Chute</t>
  </si>
  <si>
    <t>Others - Input size under Remarks column</t>
  </si>
  <si>
    <t>Prefabricated Pump Skid</t>
  </si>
  <si>
    <t>Select Skid size</t>
  </si>
  <si>
    <t>Select Chute size</t>
  </si>
  <si>
    <t>PART IV: OTHER INFORMATION</t>
  </si>
  <si>
    <t>Sizes (m)</t>
  </si>
  <si>
    <t>e.g. To state PPVC system</t>
  </si>
  <si>
    <t>(d) Precast Refuse Chute - most common size</t>
  </si>
  <si>
    <t>(e) Prefabricated Pump Skid - most common size</t>
  </si>
  <si>
    <t>(c) Prefabricated Kitchen Unit - 3 most common sizes</t>
  </si>
  <si>
    <t>To input internal L x W (m)</t>
  </si>
  <si>
    <t>PAS - Prefab components</t>
  </si>
  <si>
    <t>MAS - PPVC</t>
  </si>
  <si>
    <t>MAS - PBU</t>
  </si>
  <si>
    <t>MAS - Prefab MEP</t>
  </si>
  <si>
    <t>No PAS/MAS</t>
  </si>
  <si>
    <t>60 to 69 Repetitions</t>
  </si>
  <si>
    <t>50 to 59 Repetitions</t>
  </si>
  <si>
    <t>1.85 x 2.25</t>
  </si>
  <si>
    <t>13.5</t>
  </si>
  <si>
    <t>To input additional prefab level % 
if system is not listed</t>
  </si>
  <si>
    <t>To input additional prefab level %
if system is not listed</t>
  </si>
  <si>
    <t>Tiling, marble, wood flooring e.g. parquet</t>
  </si>
  <si>
    <t>Total A3 + A4 +A5</t>
  </si>
  <si>
    <t>Total B5 + B6</t>
  </si>
  <si>
    <r>
      <t xml:space="preserve">Volume </t>
    </r>
    <r>
      <rPr>
        <sz val="12"/>
        <color theme="1"/>
        <rFont val="Calibri"/>
        <family val="2"/>
      </rPr>
      <t>≥</t>
    </r>
    <r>
      <rPr>
        <sz val="12"/>
        <color theme="1"/>
        <rFont val="Arial"/>
        <family val="2"/>
      </rPr>
      <t xml:space="preserve"> 5%</t>
    </r>
  </si>
  <si>
    <t>Windows (3 most common sizes in 1M)</t>
  </si>
  <si>
    <t>High strength concrete (at least Grade C60/75)</t>
  </si>
  <si>
    <t>Dimension of PPVC modules in 0.5M</t>
  </si>
  <si>
    <t>Horizontal grids in 3M</t>
  </si>
  <si>
    <t>MRT and Industrial</t>
  </si>
  <si>
    <t>MRT Station</t>
  </si>
  <si>
    <t>Institutional, School &amp; Others</t>
  </si>
  <si>
    <t>Public Residential (Non-Landed)</t>
  </si>
  <si>
    <t>Single - Outer: 1.0 x 1.0, Inner: 0.8x0.8 or 0.8 diameter</t>
  </si>
  <si>
    <t>Single - Outer: 0.9 x 0.9, Inner 0.7x0.7 or 0.7 diameter</t>
  </si>
  <si>
    <t>Single - Outer: 0.9x0.9, Inner 0.65x0.65 or 0.65 diameter</t>
  </si>
  <si>
    <t>Single - Outer: 0.8x0.8, Inner 0.6x0.6 or 0.6 diameter</t>
  </si>
  <si>
    <t>Year</t>
  </si>
  <si>
    <t>CATEGORY OF BUILDING WORK/ DEVELOPMENT</t>
  </si>
  <si>
    <t xml:space="preserve">MINIMUM BUILDABLE DESIGN SCORE </t>
  </si>
  <si>
    <t>Private Residential (non-landed)</t>
  </si>
  <si>
    <t>Public Residential (non-landed)</t>
  </si>
  <si>
    <t>A&amp;A Works</t>
  </si>
  <si>
    <r>
      <t>5,000 m</t>
    </r>
    <r>
      <rPr>
        <b/>
        <vertAlign val="superscript"/>
        <sz val="12"/>
        <color rgb="FF000000"/>
        <rFont val="Arial"/>
        <family val="2"/>
      </rPr>
      <t xml:space="preserve">2 </t>
    </r>
    <r>
      <rPr>
        <b/>
        <sz val="12"/>
        <color rgb="FF000000"/>
        <rFont val="Arial"/>
        <family val="2"/>
      </rPr>
      <t>≤ GFA &lt; 25,000 m</t>
    </r>
    <r>
      <rPr>
        <b/>
        <vertAlign val="superscript"/>
        <sz val="12"/>
        <color rgb="FF000000"/>
        <rFont val="Arial"/>
        <family val="2"/>
      </rPr>
      <t>2</t>
    </r>
  </si>
  <si>
    <r>
      <t>GFA ≥ 25,000 m</t>
    </r>
    <r>
      <rPr>
        <b/>
        <vertAlign val="superscript"/>
        <sz val="12"/>
        <color rgb="FF000000"/>
        <rFont val="Arial"/>
        <family val="2"/>
      </rPr>
      <t>2</t>
    </r>
  </si>
  <si>
    <t>Precast slab with lattice girder reinforcement</t>
  </si>
  <si>
    <t>Design without high voids (See Note B.6)</t>
  </si>
  <si>
    <t>Design without complex form (See Note B.6)</t>
  </si>
  <si>
    <t>Repetition of PBU modules (See Note B.7)</t>
  </si>
  <si>
    <t>Industry standardised prefabricated bathroom / toilet units (3 most common sizes) (See Note B.7)</t>
  </si>
  <si>
    <t>Repetition ≥ 30</t>
  </si>
  <si>
    <t>Repetition ≥ 35</t>
  </si>
  <si>
    <t>Horizontal design repetition of unit layouts</t>
  </si>
  <si>
    <t>Repetition of PPVC modules (See Note B.1)</t>
  </si>
  <si>
    <t>Basement</t>
  </si>
  <si>
    <t>Prefabricated MEP vertical modules</t>
  </si>
  <si>
    <t>Prefabricated MEP horizontal modules</t>
  </si>
  <si>
    <t xml:space="preserve"> From 28 December 2020</t>
  </si>
  <si>
    <t>30 to 34 Repetitions</t>
  </si>
  <si>
    <t>Buildability Framework 2020</t>
  </si>
  <si>
    <t>Explanatory Notes</t>
  </si>
  <si>
    <t>A. Pre-requisites</t>
  </si>
  <si>
    <t>(1)</t>
  </si>
  <si>
    <r>
      <t xml:space="preserve">The use of welded mesh is mandated for all developments where cast in-situ slab has been adopted in the design. The minimum usage of welded mesh must be at least 65% of all cast in-situ slab area.
</t>
    </r>
    <r>
      <rPr>
        <b/>
        <sz val="12"/>
        <rFont val="Arial"/>
        <family val="2"/>
      </rPr>
      <t/>
    </r>
  </si>
  <si>
    <t>(2)</t>
  </si>
  <si>
    <t>Precast staircases shall come with tread width of 275mm or 300mm for all projects except industrial projects. For industrial projects, precast staircases shall come with tread width of 250mm, 275mm or 300mm.</t>
  </si>
  <si>
    <t>(3)</t>
  </si>
  <si>
    <t>For the mandatory use of drywall in all residential non-landed projects, the drywall must be used as partition wall for all internal dry areas such as between bedrooms, bedroom with living room etc, with the exception of party wall, toilet wall and kitchen wall.</t>
  </si>
  <si>
    <t>(4)</t>
  </si>
  <si>
    <t>For designs of residential non-landed projects that incorporate household shelters, it is mandatory to adopt a minimum of 65% for precast household shelters. Precast household shelters using the following standard sizes will be awarded points.</t>
  </si>
  <si>
    <t>GFA of DU (m2)</t>
  </si>
  <si>
    <t>Min. Inner Floor Area (m2)</t>
  </si>
  <si>
    <t>Size (m)</t>
  </si>
  <si>
    <t>Wall Thickness (mm)</t>
  </si>
  <si>
    <r>
      <t xml:space="preserve">GFA </t>
    </r>
    <r>
      <rPr>
        <sz val="12"/>
        <color theme="1"/>
        <rFont val="Calibri"/>
        <family val="2"/>
      </rPr>
      <t>≤</t>
    </r>
    <r>
      <rPr>
        <sz val="12"/>
        <color theme="1"/>
        <rFont val="Arial"/>
        <family val="2"/>
      </rPr>
      <t xml:space="preserve"> 45</t>
    </r>
  </si>
  <si>
    <t>250 or 300</t>
  </si>
  <si>
    <t>45 &lt; GFA ≤ 75</t>
  </si>
  <si>
    <t>75 &lt; GFA ≤ 140</t>
  </si>
  <si>
    <t>GFA &gt; 140</t>
  </si>
  <si>
    <t>(5)</t>
  </si>
  <si>
    <t>S/No</t>
  </si>
  <si>
    <t>(6)</t>
  </si>
  <si>
    <t>All residential non-landed projects are to adopt a minimum of 65% for precast refuse chutes in one of the sizes below. For precast refuse dual chutes, either of the following inner dimensions can be adopted with wall thickness of 100mm, 150mm or 200mm.</t>
  </si>
  <si>
    <t>Outer Dimensions (m)</t>
  </si>
  <si>
    <t>Inner Dimensions (m)</t>
  </si>
  <si>
    <t>Chamfer Radius (mm)</t>
  </si>
  <si>
    <t>1.0 x 1.0</t>
  </si>
  <si>
    <t>0.9 x 0.9</t>
  </si>
  <si>
    <t>N.A</t>
  </si>
  <si>
    <t>0.8 x 0.8</t>
  </si>
  <si>
    <t>B. DfMA System</t>
  </si>
  <si>
    <t>The Prefabricated Prefinished Volumetric Construction (PPVC) system has to be accepted by the Building Innovation Panel (BIP) and accredited under the PPVC Manufacturer Accreditation Scheme (MAS). Please refer to BCA website for the list of accepted PPVC systems.</t>
  </si>
  <si>
    <t>At least 80% of the steel reinforcement for composite slab must be welded mesh.</t>
  </si>
  <si>
    <t xml:space="preserve">Lightweight concrete panels include autoclaved lightweight concrete (ALC) panels, autoclaved aerated concrete (AAC) panels. </t>
  </si>
  <si>
    <t>Precision blocks refer to lightweight concrete blocks that have precise dimensions (± 1mm dimensional tolerance) and can be laid on thin bed adhesive mortar.</t>
  </si>
  <si>
    <t>The use of brick wall/block wall, once used, must be indicated and shown under wall system by its wall length.</t>
  </si>
  <si>
    <t>For design with simplicity, points are awarded as follows:</t>
  </si>
  <si>
    <t>Table A: Direct Points for Designs with High Voids*</t>
  </si>
  <si>
    <t>Case</t>
  </si>
  <si>
    <t>Total void height (Only those &gt; 9m)</t>
  </si>
  <si>
    <t>Total building height</t>
  </si>
  <si>
    <t>0% (no high voids)</t>
  </si>
  <si>
    <t>&gt; 0% to &lt; 10%</t>
  </si>
  <si>
    <r>
      <rPr>
        <u/>
        <sz val="12"/>
        <rFont val="Arial"/>
        <family val="2"/>
      </rPr>
      <t>&gt;</t>
    </r>
    <r>
      <rPr>
        <sz val="12"/>
        <rFont val="Arial"/>
        <family val="2"/>
      </rPr>
      <t xml:space="preserve"> 10% to &lt; 15%</t>
    </r>
  </si>
  <si>
    <r>
      <rPr>
        <u/>
        <sz val="12"/>
        <rFont val="Arial"/>
        <family val="2"/>
      </rPr>
      <t xml:space="preserve">&gt; </t>
    </r>
    <r>
      <rPr>
        <sz val="12"/>
        <rFont val="Arial"/>
        <family val="2"/>
      </rPr>
      <t>15% to &lt; 20%</t>
    </r>
  </si>
  <si>
    <r>
      <rPr>
        <u/>
        <sz val="12"/>
        <rFont val="Arial"/>
        <family val="2"/>
      </rPr>
      <t>&gt;</t>
    </r>
    <r>
      <rPr>
        <sz val="12"/>
        <rFont val="Arial"/>
        <family val="2"/>
      </rPr>
      <t xml:space="preserve"> 20%</t>
    </r>
  </si>
  <si>
    <t xml:space="preserve">*High voids refer to heights that are more than 9m.          </t>
  </si>
  <si>
    <t>*A design that does not have any void height greater than 9m throughout its building height will get a maximum 2 points.</t>
  </si>
  <si>
    <t>Table B: Direct Points for Designs with Varying Forms</t>
  </si>
  <si>
    <t xml:space="preserve">Maximum Offset </t>
  </si>
  <si>
    <t>NIL</t>
  </si>
  <si>
    <t>0 m to &lt; 1 m</t>
  </si>
  <si>
    <t>1 m to &lt; 2 m</t>
  </si>
  <si>
    <t>2 m to &lt; 3 m</t>
  </si>
  <si>
    <t>3 m to &lt; 4 m</t>
  </si>
  <si>
    <t>≥ 4 m</t>
  </si>
  <si>
    <t>less than 5%</t>
  </si>
  <si>
    <t>5% to &lt; 15%</t>
  </si>
  <si>
    <t>15% to &lt; 25%</t>
  </si>
  <si>
    <t>25% to &lt; 35%</t>
  </si>
  <si>
    <t>≥ 35%</t>
  </si>
  <si>
    <t xml:space="preserve">     Height of Building</t>
  </si>
  <si>
    <t>offset</t>
  </si>
  <si>
    <t>0 m to &lt; 15 m</t>
  </si>
  <si>
    <t>15 m to &lt; 45 m</t>
  </si>
  <si>
    <t>45 m to &lt; 90 m</t>
  </si>
  <si>
    <t>90 m to &lt; 135 m</t>
  </si>
  <si>
    <r>
      <rPr>
        <u/>
        <sz val="12"/>
        <rFont val="Arial"/>
        <family val="2"/>
      </rPr>
      <t>&gt;</t>
    </r>
    <r>
      <rPr>
        <sz val="12"/>
        <rFont val="Arial"/>
        <family val="2"/>
      </rPr>
      <t xml:space="preserve"> 135 m</t>
    </r>
  </si>
  <si>
    <r>
      <t xml:space="preserve">*Direct points to be given based on </t>
    </r>
    <r>
      <rPr>
        <b/>
        <sz val="12"/>
        <rFont val="Arial"/>
        <family val="2"/>
      </rPr>
      <t>worse scenario</t>
    </r>
    <r>
      <rPr>
        <sz val="12"/>
        <rFont val="Arial"/>
        <family val="2"/>
      </rPr>
      <t xml:space="preserve"> o</t>
    </r>
    <r>
      <rPr>
        <sz val="12"/>
        <color rgb="FF000000"/>
        <rFont val="Arial"/>
        <family val="2"/>
      </rPr>
      <t xml:space="preserve">f the two i.e. </t>
    </r>
    <r>
      <rPr>
        <u/>
        <sz val="12"/>
        <color rgb="FF000000"/>
        <rFont val="Arial"/>
        <family val="2"/>
      </rPr>
      <t>Maximum Offset</t>
    </r>
    <r>
      <rPr>
        <sz val="12"/>
        <color rgb="FF000000"/>
        <rFont val="Arial"/>
        <family val="2"/>
      </rPr>
      <t xml:space="preserve"> OR </t>
    </r>
    <r>
      <rPr>
        <u/>
        <sz val="12"/>
        <color rgb="FF000000"/>
        <rFont val="Arial"/>
        <family val="2"/>
      </rPr>
      <t>% of offset floors</t>
    </r>
    <r>
      <rPr>
        <sz val="12"/>
        <color rgb="FF000000"/>
        <rFont val="Arial"/>
        <family val="2"/>
      </rPr>
      <t xml:space="preserve"> (% of floors with offset /no. of floors)</t>
    </r>
  </si>
  <si>
    <t>(7)</t>
  </si>
  <si>
    <t>The Prefabricated Bathroom Unit (PBU) system has to be accepted by the Building Innovation Panel (BIP) and accredited under the PBU Manufacturer Accreditation Scheme (MAS). Please refer to BCA website for the list of accepted PBU systems. Points are awarded for adoption of the following standard PBU sizes:</t>
  </si>
  <si>
    <t>Internal Dimensions of Industry Standard Prefabricated Bathroom Units (m)</t>
  </si>
  <si>
    <t>Master Bath</t>
  </si>
  <si>
    <t>Common Bath</t>
  </si>
  <si>
    <t>Maid / Yard Bath</t>
  </si>
  <si>
    <t>(8)</t>
  </si>
  <si>
    <t>Criteria for determining qualifying area for prefab MEP system:</t>
  </si>
  <si>
    <t>Item</t>
  </si>
  <si>
    <t>Criteria of Qualifying Areas 
(applicable to all development types)</t>
  </si>
  <si>
    <r>
      <rPr>
        <b/>
        <u/>
        <sz val="12"/>
        <rFont val="Arial"/>
        <family val="2"/>
      </rPr>
      <t xml:space="preserve">Prefabricated MEP modules integrated with structural or architectural system </t>
    </r>
    <r>
      <rPr>
        <b/>
        <sz val="12"/>
        <rFont val="Arial"/>
        <family val="2"/>
      </rPr>
      <t xml:space="preserve">
</t>
    </r>
    <r>
      <rPr>
        <sz val="12"/>
        <rFont val="Arial"/>
        <family val="2"/>
      </rPr>
      <t>e.g. Working platform / catwalk / façade / wall / ceiling / slab, etc.</t>
    </r>
  </si>
  <si>
    <t>Other areas proposed could be considered in MEP coverage subject to productivity improvement on a case-by-case basis.</t>
  </si>
  <si>
    <t>(9)</t>
  </si>
  <si>
    <t>Points are awarded for the following industry standard pump skid sizes:</t>
  </si>
  <si>
    <t>S/N</t>
  </si>
  <si>
    <t>Industry Standard Prefabricated Pump Skid Sizes</t>
  </si>
  <si>
    <t>C. Innovation</t>
  </si>
  <si>
    <t>The following shows some examples of innovative technology which helps in achieving higher construction productivity:</t>
  </si>
  <si>
    <t>i.</t>
  </si>
  <si>
    <t>Fully integrated system such as Prefabricated Kitchen Unit (PKU) and Prefabricated Common Toilet (PCT)</t>
  </si>
  <si>
    <t>ii.</t>
  </si>
  <si>
    <t>Fully integrated sub-assemblies not classified in the scoring matrix</t>
  </si>
  <si>
    <t>iii.</t>
  </si>
  <si>
    <t>Prefabricated organic components  e.g. precast wavy façade</t>
  </si>
  <si>
    <t>iv.</t>
  </si>
  <si>
    <t>High-strength / lightweight materials - high strength steel reinforcement</t>
  </si>
  <si>
    <t>v.</t>
  </si>
  <si>
    <t>Innovative structural steel connections refer to those that do not require site welding and allow faster erection and easy on-site installation of steel members.</t>
  </si>
  <si>
    <t xml:space="preserve">Refer to Item 2 to 4
To consult BCA on case-by-case basis
</t>
  </si>
  <si>
    <r>
      <rPr>
        <b/>
        <sz val="12"/>
        <rFont val="Arial"/>
        <family val="2"/>
      </rPr>
      <t>Risers or service ducts comprising the following services, where available:
  a. Chilled water risers
  b. Plumbing and sanitary risers
  c. Fire fighting services, i.e. sprinkler, hose reel and
      dry/wet rising mains
  d. Electrical risers</t>
    </r>
    <r>
      <rPr>
        <sz val="12"/>
        <rFont val="Arial"/>
        <family val="2"/>
      </rPr>
      <t xml:space="preserve">
</t>
    </r>
    <r>
      <rPr>
        <i/>
        <sz val="12"/>
        <rFont val="Arial"/>
        <family val="2"/>
      </rPr>
      <t xml:space="preserve">
</t>
    </r>
    <r>
      <rPr>
        <b/>
        <i/>
        <u/>
        <sz val="12"/>
        <rFont val="Arial"/>
        <family val="2"/>
      </rPr>
      <t>Exclusions:</t>
    </r>
    <r>
      <rPr>
        <i/>
        <sz val="12"/>
        <rFont val="Arial"/>
        <family val="2"/>
      </rPr>
      <t xml:space="preserve">
1. Risers within dwelling units
2. Mechanical risers:
    a. 1 nos. pipe only; or
    b. 2 nos. pipes and any of them is ≤ 200mm in overall diameter 
3. Electrical risers with ≤ 2 components in cable containment
   system
4. Extra Low Voltage (ELV) and High Tension (HT) risers</t>
    </r>
  </si>
  <si>
    <r>
      <rPr>
        <b/>
        <sz val="12"/>
        <rFont val="Arial"/>
        <family val="2"/>
      </rPr>
      <t xml:space="preserve">All common corridor areas (including lift lobbies)
</t>
    </r>
    <r>
      <rPr>
        <sz val="12"/>
        <rFont val="Arial"/>
        <family val="2"/>
      </rPr>
      <t xml:space="preserve">
</t>
    </r>
    <r>
      <rPr>
        <b/>
        <i/>
        <u/>
        <sz val="12"/>
        <rFont val="Arial"/>
        <family val="2"/>
      </rPr>
      <t>Exclusions:</t>
    </r>
    <r>
      <rPr>
        <b/>
        <i/>
        <sz val="12"/>
        <rFont val="Arial"/>
        <family val="2"/>
      </rPr>
      <t xml:space="preserve">
</t>
    </r>
    <r>
      <rPr>
        <i/>
        <sz val="12"/>
        <rFont val="Arial"/>
        <family val="2"/>
      </rPr>
      <t>1. Floors with non-typical layout
2. Corridors with length totalling less than:
    a. 12m per floor (Residential (non-landed))
    b. 30m per floor (Other development types)
3. Corridors that only contains M&amp;E fixtures / services that are
    directly mounted to the ceiling soffit.</t>
    </r>
  </si>
  <si>
    <r>
      <rPr>
        <b/>
        <u/>
        <sz val="12"/>
        <rFont val="Arial"/>
        <family val="2"/>
      </rPr>
      <t xml:space="preserve">Vertical Modules </t>
    </r>
    <r>
      <rPr>
        <b/>
        <sz val="12"/>
        <rFont val="Arial"/>
        <family val="2"/>
      </rPr>
      <t xml:space="preserve">
</t>
    </r>
    <r>
      <rPr>
        <i/>
        <sz val="12"/>
        <rFont val="Arial"/>
        <family val="2"/>
      </rPr>
      <t xml:space="preserve">
</t>
    </r>
    <r>
      <rPr>
        <sz val="12"/>
        <rFont val="Arial"/>
        <family val="2"/>
      </rPr>
      <t xml:space="preserve">Coverage of Vertical modules (%) = Prefabricated Vertical Area (m²) ÷ Qualifying Vertical Area (m²)
</t>
    </r>
    <r>
      <rPr>
        <b/>
        <sz val="12"/>
        <rFont val="Arial"/>
        <family val="2"/>
      </rPr>
      <t xml:space="preserve">
</t>
    </r>
    <r>
      <rPr>
        <i/>
        <sz val="12"/>
        <rFont val="Arial"/>
        <family val="2"/>
      </rPr>
      <t xml:space="preserve">Where,
</t>
    </r>
    <r>
      <rPr>
        <sz val="12"/>
        <rFont val="Arial"/>
        <family val="2"/>
      </rPr>
      <t xml:space="preserve">
Prefabricated Vertical Area (m</t>
    </r>
    <r>
      <rPr>
        <vertAlign val="superscript"/>
        <sz val="12"/>
        <rFont val="Arial"/>
        <family val="2"/>
      </rPr>
      <t>²</t>
    </r>
    <r>
      <rPr>
        <sz val="12"/>
        <rFont val="Arial"/>
        <family val="2"/>
      </rPr>
      <t>) = 
Sum [</t>
    </r>
    <r>
      <rPr>
        <i/>
        <sz val="12"/>
        <rFont val="Arial"/>
        <family val="2"/>
      </rPr>
      <t xml:space="preserve">Internal wall-to-wall width of Riser(s) </t>
    </r>
    <r>
      <rPr>
        <sz val="12"/>
        <rFont val="Arial"/>
        <family val="2"/>
      </rPr>
      <t xml:space="preserve">x </t>
    </r>
    <r>
      <rPr>
        <i/>
        <sz val="12"/>
        <rFont val="Arial"/>
        <family val="2"/>
      </rPr>
      <t>Total height</t>
    </r>
    <r>
      <rPr>
        <sz val="12"/>
        <rFont val="Arial"/>
        <family val="2"/>
      </rPr>
      <t xml:space="preserve"> of </t>
    </r>
    <r>
      <rPr>
        <i/>
        <sz val="12"/>
        <rFont val="Arial"/>
        <family val="2"/>
      </rPr>
      <t>Riser(s) adopting prefabricated modules]</t>
    </r>
    <r>
      <rPr>
        <sz val="12"/>
        <rFont val="Arial"/>
        <family val="2"/>
      </rPr>
      <t xml:space="preserve">
Qualifying Vertical Area (m</t>
    </r>
    <r>
      <rPr>
        <vertAlign val="superscript"/>
        <sz val="12"/>
        <rFont val="Arial"/>
        <family val="2"/>
      </rPr>
      <t>²</t>
    </r>
    <r>
      <rPr>
        <sz val="12"/>
        <rFont val="Arial"/>
        <family val="2"/>
      </rPr>
      <t>) =
Sum [</t>
    </r>
    <r>
      <rPr>
        <i/>
        <sz val="12"/>
        <rFont val="Arial"/>
        <family val="2"/>
      </rPr>
      <t xml:space="preserve">Internal wall-to-wall width of Riser(s) </t>
    </r>
    <r>
      <rPr>
        <sz val="12"/>
        <rFont val="Arial"/>
        <family val="2"/>
      </rPr>
      <t xml:space="preserve">x </t>
    </r>
    <r>
      <rPr>
        <i/>
        <sz val="12"/>
        <rFont val="Arial"/>
        <family val="2"/>
      </rPr>
      <t>Total height of Riser(s)]</t>
    </r>
  </si>
  <si>
    <r>
      <t xml:space="preserve">The M&amp;E rooms </t>
    </r>
    <r>
      <rPr>
        <b/>
        <u/>
        <sz val="12"/>
        <rFont val="Arial"/>
        <family val="2"/>
      </rPr>
      <t>or</t>
    </r>
    <r>
      <rPr>
        <b/>
        <sz val="12"/>
        <rFont val="Arial"/>
        <family val="2"/>
      </rPr>
      <t xml:space="preserve"> skids containing the following:
  a. Potable water pumps
  b. NEWater pumps
  c. Sprinkler pumps
  d. Hosereel pumps
  e. Chilled water pumps
  f. Condenser water pumps
</t>
    </r>
    <r>
      <rPr>
        <b/>
        <i/>
        <u/>
        <sz val="12"/>
        <rFont val="Arial"/>
        <family val="2"/>
      </rPr>
      <t>Exclusions:</t>
    </r>
    <r>
      <rPr>
        <b/>
        <sz val="12"/>
        <rFont val="Arial"/>
        <family val="2"/>
      </rPr>
      <t xml:space="preserve">
</t>
    </r>
    <r>
      <rPr>
        <i/>
        <sz val="12"/>
        <rFont val="Arial"/>
        <family val="2"/>
      </rPr>
      <t>1. Nil</t>
    </r>
  </si>
  <si>
    <r>
      <rPr>
        <b/>
        <u/>
        <sz val="12"/>
        <rFont val="Arial"/>
        <family val="2"/>
      </rPr>
      <t>Horizontal Modules</t>
    </r>
    <r>
      <rPr>
        <sz val="12"/>
        <rFont val="Arial"/>
        <family val="2"/>
      </rPr>
      <t xml:space="preserve">
Coverage of Horizontal modules (%) = Prefabricated Horizontal Area (m²) ÷ Qualifying Horizontal Area (m²)
</t>
    </r>
    <r>
      <rPr>
        <i/>
        <sz val="12"/>
        <rFont val="Arial"/>
        <family val="2"/>
      </rPr>
      <t xml:space="preserve">Where,
</t>
    </r>
    <r>
      <rPr>
        <sz val="12"/>
        <rFont val="Arial"/>
        <family val="2"/>
      </rPr>
      <t xml:space="preserve">
Prefabricated Horizontal Area (m²) = 
Sum [</t>
    </r>
    <r>
      <rPr>
        <i/>
        <sz val="12"/>
        <rFont val="Arial"/>
        <family val="2"/>
      </rPr>
      <t xml:space="preserve">Internal wall-to-wall width of Corridor(s) </t>
    </r>
    <r>
      <rPr>
        <sz val="12"/>
        <rFont val="Arial"/>
        <family val="2"/>
      </rPr>
      <t xml:space="preserve">x </t>
    </r>
    <r>
      <rPr>
        <i/>
        <sz val="12"/>
        <rFont val="Arial"/>
        <family val="2"/>
      </rPr>
      <t>Total length of the Corridor(s) adopting prefabricated modules]</t>
    </r>
    <r>
      <rPr>
        <sz val="12"/>
        <rFont val="Arial"/>
        <family val="2"/>
      </rPr>
      <t xml:space="preserve">
Qualifying Area (m²) = 
Sum [</t>
    </r>
    <r>
      <rPr>
        <i/>
        <sz val="12"/>
        <rFont val="Arial"/>
        <family val="2"/>
      </rPr>
      <t xml:space="preserve">Internal wall-to-wall width of Corridor(s) </t>
    </r>
    <r>
      <rPr>
        <sz val="12"/>
        <rFont val="Arial"/>
        <family val="2"/>
      </rPr>
      <t>x</t>
    </r>
    <r>
      <rPr>
        <i/>
        <sz val="12"/>
        <rFont val="Arial"/>
        <family val="2"/>
      </rPr>
      <t xml:space="preserve"> Total length of the Corridor(s)]
</t>
    </r>
    <r>
      <rPr>
        <i/>
        <sz val="12"/>
        <color rgb="FF0000FF"/>
        <rFont val="Arial"/>
        <family val="2"/>
      </rPr>
      <t>Notes:
1. Up to 35% of the length of the corridor (counted in prefabricated horizontal area) will be allowed on site to account for junctions, bends and module connections.(i.e. total plan area of all modules is at least 65% of qualifying horizontal area)</t>
    </r>
  </si>
  <si>
    <r>
      <rPr>
        <b/>
        <u/>
        <sz val="12"/>
        <rFont val="Arial"/>
        <family val="2"/>
      </rPr>
      <t>Plant Modules</t>
    </r>
    <r>
      <rPr>
        <b/>
        <sz val="12"/>
        <rFont val="Arial"/>
        <family val="2"/>
      </rPr>
      <t xml:space="preserve">
</t>
    </r>
    <r>
      <rPr>
        <sz val="12"/>
        <rFont val="Arial"/>
        <family val="2"/>
      </rPr>
      <t xml:space="preserve">Coverage of Plant modules (%) = Prefabricated Plant Area (m²) ÷ Qualifying Plant Area (m²)
</t>
    </r>
    <r>
      <rPr>
        <i/>
        <sz val="12"/>
        <rFont val="Arial"/>
        <family val="2"/>
      </rPr>
      <t xml:space="preserve">Where,
Prefabricated Plant Area (m²) = 
Sum [Plan area of the Plant rooms </t>
    </r>
    <r>
      <rPr>
        <i/>
        <u/>
        <sz val="12"/>
        <rFont val="Arial"/>
        <family val="2"/>
      </rPr>
      <t>or</t>
    </r>
    <r>
      <rPr>
        <i/>
        <sz val="12"/>
        <rFont val="Arial"/>
        <family val="2"/>
      </rPr>
      <t xml:space="preserve"> Area of skids of prefabricated M&amp;E Equipment]
Qualifying Area (m²) = 
Sum [Plan area of the Plant rooms </t>
    </r>
    <r>
      <rPr>
        <i/>
        <u/>
        <sz val="12"/>
        <rFont val="Arial"/>
        <family val="2"/>
      </rPr>
      <t>or</t>
    </r>
    <r>
      <rPr>
        <i/>
        <sz val="12"/>
        <rFont val="Arial"/>
        <family val="2"/>
      </rPr>
      <t xml:space="preserve"> Skids in Qualifying Area]
</t>
    </r>
    <r>
      <rPr>
        <i/>
        <sz val="12"/>
        <color rgb="FF0000FF"/>
        <rFont val="Arial"/>
        <family val="2"/>
      </rPr>
      <t xml:space="preserve">Notes:
1. The area of plant room is considered if the pump(s) are enclosed in the plantroom. The area of skid is used if the pump(s) are not enclosed in a plantroom. 
2. For a plant room where ≥ 65% of the equipment (by nos.) is prefabricated, Prefabricated Plant Area (m²) = Plan area of the plant room (m²) 
3. For a plant room where &lt; 65% of the equipment (by nos.) is prefabricated,  Prefabricated Plant Area (m²) = Plan area of the plant room (m²)  x (Nos. of prefabricated equipment ÷ Total nos. of equipment)
</t>
    </r>
    <r>
      <rPr>
        <i/>
        <sz val="12"/>
        <rFont val="Arial"/>
        <family val="2"/>
      </rPr>
      <t xml:space="preserve">
</t>
    </r>
  </si>
  <si>
    <t>Qualified Person for Mechanical, Electrical and Plumbing Works (1)</t>
  </si>
  <si>
    <t>Qualified Person for Mechanical, Electrical and Plumbing Works (2)</t>
  </si>
  <si>
    <t>We confirm that we are the qualified persons appointed in respect of the building works herein described under Section 8(1)(a) of the Building Control Act (Cap 29).</t>
  </si>
  <si>
    <t>Indicate 'Yes'</t>
  </si>
  <si>
    <t>Option 2 (For residential non-landed projects with GFA ≥ 25,000m² only): 
Min. 65% Prefabrication Level + Min. 70% System Formwork</t>
  </si>
  <si>
    <t>Option 1 (For residential non-landed projects with GFA ≥ 25,000m² only): 
Min. 50% Prefabrication Level + Min. 70% System Formwork + Min. 50% Prefabricated MEP</t>
  </si>
  <si>
    <t>Option 3ai (For residential non-landed projects with GFA ≥ 25,000m² only): 
Min. 60% PPVC</t>
  </si>
  <si>
    <t>Option 3aii (For residential non-landed projects with GFA ≥ 25,000m² only): 
Min. 60% PPVC (accepted by BIP and accredited under PPVC MAS)</t>
  </si>
  <si>
    <t>Option 3bi (For residential non-landed projects with GFA ≥ 25,000m² only): 
Min. 50% PPVC (for building with 5 storeys and below only)</t>
  </si>
  <si>
    <t xml:space="preserve">Default B-Score: 
80 </t>
  </si>
  <si>
    <t>Default B-Score: 
82</t>
  </si>
  <si>
    <t>Default B-Score: 
84</t>
  </si>
  <si>
    <t xml:space="preserve">Default B-Score: 
84 </t>
  </si>
  <si>
    <t>Option 3bii (For residential non-landed projects with GFA ≥ 25,000m² only): 
Min. 50% PPVC (for building with 5 storeys and below only) (accepted by BIP and accredited under PPVC MAS)</t>
  </si>
  <si>
    <t>Option 4 (For projects with GFA ≥ 25,000m² only): 
Open option (min. 20% productivity improvement from 2010's level)</t>
  </si>
  <si>
    <t>To consult BCA on default B-Score</t>
  </si>
  <si>
    <t xml:space="preserve"> </t>
  </si>
  <si>
    <t>Min. B-Score (Superstructure)</t>
  </si>
  <si>
    <t>Min. B-Score (Basement)</t>
  </si>
  <si>
    <t>Yes</t>
  </si>
  <si>
    <r>
      <t xml:space="preserve">(a) We hereby declare that the buildable design score submitted herewith complies with the </t>
    </r>
    <r>
      <rPr>
        <u/>
        <sz val="12"/>
        <color theme="1"/>
        <rFont val="Arial"/>
        <family val="2"/>
      </rPr>
      <t>minimum buildable design score</t>
    </r>
    <r>
      <rPr>
        <sz val="12"/>
        <color theme="1"/>
        <rFont val="Arial"/>
        <family val="2"/>
      </rPr>
      <t xml:space="preserve"> requirement under the Building Control (Buildability and Productivity) Regulations and the computation of the buildable design score is as stated in Form BPD_BS01. We further declare that the particulars required for this submission and as stated in these forms are correct.</t>
    </r>
  </si>
  <si>
    <t>Please select one of the options if you have indicated 'Yes' for Option (b)</t>
  </si>
  <si>
    <r>
      <t xml:space="preserve">(b) We hereby declare that we are submitting one of the </t>
    </r>
    <r>
      <rPr>
        <u/>
        <sz val="12"/>
        <color theme="1"/>
        <rFont val="Arial"/>
        <family val="2"/>
      </rPr>
      <t>outcome-based proposals</t>
    </r>
    <r>
      <rPr>
        <sz val="12"/>
        <color theme="1"/>
        <rFont val="Arial"/>
        <family val="2"/>
      </rPr>
      <t xml:space="preserve"> for the project in lieu of a buildable design score as stated in (a) above.</t>
    </r>
  </si>
  <si>
    <t>PWCS: Pneumatic Waste Conveyance System</t>
  </si>
  <si>
    <t>(2a)</t>
  </si>
  <si>
    <t>(2b)</t>
  </si>
  <si>
    <t>Coverage for prefabricated reinforcement cages shall be computed based on total number of cast in-situ components. Points awarded for the use of prefabricated cages in cast in-situ walls can include staircase storey shelter walls with welded mesh at the outer face of its external walls and loose reinforcing bars for the remaining faces of the walls.</t>
  </si>
  <si>
    <t>Structural steel / Hybrid system of structural steel and precast concrete (see Note B.2a)</t>
  </si>
  <si>
    <t>Prefabricated reinforcement cages for wall (see Note B.2b)</t>
  </si>
  <si>
    <r>
      <t xml:space="preserve">0.8 x 0.8 </t>
    </r>
    <r>
      <rPr>
        <u/>
        <sz val="12"/>
        <rFont val="Arial"/>
        <family val="2"/>
      </rPr>
      <t>or</t>
    </r>
    <r>
      <rPr>
        <sz val="12"/>
        <rFont val="Arial"/>
        <family val="2"/>
      </rPr>
      <t xml:space="preserve"> 0.8 diameter</t>
    </r>
  </si>
  <si>
    <r>
      <t xml:space="preserve">0.7 x 0.7 </t>
    </r>
    <r>
      <rPr>
        <u/>
        <sz val="12"/>
        <rFont val="Arial"/>
        <family val="2"/>
      </rPr>
      <t>or</t>
    </r>
    <r>
      <rPr>
        <sz val="12"/>
        <rFont val="Arial"/>
        <family val="2"/>
      </rPr>
      <t xml:space="preserve"> 0.7 diameter</t>
    </r>
  </si>
  <si>
    <r>
      <t xml:space="preserve">0.65 x 0.65 </t>
    </r>
    <r>
      <rPr>
        <u/>
        <sz val="12"/>
        <rFont val="Arial"/>
        <family val="2"/>
      </rPr>
      <t>or</t>
    </r>
    <r>
      <rPr>
        <sz val="12"/>
        <rFont val="Arial"/>
        <family val="2"/>
      </rPr>
      <t xml:space="preserve"> 0.65 diameter</t>
    </r>
  </si>
  <si>
    <r>
      <t xml:space="preserve">0.6 x 0.6 </t>
    </r>
    <r>
      <rPr>
        <u/>
        <sz val="12"/>
        <rFont val="Arial"/>
        <family val="2"/>
      </rPr>
      <t>or</t>
    </r>
    <r>
      <rPr>
        <sz val="12"/>
        <rFont val="Arial"/>
        <family val="2"/>
      </rPr>
      <t xml:space="preserve"> 
0.6 diameter (only applicable to PWCS)</t>
    </r>
  </si>
  <si>
    <t>Large format tiles (larger than 600mm x 600mm)</t>
  </si>
  <si>
    <t>13.6</t>
  </si>
  <si>
    <t>Prefabricated reinforcement cages for beam (see Note B.2b)</t>
  </si>
  <si>
    <t>Prefabricated reinforcement cages for column (see Note B.2b)</t>
  </si>
  <si>
    <r>
      <t xml:space="preserve">Industry standardised door structural openings (3 most common size in 0.5M) 
</t>
    </r>
    <r>
      <rPr>
        <b/>
        <sz val="12"/>
        <color theme="1"/>
        <rFont val="Arial"/>
        <family val="2"/>
      </rPr>
      <t>(All projects excluding Residential Non-landed)</t>
    </r>
    <r>
      <rPr>
        <sz val="12"/>
        <color theme="1"/>
        <rFont val="Arial"/>
        <family val="2"/>
      </rPr>
      <t xml:space="preserve"> (See Note A.5)</t>
    </r>
  </si>
  <si>
    <t>All residential non-landed projects to adopt a minimum of 65% for industry standard door structural opening (up to 3 sizes). Points will be awarded only if non-residential non-landed project adopts minimum 65% industry standard door structural opening (up to 3 sizes).</t>
  </si>
  <si>
    <t>Industry Standard Door Structural Opening (Width) (mm)</t>
  </si>
  <si>
    <t>(1) The development is on State land which is sold under the Government Land Sales (GLS) / Industrial Government Land Sales (IGLS)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</si>
</sst>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 Repetitions&quot;"/>
  </numFmts>
  <fonts count="39">
    <font>
      <sz val="11"/>
      <color theme="1"/>
      <name val="Calibri"/>
      <family val="2"/>
      <scheme val="minor"/>
    </font>
    <font>
      <b/>
      <sz val="14"/>
      <color rgb="FFFFFFFF"/>
      <name val="Arial"/>
      <family val="2"/>
    </font>
    <font>
      <sz val="14"/>
      <color rgb="FF000000"/>
      <name val="Arial"/>
      <family val="2"/>
    </font>
    <font>
      <sz val="14"/>
      <color rgb="FFFFFFFF"/>
      <name val="Arial"/>
      <family val="2"/>
    </font>
    <font>
      <sz val="14"/>
      <name val="Arial"/>
      <family val="2"/>
    </font>
    <font>
      <b/>
      <sz val="12"/>
      <color theme="1"/>
      <name val="Arial"/>
      <family val="2"/>
    </font>
    <font>
      <sz val="12"/>
      <color theme="1"/>
      <name val="Arial"/>
      <family val="2"/>
    </font>
    <font>
      <sz val="12"/>
      <color rgb="FF0000FF"/>
      <name val="Arial"/>
      <family val="2"/>
    </font>
    <font>
      <i/>
      <sz val="12"/>
      <color theme="1"/>
      <name val="Arial"/>
      <family val="2"/>
    </font>
    <font>
      <sz val="12"/>
      <name val="Arial"/>
      <family val="2"/>
    </font>
    <font>
      <b/>
      <sz val="12"/>
      <color rgb="FF0000FF"/>
      <name val="Arial"/>
      <family val="2"/>
    </font>
    <font>
      <b/>
      <sz val="12"/>
      <name val="Arial"/>
      <family val="2"/>
    </font>
    <font>
      <u/>
      <sz val="12"/>
      <color rgb="FFFF0000"/>
      <name val="Arial"/>
      <family val="2"/>
    </font>
    <font>
      <sz val="12"/>
      <color rgb="FFFF0000"/>
      <name val="Arial"/>
      <family val="2"/>
    </font>
    <font>
      <u/>
      <sz val="12"/>
      <color rgb="FF002060"/>
      <name val="Arial"/>
      <family val="2"/>
    </font>
    <font>
      <sz val="12"/>
      <color rgb="FF002060"/>
      <name val="Arial"/>
      <family val="2"/>
    </font>
    <font>
      <b/>
      <u/>
      <sz val="12"/>
      <color theme="1"/>
      <name val="Arial"/>
      <family val="2"/>
    </font>
    <font>
      <sz val="10"/>
      <name val="Geneva"/>
      <family val="2"/>
    </font>
    <font>
      <sz val="12"/>
      <color rgb="FF000000"/>
      <name val="Arial"/>
      <family val="2"/>
    </font>
    <font>
      <b/>
      <sz val="14"/>
      <name val="Arial"/>
      <family val="2"/>
    </font>
    <font>
      <b/>
      <sz val="12"/>
      <color rgb="FF000000"/>
      <name val="Arial"/>
      <family val="2"/>
    </font>
    <font>
      <b/>
      <sz val="16"/>
      <color theme="1"/>
      <name val="Arial"/>
      <family val="2"/>
    </font>
    <font>
      <sz val="11"/>
      <color theme="1"/>
      <name val="Calibri"/>
      <family val="2"/>
    </font>
    <font>
      <u/>
      <sz val="12"/>
      <color theme="1"/>
      <name val="Arial"/>
      <family val="2"/>
    </font>
    <font>
      <b/>
      <i/>
      <sz val="12"/>
      <name val="Arial"/>
      <family val="2"/>
    </font>
    <font>
      <sz val="12"/>
      <color theme="1"/>
      <name val="Calibri"/>
      <family val="2"/>
    </font>
    <font>
      <sz val="14"/>
      <color theme="1"/>
      <name val="Arial"/>
      <family val="2"/>
    </font>
    <font>
      <b/>
      <vertAlign val="superscript"/>
      <sz val="12"/>
      <color rgb="FF000000"/>
      <name val="Arial"/>
      <family val="2"/>
    </font>
    <font>
      <b/>
      <u/>
      <sz val="14"/>
      <name val="Arial"/>
      <family val="2"/>
    </font>
    <font>
      <b/>
      <u/>
      <sz val="12"/>
      <name val="Arial"/>
      <family val="2"/>
    </font>
    <font>
      <u/>
      <sz val="12"/>
      <name val="Arial"/>
      <family val="2"/>
    </font>
    <font>
      <u/>
      <sz val="12"/>
      <color rgb="FF000000"/>
      <name val="Arial"/>
      <family val="2"/>
    </font>
    <font>
      <sz val="11"/>
      <name val="Calibri"/>
      <family val="2"/>
      <scheme val="minor"/>
    </font>
    <font>
      <i/>
      <sz val="12"/>
      <name val="Arial"/>
      <family val="2"/>
    </font>
    <font>
      <vertAlign val="superscript"/>
      <sz val="12"/>
      <name val="Arial"/>
      <family val="2"/>
    </font>
    <font>
      <b/>
      <i/>
      <u/>
      <sz val="12"/>
      <name val="Arial"/>
      <family val="2"/>
    </font>
    <font>
      <i/>
      <sz val="12"/>
      <color rgb="FF0000FF"/>
      <name val="Arial"/>
      <family val="2"/>
    </font>
    <font>
      <i/>
      <u/>
      <sz val="12"/>
      <name val="Arial"/>
      <family val="2"/>
    </font>
    <font>
      <sz val="11"/>
      <color theme="1"/>
      <name val="Arial"/>
      <family val="2"/>
    </font>
  </fonts>
  <fills count="29">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rgb="FF4F81BD"/>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963A3"/>
        <bgColor indexed="64"/>
      </patternFill>
    </fill>
    <fill>
      <patternFill patternType="solid">
        <fgColor rgb="FFFCBAD6"/>
        <bgColor indexed="64"/>
      </patternFill>
    </fill>
    <fill>
      <patternFill patternType="solid">
        <fgColor theme="0"/>
        <bgColor indexed="64"/>
      </patternFill>
    </fill>
    <fill>
      <patternFill patternType="solid">
        <fgColor rgb="FFFF8047"/>
        <bgColor indexed="64"/>
      </patternFill>
    </fill>
    <fill>
      <patternFill patternType="solid">
        <fgColor rgb="FF0D0D0D"/>
        <bgColor rgb="FF000000"/>
      </patternFill>
    </fill>
    <fill>
      <patternFill patternType="solid">
        <fgColor rgb="FFBDD7EE"/>
        <bgColor rgb="FF000000"/>
      </patternFill>
    </fill>
    <fill>
      <patternFill patternType="solid">
        <fgColor rgb="FFFFFF00"/>
        <bgColor rgb="FF000000"/>
      </patternFill>
    </fill>
    <fill>
      <patternFill patternType="solid">
        <fgColor rgb="FFFFC000"/>
        <bgColor rgb="FF000000"/>
      </patternFill>
    </fill>
    <fill>
      <patternFill patternType="solid">
        <fgColor rgb="FFFFFFFF"/>
        <bgColor rgb="FF000000"/>
      </patternFill>
    </fill>
    <fill>
      <patternFill patternType="solid">
        <fgColor rgb="FFA6A6A6"/>
        <bgColor rgb="FF000000"/>
      </patternFill>
    </fill>
    <fill>
      <patternFill patternType="solid">
        <fgColor rgb="FFCCFFFF"/>
        <bgColor indexed="64"/>
      </patternFill>
    </fill>
    <fill>
      <patternFill patternType="solid">
        <fgColor theme="7"/>
        <bgColor indexed="64"/>
      </patternFill>
    </fill>
    <fill>
      <patternFill patternType="solid">
        <fgColor theme="8" tint="0.59999389629810485"/>
        <bgColor indexed="64"/>
      </patternFill>
    </fill>
  </fills>
  <borders count="5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7" fillId="0" borderId="0"/>
  </cellStyleXfs>
  <cellXfs count="1021">
    <xf numFmtId="0" fontId="0" fillId="0" borderId="0" xfId="0"/>
    <xf numFmtId="9" fontId="4" fillId="0" borderId="0" xfId="0" applyNumberFormat="1" applyFont="1" applyAlignment="1">
      <alignment horizontal="center" vertical="center" readingOrder="1"/>
    </xf>
    <xf numFmtId="9" fontId="2" fillId="0" borderId="0" xfId="0" applyNumberFormat="1" applyFont="1" applyAlignment="1">
      <alignment horizontal="center" vertical="center" wrapText="1" readingOrder="1"/>
    </xf>
    <xf numFmtId="0" fontId="6" fillId="0" borderId="0" xfId="0" applyFont="1"/>
    <xf numFmtId="0" fontId="6" fillId="0" borderId="0" xfId="0" applyFont="1" applyAlignment="1">
      <alignment vertical="center"/>
    </xf>
    <xf numFmtId="0" fontId="6" fillId="0" borderId="3" xfId="0" applyFont="1" applyBorder="1" applyAlignment="1">
      <alignment horizontal="center" vertical="center"/>
    </xf>
    <xf numFmtId="0" fontId="9" fillId="8" borderId="0" xfId="0" applyFont="1" applyFill="1" applyAlignment="1">
      <alignment horizontal="left" vertical="center" wrapText="1" readingOrder="1"/>
    </xf>
    <xf numFmtId="2" fontId="5" fillId="9" borderId="10" xfId="0" applyNumberFormat="1" applyFont="1" applyFill="1" applyBorder="1" applyAlignment="1">
      <alignment horizontal="left" vertical="center"/>
    </xf>
    <xf numFmtId="2" fontId="6" fillId="14" borderId="10" xfId="0" applyNumberFormat="1" applyFont="1" applyFill="1" applyBorder="1" applyAlignment="1">
      <alignment horizontal="center" vertical="center"/>
    </xf>
    <xf numFmtId="2" fontId="9" fillId="0" borderId="3" xfId="0" applyNumberFormat="1" applyFont="1" applyBorder="1" applyAlignment="1">
      <alignment horizontal="center" vertical="center"/>
    </xf>
    <xf numFmtId="0" fontId="6" fillId="0" borderId="0" xfId="0" applyFont="1" applyAlignment="1">
      <alignment horizontal="center" vertical="center"/>
    </xf>
    <xf numFmtId="0" fontId="15" fillId="0" borderId="0" xfId="0" applyFont="1" applyAlignment="1">
      <alignment vertical="top"/>
    </xf>
    <xf numFmtId="0" fontId="11" fillId="10" borderId="15" xfId="0" applyFont="1" applyFill="1" applyBorder="1" applyAlignment="1">
      <alignment horizontal="left" vertical="center"/>
    </xf>
    <xf numFmtId="0" fontId="11" fillId="10" borderId="16" xfId="0" applyFont="1" applyFill="1" applyBorder="1" applyAlignment="1">
      <alignment horizontal="center" vertical="center"/>
    </xf>
    <xf numFmtId="0" fontId="11" fillId="10" borderId="17" xfId="0" applyFont="1" applyFill="1" applyBorder="1" applyAlignment="1">
      <alignment horizontal="center" vertical="center"/>
    </xf>
    <xf numFmtId="0" fontId="5" fillId="10" borderId="15" xfId="0" applyFont="1" applyFill="1" applyBorder="1" applyAlignment="1">
      <alignment horizontal="left" vertical="center"/>
    </xf>
    <xf numFmtId="0" fontId="5" fillId="10" borderId="16" xfId="0" applyFont="1" applyFill="1" applyBorder="1" applyAlignment="1">
      <alignment horizontal="center" vertical="center"/>
    </xf>
    <xf numFmtId="0" fontId="5" fillId="10" borderId="17" xfId="0" applyFont="1" applyFill="1" applyBorder="1" applyAlignment="1">
      <alignment horizontal="center" vertical="center"/>
    </xf>
    <xf numFmtId="0" fontId="5" fillId="0" borderId="28" xfId="0" applyFont="1" applyBorder="1" applyAlignment="1">
      <alignment horizontal="right"/>
    </xf>
    <xf numFmtId="1" fontId="5" fillId="6" borderId="27" xfId="0" applyNumberFormat="1" applyFont="1" applyFill="1" applyBorder="1" applyAlignment="1">
      <alignment horizontal="center" vertical="center"/>
    </xf>
    <xf numFmtId="2" fontId="6" fillId="0" borderId="3" xfId="0" applyNumberFormat="1" applyFont="1" applyBorder="1" applyAlignment="1">
      <alignment horizontal="center" vertical="center"/>
    </xf>
    <xf numFmtId="9" fontId="5" fillId="6" borderId="3" xfId="0" applyNumberFormat="1" applyFont="1" applyFill="1" applyBorder="1" applyAlignment="1">
      <alignment horizontal="center" vertical="center"/>
    </xf>
    <xf numFmtId="10" fontId="6" fillId="14" borderId="10" xfId="0" applyNumberFormat="1" applyFont="1" applyFill="1" applyBorder="1" applyAlignment="1">
      <alignment horizontal="center" vertical="center"/>
    </xf>
    <xf numFmtId="10" fontId="5" fillId="14" borderId="10" xfId="0" applyNumberFormat="1" applyFont="1" applyFill="1" applyBorder="1" applyAlignment="1">
      <alignment horizontal="center" vertical="center" wrapText="1"/>
    </xf>
    <xf numFmtId="10" fontId="5" fillId="9" borderId="10" xfId="0" applyNumberFormat="1" applyFont="1" applyFill="1" applyBorder="1" applyAlignment="1">
      <alignment horizontal="center" vertical="center"/>
    </xf>
    <xf numFmtId="10" fontId="5" fillId="0" borderId="3" xfId="0" applyNumberFormat="1" applyFont="1" applyBorder="1" applyAlignment="1">
      <alignment horizontal="center" vertical="center"/>
    </xf>
    <xf numFmtId="2" fontId="5" fillId="0" borderId="3" xfId="0" applyNumberFormat="1" applyFont="1" applyBorder="1" applyAlignment="1">
      <alignment horizontal="center" vertical="center"/>
    </xf>
    <xf numFmtId="10" fontId="6" fillId="5" borderId="5" xfId="0" applyNumberFormat="1" applyFont="1" applyFill="1" applyBorder="1" applyAlignment="1" applyProtection="1">
      <alignment horizontal="center" vertical="center"/>
      <protection locked="0"/>
    </xf>
    <xf numFmtId="10" fontId="6" fillId="5" borderId="8" xfId="0" applyNumberFormat="1" applyFont="1" applyFill="1" applyBorder="1" applyAlignment="1" applyProtection="1">
      <alignment horizontal="center" vertical="center"/>
      <protection locked="0"/>
    </xf>
    <xf numFmtId="0" fontId="6" fillId="0" borderId="0" xfId="0" applyFont="1" applyAlignment="1">
      <alignment vertical="top"/>
    </xf>
    <xf numFmtId="10" fontId="9" fillId="5" borderId="3" xfId="0" applyNumberFormat="1" applyFont="1" applyFill="1" applyBorder="1" applyAlignment="1" applyProtection="1">
      <alignment horizontal="center" vertical="center"/>
      <protection locked="0"/>
    </xf>
    <xf numFmtId="10" fontId="6" fillId="0" borderId="3" xfId="0" applyNumberFormat="1" applyFont="1" applyBorder="1" applyAlignment="1">
      <alignment horizontal="center" vertical="center"/>
    </xf>
    <xf numFmtId="0" fontId="6" fillId="4" borderId="10" xfId="0" applyFont="1" applyFill="1" applyBorder="1" applyAlignment="1">
      <alignment horizontal="center" vertical="center"/>
    </xf>
    <xf numFmtId="2" fontId="6" fillId="4" borderId="10" xfId="0" applyNumberFormat="1" applyFont="1" applyFill="1" applyBorder="1" applyAlignment="1">
      <alignment horizontal="center" vertical="center"/>
    </xf>
    <xf numFmtId="10" fontId="6" fillId="4" borderId="10" xfId="0" applyNumberFormat="1" applyFont="1" applyFill="1" applyBorder="1" applyAlignment="1">
      <alignment horizontal="center" vertical="center"/>
    </xf>
    <xf numFmtId="2" fontId="6" fillId="4" borderId="10" xfId="0" applyNumberFormat="1" applyFont="1" applyFill="1" applyBorder="1" applyAlignment="1">
      <alignment horizontal="left" vertical="center"/>
    </xf>
    <xf numFmtId="2" fontId="5" fillId="14" borderId="10" xfId="0" applyNumberFormat="1" applyFont="1" applyFill="1" applyBorder="1" applyAlignment="1">
      <alignment horizontal="center" vertical="center" wrapText="1"/>
    </xf>
    <xf numFmtId="2" fontId="6" fillId="5" borderId="4" xfId="0" applyNumberFormat="1" applyFont="1" applyFill="1" applyBorder="1" applyAlignment="1" applyProtection="1">
      <alignment horizontal="center" vertical="center"/>
      <protection locked="0"/>
    </xf>
    <xf numFmtId="2" fontId="6" fillId="5" borderId="7" xfId="0" applyNumberFormat="1" applyFont="1" applyFill="1" applyBorder="1" applyAlignment="1" applyProtection="1">
      <alignment horizontal="center" vertical="center"/>
      <protection locked="0"/>
    </xf>
    <xf numFmtId="0" fontId="9" fillId="0" borderId="3" xfId="0" applyFont="1" applyBorder="1" applyAlignment="1">
      <alignment horizontal="center" vertical="center" wrapText="1"/>
    </xf>
    <xf numFmtId="0" fontId="5" fillId="14" borderId="8" xfId="0" applyFont="1" applyFill="1" applyBorder="1" applyAlignment="1">
      <alignment horizontal="left" vertical="top"/>
    </xf>
    <xf numFmtId="0" fontId="5" fillId="14" borderId="10" xfId="0" applyFont="1" applyFill="1" applyBorder="1" applyAlignment="1">
      <alignment vertical="top"/>
    </xf>
    <xf numFmtId="0" fontId="5" fillId="14" borderId="9" xfId="0" applyFont="1" applyFill="1" applyBorder="1" applyAlignment="1">
      <alignment vertical="top"/>
    </xf>
    <xf numFmtId="0" fontId="5" fillId="14" borderId="3" xfId="0" applyFont="1" applyFill="1" applyBorder="1" applyAlignment="1">
      <alignment horizontal="center" vertical="top" wrapText="1"/>
    </xf>
    <xf numFmtId="0" fontId="9" fillId="0" borderId="0" xfId="0" applyFont="1" applyAlignment="1">
      <alignment horizontal="left" vertical="top" wrapText="1"/>
    </xf>
    <xf numFmtId="0" fontId="6" fillId="0" borderId="0" xfId="0" applyFont="1" applyAlignment="1">
      <alignment vertical="top" wrapText="1"/>
    </xf>
    <xf numFmtId="0" fontId="5" fillId="9" borderId="8" xfId="0" applyFont="1" applyFill="1" applyBorder="1" applyAlignment="1">
      <alignment horizontal="left" vertical="top"/>
    </xf>
    <xf numFmtId="0" fontId="5" fillId="9" borderId="10" xfId="0" applyFont="1" applyFill="1" applyBorder="1" applyAlignment="1">
      <alignment vertical="top"/>
    </xf>
    <xf numFmtId="0" fontId="5" fillId="9" borderId="10" xfId="0" applyFont="1" applyFill="1" applyBorder="1" applyAlignment="1">
      <alignment horizontal="center" vertical="top" wrapText="1"/>
    </xf>
    <xf numFmtId="0" fontId="6" fillId="14" borderId="10" xfId="0" applyFont="1" applyFill="1" applyBorder="1" applyAlignment="1">
      <alignment vertical="top"/>
    </xf>
    <xf numFmtId="0" fontId="5" fillId="14" borderId="10" xfId="0" applyFont="1" applyFill="1" applyBorder="1" applyAlignment="1">
      <alignment horizontal="center" vertical="top"/>
    </xf>
    <xf numFmtId="2" fontId="7" fillId="14" borderId="10" xfId="0" applyNumberFormat="1" applyFont="1" applyFill="1" applyBorder="1" applyAlignment="1">
      <alignment horizontal="center" vertical="top"/>
    </xf>
    <xf numFmtId="2" fontId="5" fillId="14" borderId="10" xfId="0" applyNumberFormat="1" applyFont="1" applyFill="1" applyBorder="1" applyAlignment="1">
      <alignment horizontal="center" vertical="center"/>
    </xf>
    <xf numFmtId="49" fontId="6" fillId="0" borderId="0" xfId="0" applyNumberFormat="1" applyFont="1" applyAlignment="1">
      <alignment vertical="top" wrapText="1"/>
    </xf>
    <xf numFmtId="10" fontId="9" fillId="0" borderId="3" xfId="0" applyNumberFormat="1" applyFont="1" applyBorder="1" applyAlignment="1">
      <alignment horizontal="center" vertical="center"/>
    </xf>
    <xf numFmtId="0" fontId="6" fillId="0" borderId="0" xfId="0" applyFont="1" applyAlignment="1">
      <alignment horizontal="center" vertical="top"/>
    </xf>
    <xf numFmtId="2" fontId="10" fillId="14" borderId="10" xfId="0" applyNumberFormat="1" applyFont="1" applyFill="1" applyBorder="1" applyAlignment="1">
      <alignment horizontal="center" vertical="top"/>
    </xf>
    <xf numFmtId="0" fontId="5" fillId="9" borderId="10" xfId="0" applyFont="1" applyFill="1" applyBorder="1" applyAlignment="1">
      <alignment horizontal="left" vertical="top"/>
    </xf>
    <xf numFmtId="0" fontId="6" fillId="9" borderId="10" xfId="0" applyFont="1" applyFill="1" applyBorder="1" applyAlignment="1">
      <alignment vertical="top"/>
    </xf>
    <xf numFmtId="0" fontId="6" fillId="0" borderId="0" xfId="0" applyFont="1" applyAlignment="1">
      <alignment horizontal="left" vertical="top" wrapText="1"/>
    </xf>
    <xf numFmtId="49" fontId="6" fillId="0" borderId="0" xfId="0" applyNumberFormat="1" applyFont="1" applyAlignment="1">
      <alignment horizontal="left" vertical="top" wrapText="1"/>
    </xf>
    <xf numFmtId="0" fontId="11" fillId="14" borderId="5" xfId="0" applyFont="1" applyFill="1" applyBorder="1" applyAlignment="1">
      <alignment horizontal="left" vertical="top"/>
    </xf>
    <xf numFmtId="0" fontId="13" fillId="0" borderId="0" xfId="0" applyFont="1" applyAlignment="1">
      <alignment vertical="top"/>
    </xf>
    <xf numFmtId="0" fontId="6" fillId="14" borderId="6" xfId="0" applyFont="1" applyFill="1" applyBorder="1" applyAlignment="1">
      <alignment vertical="top"/>
    </xf>
    <xf numFmtId="0" fontId="12" fillId="0" borderId="0" xfId="0" applyFont="1" applyAlignment="1">
      <alignment vertical="top"/>
    </xf>
    <xf numFmtId="0" fontId="5" fillId="9" borderId="10" xfId="0" applyFont="1" applyFill="1" applyBorder="1" applyAlignment="1">
      <alignment horizontal="center" vertical="top"/>
    </xf>
    <xf numFmtId="10" fontId="9" fillId="5" borderId="3" xfId="0" applyNumberFormat="1" applyFont="1" applyFill="1" applyBorder="1" applyAlignment="1" applyProtection="1">
      <alignment horizontal="center" vertical="top"/>
      <protection locked="0"/>
    </xf>
    <xf numFmtId="10" fontId="6" fillId="5" borderId="3" xfId="0" applyNumberFormat="1" applyFont="1" applyFill="1" applyBorder="1" applyAlignment="1" applyProtection="1">
      <alignment horizontal="center" vertical="top"/>
      <protection locked="0"/>
    </xf>
    <xf numFmtId="0" fontId="5" fillId="9" borderId="5" xfId="0" applyFont="1" applyFill="1" applyBorder="1" applyAlignment="1">
      <alignment horizontal="left" vertical="top"/>
    </xf>
    <xf numFmtId="0" fontId="6" fillId="9" borderId="14" xfId="0" applyFont="1" applyFill="1" applyBorder="1" applyAlignment="1">
      <alignment vertical="top"/>
    </xf>
    <xf numFmtId="0" fontId="5" fillId="9" borderId="14" xfId="0" applyFont="1" applyFill="1" applyBorder="1" applyAlignment="1">
      <alignment horizontal="center" vertical="top"/>
    </xf>
    <xf numFmtId="0" fontId="5" fillId="9" borderId="14" xfId="0" applyFont="1" applyFill="1" applyBorder="1" applyAlignment="1">
      <alignment horizontal="center" vertical="top" wrapText="1"/>
    </xf>
    <xf numFmtId="10" fontId="6" fillId="5" borderId="8" xfId="0" applyNumberFormat="1" applyFont="1" applyFill="1" applyBorder="1" applyAlignment="1" applyProtection="1">
      <alignment horizontal="center" vertical="top"/>
      <protection locked="0"/>
    </xf>
    <xf numFmtId="0" fontId="14" fillId="0" borderId="0" xfId="0" applyFont="1" applyAlignment="1">
      <alignment vertical="top"/>
    </xf>
    <xf numFmtId="0" fontId="11" fillId="9" borderId="5" xfId="0" applyFont="1" applyFill="1" applyBorder="1" applyAlignment="1">
      <alignment horizontal="left" vertical="top"/>
    </xf>
    <xf numFmtId="2" fontId="6" fillId="9" borderId="10" xfId="0" applyNumberFormat="1" applyFont="1" applyFill="1" applyBorder="1" applyAlignment="1">
      <alignment horizontal="center" vertical="center"/>
    </xf>
    <xf numFmtId="10" fontId="6" fillId="9" borderId="10" xfId="0" applyNumberFormat="1" applyFont="1" applyFill="1" applyBorder="1" applyAlignment="1">
      <alignment horizontal="center" vertical="center"/>
    </xf>
    <xf numFmtId="0" fontId="6" fillId="5" borderId="9" xfId="0" applyFont="1" applyFill="1" applyBorder="1" applyAlignment="1" applyProtection="1">
      <alignment vertical="top"/>
      <protection locked="0"/>
    </xf>
    <xf numFmtId="2" fontId="5" fillId="7" borderId="3" xfId="0" applyNumberFormat="1" applyFont="1" applyFill="1" applyBorder="1" applyAlignment="1">
      <alignment horizontal="center" vertical="top"/>
    </xf>
    <xf numFmtId="0" fontId="5" fillId="0" borderId="0" xfId="0" applyFont="1" applyAlignment="1">
      <alignment horizontal="center" vertical="top"/>
    </xf>
    <xf numFmtId="0" fontId="6" fillId="2" borderId="9" xfId="0" applyFont="1" applyFill="1" applyBorder="1" applyAlignment="1">
      <alignment vertical="top"/>
    </xf>
    <xf numFmtId="0" fontId="5" fillId="2" borderId="2"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10" borderId="8" xfId="0" applyFont="1" applyFill="1" applyBorder="1" applyAlignment="1">
      <alignment horizontal="left" vertical="top"/>
    </xf>
    <xf numFmtId="0" fontId="5" fillId="10" borderId="10" xfId="0" applyFont="1" applyFill="1" applyBorder="1" applyAlignment="1">
      <alignment horizontal="left" vertical="top"/>
    </xf>
    <xf numFmtId="0" fontId="5" fillId="10" borderId="10" xfId="0" applyFont="1" applyFill="1" applyBorder="1" applyAlignment="1">
      <alignment horizontal="center" vertical="top" wrapText="1"/>
    </xf>
    <xf numFmtId="0" fontId="5" fillId="3" borderId="8" xfId="0" applyFont="1" applyFill="1" applyBorder="1" applyAlignment="1">
      <alignment horizontal="left" vertical="top"/>
    </xf>
    <xf numFmtId="0" fontId="5" fillId="3" borderId="10" xfId="0" applyFont="1" applyFill="1" applyBorder="1" applyAlignment="1">
      <alignment horizontal="center" vertical="top"/>
    </xf>
    <xf numFmtId="0" fontId="5" fillId="3" borderId="10" xfId="0" applyFont="1" applyFill="1" applyBorder="1" applyAlignment="1">
      <alignment horizontal="center" vertical="top" wrapText="1"/>
    </xf>
    <xf numFmtId="2" fontId="6" fillId="0" borderId="13" xfId="0" applyNumberFormat="1" applyFont="1" applyBorder="1" applyAlignment="1">
      <alignment horizontal="center" vertical="top"/>
    </xf>
    <xf numFmtId="2" fontId="6" fillId="5" borderId="30" xfId="0" applyNumberFormat="1" applyFont="1" applyFill="1" applyBorder="1" applyAlignment="1" applyProtection="1">
      <alignment horizontal="center" vertical="top"/>
      <protection locked="0"/>
    </xf>
    <xf numFmtId="10" fontId="6" fillId="0" borderId="30" xfId="0" applyNumberFormat="1" applyFont="1" applyBorder="1" applyAlignment="1">
      <alignment horizontal="center" vertical="top"/>
    </xf>
    <xf numFmtId="0" fontId="5" fillId="3" borderId="8" xfId="0" quotePrefix="1" applyFont="1" applyFill="1" applyBorder="1" applyAlignment="1">
      <alignment horizontal="left" vertical="top"/>
    </xf>
    <xf numFmtId="0" fontId="6" fillId="3" borderId="10" xfId="0" applyFont="1" applyFill="1" applyBorder="1" applyAlignment="1">
      <alignment vertical="top"/>
    </xf>
    <xf numFmtId="2" fontId="6" fillId="3" borderId="10" xfId="0" applyNumberFormat="1" applyFont="1" applyFill="1" applyBorder="1" applyAlignment="1">
      <alignment vertical="top"/>
    </xf>
    <xf numFmtId="2" fontId="6" fillId="3" borderId="10" xfId="0" applyNumberFormat="1" applyFont="1" applyFill="1" applyBorder="1" applyAlignment="1">
      <alignment horizontal="center" vertical="top"/>
    </xf>
    <xf numFmtId="10" fontId="6" fillId="3" borderId="10" xfId="0" applyNumberFormat="1" applyFont="1" applyFill="1" applyBorder="1" applyAlignment="1">
      <alignment horizontal="center" vertical="top"/>
    </xf>
    <xf numFmtId="2" fontId="6" fillId="0" borderId="10" xfId="0" applyNumberFormat="1" applyFont="1" applyBorder="1" applyAlignment="1">
      <alignment horizontal="center" vertical="top"/>
    </xf>
    <xf numFmtId="2" fontId="6" fillId="0" borderId="3" xfId="0" applyNumberFormat="1" applyFont="1" applyBorder="1" applyAlignment="1">
      <alignment horizontal="center" vertical="top"/>
    </xf>
    <xf numFmtId="0" fontId="5" fillId="10" borderId="12" xfId="0" applyFont="1" applyFill="1" applyBorder="1" applyAlignment="1">
      <alignment horizontal="left" vertical="top"/>
    </xf>
    <xf numFmtId="0" fontId="5" fillId="10" borderId="0" xfId="0" applyFont="1" applyFill="1" applyAlignment="1">
      <alignment horizontal="left" vertical="top"/>
    </xf>
    <xf numFmtId="0" fontId="6" fillId="10" borderId="0" xfId="0" applyFont="1" applyFill="1" applyAlignment="1">
      <alignment vertical="top"/>
    </xf>
    <xf numFmtId="2" fontId="5" fillId="10" borderId="0" xfId="0" applyNumberFormat="1" applyFont="1" applyFill="1" applyAlignment="1">
      <alignment horizontal="left" vertical="top"/>
    </xf>
    <xf numFmtId="2" fontId="5" fillId="10" borderId="0" xfId="0" applyNumberFormat="1" applyFont="1" applyFill="1" applyAlignment="1">
      <alignment horizontal="center" vertical="top"/>
    </xf>
    <xf numFmtId="10" fontId="5" fillId="10" borderId="0" xfId="0" applyNumberFormat="1" applyFont="1" applyFill="1" applyAlignment="1">
      <alignment horizontal="center" vertical="top"/>
    </xf>
    <xf numFmtId="2" fontId="6" fillId="0" borderId="6" xfId="0" applyNumberFormat="1" applyFont="1" applyBorder="1" applyAlignment="1">
      <alignment horizontal="center" vertical="top"/>
    </xf>
    <xf numFmtId="0" fontId="5" fillId="3" borderId="5" xfId="0" applyFont="1" applyFill="1" applyBorder="1" applyAlignment="1">
      <alignment horizontal="left" vertical="top"/>
    </xf>
    <xf numFmtId="0" fontId="6" fillId="0" borderId="3" xfId="0" applyFont="1" applyBorder="1" applyAlignment="1">
      <alignment horizontal="center" vertical="top"/>
    </xf>
    <xf numFmtId="0" fontId="6" fillId="9" borderId="10" xfId="0" applyFont="1" applyFill="1" applyBorder="1" applyAlignment="1">
      <alignment horizontal="center" vertical="top"/>
    </xf>
    <xf numFmtId="0" fontId="5" fillId="9" borderId="1" xfId="0" applyFont="1" applyFill="1" applyBorder="1" applyAlignment="1">
      <alignment horizontal="left" vertical="top"/>
    </xf>
    <xf numFmtId="0" fontId="5" fillId="9" borderId="11" xfId="0" applyFont="1" applyFill="1" applyBorder="1" applyAlignment="1">
      <alignment horizontal="left" vertical="top"/>
    </xf>
    <xf numFmtId="0" fontId="6" fillId="5" borderId="3" xfId="0" applyFont="1" applyFill="1" applyBorder="1" applyAlignment="1" applyProtection="1">
      <alignment vertical="top"/>
      <protection locked="0"/>
    </xf>
    <xf numFmtId="1" fontId="5" fillId="0" borderId="0" xfId="0" applyNumberFormat="1" applyFont="1" applyAlignment="1">
      <alignment horizontal="center" vertical="center"/>
    </xf>
    <xf numFmtId="0" fontId="5" fillId="15" borderId="11" xfId="0" applyFont="1" applyFill="1" applyBorder="1" applyAlignment="1">
      <alignment horizontal="center" vertical="top"/>
    </xf>
    <xf numFmtId="0" fontId="6" fillId="9" borderId="11" xfId="0" applyFont="1" applyFill="1" applyBorder="1" applyAlignment="1">
      <alignment vertical="top"/>
    </xf>
    <xf numFmtId="0" fontId="6" fillId="9" borderId="11" xfId="0" applyFont="1" applyFill="1" applyBorder="1" applyAlignment="1">
      <alignment horizontal="center" vertical="top"/>
    </xf>
    <xf numFmtId="0" fontId="5" fillId="4" borderId="8" xfId="0" applyFont="1" applyFill="1" applyBorder="1" applyAlignment="1">
      <alignment horizontal="left" vertical="top"/>
    </xf>
    <xf numFmtId="0" fontId="5" fillId="4" borderId="10" xfId="0" applyFont="1" applyFill="1" applyBorder="1" applyAlignment="1">
      <alignment vertical="top"/>
    </xf>
    <xf numFmtId="0" fontId="5" fillId="4" borderId="10" xfId="0" applyFont="1" applyFill="1" applyBorder="1" applyAlignment="1">
      <alignment horizontal="center" vertical="top"/>
    </xf>
    <xf numFmtId="0" fontId="5" fillId="4" borderId="5" xfId="0" quotePrefix="1" applyFont="1" applyFill="1" applyBorder="1" applyAlignment="1">
      <alignment horizontal="left" vertical="top"/>
    </xf>
    <xf numFmtId="0" fontId="6" fillId="4" borderId="14" xfId="0" applyFont="1" applyFill="1" applyBorder="1" applyAlignment="1">
      <alignment vertical="top"/>
    </xf>
    <xf numFmtId="0" fontId="6" fillId="4" borderId="10" xfId="0" applyFont="1" applyFill="1" applyBorder="1" applyAlignment="1">
      <alignment horizontal="left" vertical="top"/>
    </xf>
    <xf numFmtId="0" fontId="5" fillId="4" borderId="5" xfId="0" applyFont="1" applyFill="1" applyBorder="1" applyAlignment="1">
      <alignment horizontal="left" vertical="top"/>
    </xf>
    <xf numFmtId="0" fontId="6" fillId="4" borderId="14" xfId="0" applyFont="1" applyFill="1" applyBorder="1" applyAlignment="1">
      <alignment horizontal="center" vertical="top"/>
    </xf>
    <xf numFmtId="2" fontId="6" fillId="4" borderId="14" xfId="0" applyNumberFormat="1" applyFont="1" applyFill="1" applyBorder="1" applyAlignment="1">
      <alignment horizontal="center" vertical="top"/>
    </xf>
    <xf numFmtId="10" fontId="6" fillId="4" borderId="14" xfId="0" applyNumberFormat="1" applyFont="1" applyFill="1" applyBorder="1" applyAlignment="1">
      <alignment horizontal="center" vertical="top"/>
    </xf>
    <xf numFmtId="0" fontId="6" fillId="4" borderId="10" xfId="0" applyFont="1" applyFill="1" applyBorder="1" applyAlignment="1">
      <alignment horizontal="center" vertical="top"/>
    </xf>
    <xf numFmtId="2" fontId="6" fillId="4" borderId="10" xfId="0" applyNumberFormat="1" applyFont="1" applyFill="1" applyBorder="1" applyAlignment="1">
      <alignment horizontal="center" vertical="top"/>
    </xf>
    <xf numFmtId="10" fontId="6" fillId="4" borderId="10" xfId="0" applyNumberFormat="1" applyFont="1" applyFill="1" applyBorder="1" applyAlignment="1">
      <alignment horizontal="center" vertical="top"/>
    </xf>
    <xf numFmtId="0" fontId="5" fillId="9" borderId="2" xfId="0" applyFont="1" applyFill="1" applyBorder="1" applyAlignment="1">
      <alignment horizontal="left" vertical="top"/>
    </xf>
    <xf numFmtId="0" fontId="5" fillId="9" borderId="3" xfId="0" applyFont="1" applyFill="1" applyBorder="1" applyAlignment="1">
      <alignment horizontal="left" vertical="top"/>
    </xf>
    <xf numFmtId="0" fontId="6" fillId="9" borderId="3" xfId="0" applyFont="1" applyFill="1" applyBorder="1" applyAlignment="1">
      <alignment vertical="top"/>
    </xf>
    <xf numFmtId="0" fontId="6" fillId="9" borderId="3" xfId="0" applyFont="1" applyFill="1" applyBorder="1" applyAlignment="1">
      <alignment horizontal="center" vertical="top"/>
    </xf>
    <xf numFmtId="2" fontId="5" fillId="15" borderId="3" xfId="0" applyNumberFormat="1" applyFont="1" applyFill="1" applyBorder="1" applyAlignment="1">
      <alignment horizontal="center" vertical="top"/>
    </xf>
    <xf numFmtId="9" fontId="5" fillId="0" borderId="0" xfId="0" applyNumberFormat="1" applyFont="1" applyAlignment="1">
      <alignment horizontal="center" vertical="top"/>
    </xf>
    <xf numFmtId="1" fontId="5" fillId="0" borderId="0" xfId="0" applyNumberFormat="1" applyFont="1" applyAlignment="1">
      <alignment vertical="top"/>
    </xf>
    <xf numFmtId="0" fontId="5" fillId="17" borderId="11" xfId="0" applyFont="1" applyFill="1" applyBorder="1" applyAlignment="1">
      <alignment horizontal="center" vertical="top"/>
    </xf>
    <xf numFmtId="0" fontId="5" fillId="17" borderId="3" xfId="0" applyFont="1" applyFill="1" applyBorder="1" applyAlignment="1">
      <alignment horizontal="center" vertical="top"/>
    </xf>
    <xf numFmtId="0" fontId="5" fillId="17" borderId="1" xfId="0" applyFont="1" applyFill="1" applyBorder="1" applyAlignment="1">
      <alignment horizontal="center" vertical="top" wrapText="1"/>
    </xf>
    <xf numFmtId="0" fontId="5" fillId="9" borderId="10" xfId="0" applyFont="1" applyFill="1" applyBorder="1" applyAlignment="1">
      <alignment vertical="top" wrapText="1"/>
    </xf>
    <xf numFmtId="2" fontId="5" fillId="5" borderId="9" xfId="0" applyNumberFormat="1" applyFont="1" applyFill="1" applyBorder="1" applyAlignment="1" applyProtection="1">
      <alignment horizontal="center" vertical="top"/>
      <protection locked="0"/>
    </xf>
    <xf numFmtId="10" fontId="5" fillId="5" borderId="3" xfId="0" applyNumberFormat="1" applyFont="1" applyFill="1" applyBorder="1" applyAlignment="1" applyProtection="1">
      <alignment horizontal="center" vertical="top"/>
      <protection locked="0"/>
    </xf>
    <xf numFmtId="2" fontId="6" fillId="5" borderId="9" xfId="0" applyNumberFormat="1" applyFont="1" applyFill="1" applyBorder="1" applyAlignment="1" applyProtection="1">
      <alignment vertical="top"/>
      <protection locked="0"/>
    </xf>
    <xf numFmtId="2" fontId="5" fillId="17" borderId="3" xfId="0" applyNumberFormat="1" applyFont="1" applyFill="1" applyBorder="1" applyAlignment="1">
      <alignment horizontal="center" vertical="top"/>
    </xf>
    <xf numFmtId="10" fontId="5" fillId="6" borderId="3" xfId="0" applyNumberFormat="1" applyFont="1" applyFill="1" applyBorder="1" applyAlignment="1">
      <alignment horizontal="center" vertical="top"/>
    </xf>
    <xf numFmtId="0" fontId="6" fillId="10" borderId="16" xfId="0" applyFont="1" applyFill="1" applyBorder="1"/>
    <xf numFmtId="0" fontId="5" fillId="10" borderId="16" xfId="0" applyFont="1" applyFill="1" applyBorder="1" applyAlignment="1">
      <alignment horizontal="right" vertical="center"/>
    </xf>
    <xf numFmtId="0" fontId="6" fillId="0" borderId="8" xfId="0" applyFont="1" applyBorder="1" applyAlignment="1">
      <alignment horizontal="center" vertical="center"/>
    </xf>
    <xf numFmtId="0" fontId="9" fillId="0" borderId="0" xfId="0" applyFont="1" applyAlignment="1">
      <alignment horizontal="left" vertical="center" wrapText="1" readingOrder="1"/>
    </xf>
    <xf numFmtId="0" fontId="9" fillId="0" borderId="10" xfId="0" applyFont="1" applyBorder="1" applyAlignment="1">
      <alignment horizontal="center" vertical="center"/>
    </xf>
    <xf numFmtId="0" fontId="6" fillId="0" borderId="10" xfId="0" applyFont="1" applyBorder="1" applyAlignment="1">
      <alignment horizontal="center" vertical="center" wrapText="1"/>
    </xf>
    <xf numFmtId="0" fontId="9" fillId="0" borderId="10" xfId="0" quotePrefix="1" applyFont="1" applyBorder="1" applyAlignment="1">
      <alignment horizontal="center" vertical="center" wrapText="1"/>
    </xf>
    <xf numFmtId="0" fontId="6" fillId="0" borderId="0" xfId="0" applyFont="1" applyAlignment="1">
      <alignment horizontal="left" vertical="center"/>
    </xf>
    <xf numFmtId="0" fontId="9" fillId="19" borderId="2" xfId="0" applyFont="1" applyFill="1" applyBorder="1" applyAlignment="1">
      <alignment vertical="top"/>
    </xf>
    <xf numFmtId="0" fontId="9" fillId="19" borderId="6" xfId="0" applyFont="1" applyFill="1" applyBorder="1" applyAlignment="1">
      <alignment vertical="top"/>
    </xf>
    <xf numFmtId="2" fontId="6" fillId="5" borderId="4" xfId="0" applyNumberFormat="1" applyFont="1" applyFill="1" applyBorder="1" applyAlignment="1" applyProtection="1">
      <alignment horizontal="center" vertical="top"/>
      <protection locked="0"/>
    </xf>
    <xf numFmtId="2" fontId="6" fillId="5" borderId="7" xfId="0" applyNumberFormat="1" applyFont="1" applyFill="1" applyBorder="1" applyAlignment="1" applyProtection="1">
      <alignment horizontal="center" vertical="top"/>
      <protection locked="0"/>
    </xf>
    <xf numFmtId="0" fontId="6" fillId="5" borderId="3" xfId="0" applyFont="1" applyFill="1" applyBorder="1" applyAlignment="1" applyProtection="1">
      <alignment horizontal="center" vertical="top" wrapText="1"/>
      <protection locked="0"/>
    </xf>
    <xf numFmtId="0" fontId="5" fillId="3" borderId="1" xfId="0" applyFont="1" applyFill="1" applyBorder="1" applyAlignment="1">
      <alignment horizontal="left" vertical="top"/>
    </xf>
    <xf numFmtId="0" fontId="6" fillId="3" borderId="11" xfId="0" applyFont="1" applyFill="1" applyBorder="1" applyAlignment="1">
      <alignment vertical="top"/>
    </xf>
    <xf numFmtId="0" fontId="5" fillId="3" borderId="10" xfId="0" applyFont="1" applyFill="1" applyBorder="1" applyAlignment="1">
      <alignment horizontal="center" vertical="center"/>
    </xf>
    <xf numFmtId="2" fontId="5" fillId="3" borderId="10" xfId="0" applyNumberFormat="1" applyFont="1" applyFill="1" applyBorder="1" applyAlignment="1">
      <alignment horizontal="center" vertical="center" wrapText="1"/>
    </xf>
    <xf numFmtId="10" fontId="5" fillId="3" borderId="10" xfId="0" applyNumberFormat="1" applyFont="1" applyFill="1" applyBorder="1" applyAlignment="1">
      <alignment horizontal="center" vertical="center" wrapText="1"/>
    </xf>
    <xf numFmtId="0" fontId="6" fillId="0" borderId="6" xfId="0" applyFont="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2" fontId="5" fillId="2" borderId="3" xfId="0" applyNumberFormat="1" applyFont="1" applyFill="1" applyBorder="1" applyAlignment="1">
      <alignment horizontal="center" vertical="top"/>
    </xf>
    <xf numFmtId="0" fontId="5" fillId="5" borderId="3" xfId="0" applyFont="1" applyFill="1" applyBorder="1" applyAlignment="1" applyProtection="1">
      <alignment horizontal="center" vertical="top"/>
      <protection locked="0"/>
    </xf>
    <xf numFmtId="0" fontId="6" fillId="2" borderId="10" xfId="0" applyFont="1" applyFill="1" applyBorder="1" applyAlignment="1">
      <alignment vertical="top"/>
    </xf>
    <xf numFmtId="0" fontId="6" fillId="12" borderId="10" xfId="0" applyFont="1" applyFill="1" applyBorder="1"/>
    <xf numFmtId="0" fontId="5" fillId="12" borderId="10" xfId="0" applyFont="1" applyFill="1" applyBorder="1" applyAlignment="1">
      <alignment horizontal="right" vertical="center"/>
    </xf>
    <xf numFmtId="0" fontId="5" fillId="12" borderId="10" xfId="0" applyFont="1" applyFill="1" applyBorder="1" applyAlignment="1">
      <alignment horizontal="center" vertical="center"/>
    </xf>
    <xf numFmtId="0" fontId="6" fillId="0" borderId="0" xfId="0" applyFont="1" applyAlignment="1">
      <alignment horizontal="center" vertical="top" wrapText="1"/>
    </xf>
    <xf numFmtId="49" fontId="6" fillId="0" borderId="0" xfId="0" applyNumberFormat="1" applyFont="1"/>
    <xf numFmtId="49" fontId="6" fillId="0" borderId="0" xfId="0" applyNumberFormat="1" applyFont="1" applyAlignment="1">
      <alignment vertical="top"/>
    </xf>
    <xf numFmtId="0" fontId="5" fillId="9" borderId="14" xfId="0" applyFont="1" applyFill="1" applyBorder="1" applyAlignment="1">
      <alignment horizontal="left" vertical="top"/>
    </xf>
    <xf numFmtId="0" fontId="5" fillId="2" borderId="9" xfId="0" applyFont="1" applyFill="1" applyBorder="1" applyAlignment="1">
      <alignment vertical="top"/>
    </xf>
    <xf numFmtId="0" fontId="6" fillId="0" borderId="9" xfId="0" applyFont="1" applyBorder="1" applyAlignment="1">
      <alignment horizontal="center" vertical="top"/>
    </xf>
    <xf numFmtId="2" fontId="6" fillId="5" borderId="6" xfId="0" applyNumberFormat="1" applyFont="1" applyFill="1" applyBorder="1" applyAlignment="1" applyProtection="1">
      <alignment horizontal="center" vertical="center"/>
      <protection locked="0"/>
    </xf>
    <xf numFmtId="2" fontId="6" fillId="5" borderId="9" xfId="0" applyNumberFormat="1" applyFont="1" applyFill="1" applyBorder="1" applyAlignment="1" applyProtection="1">
      <alignment horizontal="center" vertical="center"/>
      <protection locked="0"/>
    </xf>
    <xf numFmtId="0" fontId="5" fillId="6" borderId="10" xfId="0" applyFont="1" applyFill="1" applyBorder="1" applyAlignment="1">
      <alignment vertical="top"/>
    </xf>
    <xf numFmtId="0" fontId="5" fillId="6" borderId="3" xfId="0" applyFont="1" applyFill="1" applyBorder="1" applyAlignment="1">
      <alignment horizontal="center" vertical="center" wrapText="1"/>
    </xf>
    <xf numFmtId="10" fontId="5" fillId="6" borderId="3" xfId="0" applyNumberFormat="1" applyFont="1" applyFill="1" applyBorder="1" applyAlignment="1">
      <alignment horizontal="center" vertical="center" wrapText="1"/>
    </xf>
    <xf numFmtId="0" fontId="5" fillId="6" borderId="3" xfId="0" applyFont="1" applyFill="1" applyBorder="1" applyAlignment="1">
      <alignment horizontal="center" vertical="top" wrapText="1"/>
    </xf>
    <xf numFmtId="9" fontId="6" fillId="18" borderId="3" xfId="0" applyNumberFormat="1" applyFont="1" applyFill="1" applyBorder="1" applyAlignment="1">
      <alignment horizontal="center"/>
    </xf>
    <xf numFmtId="9" fontId="6" fillId="5" borderId="3" xfId="0" applyNumberFormat="1" applyFont="1" applyFill="1" applyBorder="1" applyAlignment="1" applyProtection="1">
      <alignment horizontal="center" vertical="center"/>
      <protection locked="0"/>
    </xf>
    <xf numFmtId="0" fontId="11" fillId="11" borderId="3" xfId="1" applyFont="1" applyFill="1" applyBorder="1" applyAlignment="1">
      <alignment horizontal="center" vertical="center" wrapText="1"/>
    </xf>
    <xf numFmtId="0" fontId="9" fillId="0" borderId="7" xfId="0" applyFont="1" applyBorder="1" applyAlignment="1">
      <alignment horizontal="center" vertical="center" wrapText="1"/>
    </xf>
    <xf numFmtId="2" fontId="9" fillId="5" borderId="9" xfId="0" applyNumberFormat="1" applyFont="1" applyFill="1" applyBorder="1" applyAlignment="1" applyProtection="1">
      <alignment horizontal="center" vertical="top"/>
      <protection locked="0"/>
    </xf>
    <xf numFmtId="2" fontId="6" fillId="0" borderId="9" xfId="0" applyNumberFormat="1" applyFont="1" applyBorder="1" applyAlignment="1">
      <alignment horizontal="center" vertical="top"/>
    </xf>
    <xf numFmtId="0" fontId="9" fillId="0" borderId="8" xfId="0" applyFont="1" applyBorder="1" applyAlignment="1">
      <alignment horizontal="center" vertical="center"/>
    </xf>
    <xf numFmtId="0" fontId="21" fillId="0" borderId="12" xfId="0" applyFont="1" applyBorder="1" applyProtection="1">
      <protection hidden="1"/>
    </xf>
    <xf numFmtId="0" fontId="6" fillId="0" borderId="0" xfId="0" applyFont="1" applyAlignment="1" applyProtection="1">
      <alignment horizontal="left"/>
      <protection hidden="1"/>
    </xf>
    <xf numFmtId="0" fontId="6" fillId="0" borderId="0" xfId="0" applyFont="1" applyAlignment="1" applyProtection="1">
      <alignment horizontal="center" vertical="center"/>
      <protection hidden="1"/>
    </xf>
    <xf numFmtId="0" fontId="6" fillId="0" borderId="0" xfId="0" applyFont="1" applyProtection="1">
      <protection hidden="1"/>
    </xf>
    <xf numFmtId="0" fontId="9" fillId="0" borderId="0" xfId="0" applyFont="1" applyAlignment="1" applyProtection="1">
      <alignment horizontal="left" vertical="center" wrapText="1" readingOrder="1"/>
      <protection hidden="1"/>
    </xf>
    <xf numFmtId="1" fontId="6" fillId="0" borderId="0" xfId="0" applyNumberFormat="1" applyFont="1" applyProtection="1">
      <protection hidden="1"/>
    </xf>
    <xf numFmtId="0" fontId="5" fillId="12" borderId="8" xfId="0" applyFont="1" applyFill="1" applyBorder="1" applyAlignment="1" applyProtection="1">
      <alignment vertical="center"/>
      <protection hidden="1"/>
    </xf>
    <xf numFmtId="0" fontId="6" fillId="12" borderId="10" xfId="0" applyFont="1" applyFill="1" applyBorder="1" applyProtection="1">
      <protection hidden="1"/>
    </xf>
    <xf numFmtId="0" fontId="5" fillId="12" borderId="10" xfId="0" applyFont="1" applyFill="1" applyBorder="1" applyAlignment="1" applyProtection="1">
      <alignment horizontal="right" vertical="center"/>
      <protection hidden="1"/>
    </xf>
    <xf numFmtId="0" fontId="5" fillId="12" borderId="10" xfId="0" applyFont="1" applyFill="1" applyBorder="1" applyAlignment="1" applyProtection="1">
      <alignment horizontal="center" vertical="center"/>
      <protection hidden="1"/>
    </xf>
    <xf numFmtId="0" fontId="6" fillId="0" borderId="10" xfId="0" applyFont="1" applyBorder="1" applyProtection="1">
      <protection hidden="1"/>
    </xf>
    <xf numFmtId="0" fontId="5" fillId="0" borderId="0" xfId="0" applyFont="1" applyAlignment="1" applyProtection="1">
      <alignment horizontal="left" vertical="center"/>
      <protection hidden="1"/>
    </xf>
    <xf numFmtId="0" fontId="6" fillId="0" borderId="13" xfId="0" applyFont="1" applyBorder="1" applyProtection="1">
      <protection hidden="1"/>
    </xf>
    <xf numFmtId="0" fontId="5" fillId="14" borderId="8" xfId="0" applyFont="1" applyFill="1" applyBorder="1" applyAlignment="1" applyProtection="1">
      <alignment horizontal="left" vertical="top"/>
      <protection hidden="1"/>
    </xf>
    <xf numFmtId="0" fontId="5" fillId="14" borderId="10" xfId="0" applyFont="1" applyFill="1" applyBorder="1" applyAlignment="1" applyProtection="1">
      <alignment vertical="top"/>
      <protection hidden="1"/>
    </xf>
    <xf numFmtId="0" fontId="5" fillId="14" borderId="9" xfId="0" applyFont="1" applyFill="1" applyBorder="1" applyAlignment="1" applyProtection="1">
      <alignment vertical="top"/>
      <protection hidden="1"/>
    </xf>
    <xf numFmtId="0" fontId="19" fillId="14" borderId="3" xfId="0" applyFont="1" applyFill="1" applyBorder="1" applyAlignment="1" applyProtection="1">
      <alignment horizontal="center" vertical="center" wrapText="1" readingOrder="1"/>
      <protection hidden="1"/>
    </xf>
    <xf numFmtId="165" fontId="5" fillId="0" borderId="0" xfId="0" applyNumberFormat="1" applyFont="1" applyAlignment="1" applyProtection="1">
      <alignment horizontal="left" vertical="top"/>
      <protection hidden="1"/>
    </xf>
    <xf numFmtId="0" fontId="5" fillId="0" borderId="0" xfId="0" applyFont="1" applyAlignment="1" applyProtection="1">
      <alignment horizontal="left" vertical="top"/>
      <protection hidden="1"/>
    </xf>
    <xf numFmtId="0" fontId="5" fillId="0" borderId="0" xfId="0" applyFont="1" applyAlignment="1" applyProtection="1">
      <alignment vertical="top"/>
      <protection hidden="1"/>
    </xf>
    <xf numFmtId="165" fontId="6" fillId="0" borderId="3" xfId="0" applyNumberFormat="1" applyFont="1" applyBorder="1" applyAlignment="1" applyProtection="1">
      <alignment horizontal="left"/>
      <protection hidden="1"/>
    </xf>
    <xf numFmtId="1" fontId="6" fillId="0" borderId="3" xfId="0" applyNumberFormat="1" applyFont="1" applyBorder="1" applyAlignment="1" applyProtection="1">
      <alignment horizontal="center" vertical="center" readingOrder="1"/>
      <protection hidden="1"/>
    </xf>
    <xf numFmtId="0" fontId="6" fillId="0" borderId="0" xfId="0" applyFont="1" applyAlignment="1" applyProtection="1">
      <alignment vertical="top"/>
      <protection hidden="1"/>
    </xf>
    <xf numFmtId="165" fontId="6" fillId="0" borderId="0" xfId="0" applyNumberFormat="1" applyFont="1" applyAlignment="1" applyProtection="1">
      <alignment horizontal="left" vertical="top" wrapText="1"/>
      <protection hidden="1"/>
    </xf>
    <xf numFmtId="0" fontId="6" fillId="0" borderId="0" xfId="0" applyFont="1" applyAlignment="1" applyProtection="1">
      <alignment vertical="top" wrapText="1"/>
      <protection hidden="1"/>
    </xf>
    <xf numFmtId="2" fontId="7" fillId="0" borderId="0" xfId="0" applyNumberFormat="1" applyFont="1" applyAlignment="1" applyProtection="1">
      <alignment horizontal="center" vertical="top"/>
      <protection hidden="1"/>
    </xf>
    <xf numFmtId="0" fontId="9" fillId="18" borderId="8" xfId="0" applyFont="1" applyFill="1" applyBorder="1" applyAlignment="1" applyProtection="1">
      <alignment horizontal="left" vertical="top" wrapText="1"/>
      <protection hidden="1"/>
    </xf>
    <xf numFmtId="0" fontId="9" fillId="18" borderId="10" xfId="0" applyFont="1" applyFill="1" applyBorder="1" applyAlignment="1" applyProtection="1">
      <alignment horizontal="left" vertical="top" wrapText="1"/>
      <protection hidden="1"/>
    </xf>
    <xf numFmtId="0" fontId="9" fillId="18" borderId="9" xfId="0" applyFont="1" applyFill="1" applyBorder="1" applyAlignment="1" applyProtection="1">
      <alignment horizontal="left" vertical="top" wrapText="1"/>
      <protection hidden="1"/>
    </xf>
    <xf numFmtId="165" fontId="9" fillId="0" borderId="0" xfId="0" applyNumberFormat="1" applyFont="1" applyAlignment="1" applyProtection="1">
      <alignment horizontal="left" vertical="top" wrapText="1"/>
      <protection hidden="1"/>
    </xf>
    <xf numFmtId="0" fontId="9" fillId="0" borderId="0" xfId="0" applyFont="1" applyAlignment="1" applyProtection="1">
      <alignment vertical="top" wrapText="1"/>
      <protection hidden="1"/>
    </xf>
    <xf numFmtId="165" fontId="9" fillId="0" borderId="0" xfId="0" quotePrefix="1" applyNumberFormat="1" applyFont="1" applyAlignment="1" applyProtection="1">
      <alignment horizontal="left" vertical="top" wrapText="1"/>
      <protection hidden="1"/>
    </xf>
    <xf numFmtId="0" fontId="9" fillId="0" borderId="0" xfId="0" quotePrefix="1" applyFont="1" applyAlignment="1" applyProtection="1">
      <alignment vertical="top" wrapText="1"/>
      <protection hidden="1"/>
    </xf>
    <xf numFmtId="0" fontId="5" fillId="11" borderId="8" xfId="0" applyFont="1" applyFill="1" applyBorder="1" applyAlignment="1" applyProtection="1">
      <alignment horizontal="left" vertical="top"/>
      <protection hidden="1"/>
    </xf>
    <xf numFmtId="0" fontId="6" fillId="11" borderId="10" xfId="0" applyFont="1" applyFill="1" applyBorder="1" applyAlignment="1" applyProtection="1">
      <alignment vertical="top"/>
      <protection hidden="1"/>
    </xf>
    <xf numFmtId="0" fontId="5" fillId="11" borderId="10" xfId="0" applyFont="1" applyFill="1" applyBorder="1" applyAlignment="1" applyProtection="1">
      <alignment horizontal="right" vertical="top"/>
      <protection hidden="1"/>
    </xf>
    <xf numFmtId="0" fontId="5" fillId="11" borderId="10" xfId="0" applyFont="1" applyFill="1" applyBorder="1" applyAlignment="1" applyProtection="1">
      <alignment horizontal="center" vertical="top"/>
      <protection hidden="1"/>
    </xf>
    <xf numFmtId="0" fontId="5" fillId="0" borderId="10" xfId="0" applyFont="1" applyBorder="1" applyAlignment="1" applyProtection="1">
      <alignment horizontal="left" vertical="top"/>
      <protection hidden="1"/>
    </xf>
    <xf numFmtId="0" fontId="6" fillId="0" borderId="0" xfId="0" applyFont="1" applyAlignment="1" applyProtection="1">
      <alignment horizontal="center" vertical="top"/>
      <protection hidden="1"/>
    </xf>
    <xf numFmtId="0" fontId="6" fillId="0" borderId="13" xfId="0" applyFont="1" applyBorder="1" applyAlignment="1" applyProtection="1">
      <alignment vertical="top"/>
      <protection hidden="1"/>
    </xf>
    <xf numFmtId="0" fontId="5" fillId="2" borderId="8" xfId="0" applyFont="1" applyFill="1" applyBorder="1" applyAlignment="1" applyProtection="1">
      <alignment vertical="top"/>
      <protection hidden="1"/>
    </xf>
    <xf numFmtId="0" fontId="5" fillId="2" borderId="10" xfId="0" applyFont="1" applyFill="1" applyBorder="1" applyAlignment="1" applyProtection="1">
      <alignment vertical="top"/>
      <protection hidden="1"/>
    </xf>
    <xf numFmtId="0" fontId="6" fillId="2" borderId="10" xfId="0" applyFont="1" applyFill="1" applyBorder="1" applyAlignment="1" applyProtection="1">
      <alignment vertical="top"/>
      <protection hidden="1"/>
    </xf>
    <xf numFmtId="0" fontId="19" fillId="2" borderId="3" xfId="0" applyFont="1" applyFill="1" applyBorder="1" applyAlignment="1" applyProtection="1">
      <alignment horizontal="center" vertical="center" wrapText="1" readingOrder="1"/>
      <protection hidden="1"/>
    </xf>
    <xf numFmtId="0" fontId="6" fillId="0" borderId="0" xfId="0" applyFont="1" applyAlignment="1" applyProtection="1">
      <alignment horizontal="left" vertical="top" wrapText="1"/>
      <protection hidden="1"/>
    </xf>
    <xf numFmtId="2" fontId="6" fillId="0" borderId="0" xfId="0" applyNumberFormat="1" applyFont="1" applyAlignment="1" applyProtection="1">
      <alignment horizontal="center" vertical="top"/>
      <protection hidden="1"/>
    </xf>
    <xf numFmtId="49" fontId="6" fillId="0" borderId="3" xfId="0" applyNumberFormat="1" applyFont="1" applyBorder="1" applyAlignment="1" applyProtection="1">
      <alignment horizontal="left"/>
      <protection hidden="1"/>
    </xf>
    <xf numFmtId="1" fontId="6" fillId="0" borderId="7" xfId="0" applyNumberFormat="1" applyFont="1" applyBorder="1" applyAlignment="1" applyProtection="1">
      <alignment horizontal="center" vertical="top"/>
      <protection hidden="1"/>
    </xf>
    <xf numFmtId="0" fontId="5" fillId="0" borderId="0" xfId="0" quotePrefix="1" applyFont="1" applyAlignment="1" applyProtection="1">
      <alignment horizontal="left" vertical="top"/>
      <protection hidden="1"/>
    </xf>
    <xf numFmtId="2" fontId="6" fillId="0" borderId="0" xfId="0" applyNumberFormat="1" applyFont="1" applyAlignment="1" applyProtection="1">
      <alignment vertical="top"/>
      <protection hidden="1"/>
    </xf>
    <xf numFmtId="1" fontId="6" fillId="0" borderId="3" xfId="0" applyNumberFormat="1" applyFont="1" applyBorder="1" applyAlignment="1" applyProtection="1">
      <alignment horizontal="center" vertical="top"/>
      <protection hidden="1"/>
    </xf>
    <xf numFmtId="0" fontId="8" fillId="0" borderId="0" xfId="0" applyFont="1" applyAlignment="1" applyProtection="1">
      <alignment vertical="top"/>
      <protection hidden="1"/>
    </xf>
    <xf numFmtId="0" fontId="6" fillId="0" borderId="0" xfId="0" applyFont="1" applyAlignment="1" applyProtection="1">
      <alignment horizontal="left" vertical="top"/>
      <protection hidden="1"/>
    </xf>
    <xf numFmtId="2" fontId="5" fillId="0" borderId="0" xfId="0" applyNumberFormat="1" applyFont="1" applyAlignment="1" applyProtection="1">
      <alignment horizontal="left" vertical="top"/>
      <protection hidden="1"/>
    </xf>
    <xf numFmtId="0" fontId="6" fillId="0" borderId="3" xfId="0" applyFont="1" applyBorder="1" applyAlignment="1" applyProtection="1">
      <alignment horizontal="left"/>
      <protection hidden="1"/>
    </xf>
    <xf numFmtId="0" fontId="5" fillId="13" borderId="8" xfId="0" applyFont="1" applyFill="1" applyBorder="1" applyAlignment="1" applyProtection="1">
      <alignment horizontal="left" vertical="top"/>
      <protection hidden="1"/>
    </xf>
    <xf numFmtId="0" fontId="6" fillId="13" borderId="10" xfId="0" applyFont="1" applyFill="1" applyBorder="1" applyAlignment="1" applyProtection="1">
      <alignment vertical="top"/>
      <protection hidden="1"/>
    </xf>
    <xf numFmtId="0" fontId="5" fillId="13" borderId="10" xfId="0" applyFont="1" applyFill="1" applyBorder="1" applyAlignment="1" applyProtection="1">
      <alignment horizontal="right" vertical="top"/>
      <protection hidden="1"/>
    </xf>
    <xf numFmtId="0" fontId="5" fillId="0" borderId="12" xfId="0" applyFont="1" applyBorder="1" applyAlignment="1" applyProtection="1">
      <alignment horizontal="left" vertical="top"/>
      <protection hidden="1"/>
    </xf>
    <xf numFmtId="0" fontId="5" fillId="15" borderId="8" xfId="0" applyFont="1" applyFill="1" applyBorder="1" applyAlignment="1" applyProtection="1">
      <alignment horizontal="left" vertical="top"/>
      <protection hidden="1"/>
    </xf>
    <xf numFmtId="0" fontId="5" fillId="15" borderId="10" xfId="0" applyFont="1" applyFill="1" applyBorder="1" applyAlignment="1" applyProtection="1">
      <alignment horizontal="center" vertical="top"/>
      <protection hidden="1"/>
    </xf>
    <xf numFmtId="0" fontId="5" fillId="15" borderId="9" xfId="0" applyFont="1" applyFill="1" applyBorder="1" applyAlignment="1" applyProtection="1">
      <alignment horizontal="center" vertical="top" wrapText="1"/>
      <protection hidden="1"/>
    </xf>
    <xf numFmtId="0" fontId="19" fillId="15" borderId="9" xfId="0" applyFont="1" applyFill="1" applyBorder="1" applyAlignment="1" applyProtection="1">
      <alignment horizontal="center" vertical="center" wrapText="1" readingOrder="1"/>
      <protection hidden="1"/>
    </xf>
    <xf numFmtId="1" fontId="6" fillId="0" borderId="3" xfId="0" applyNumberFormat="1" applyFont="1" applyBorder="1" applyAlignment="1" applyProtection="1">
      <alignment horizontal="center" vertical="center"/>
      <protection hidden="1"/>
    </xf>
    <xf numFmtId="0" fontId="9" fillId="0" borderId="0" xfId="0" applyFont="1" applyAlignment="1" applyProtection="1">
      <alignment horizontal="left" vertical="top" wrapText="1"/>
      <protection hidden="1"/>
    </xf>
    <xf numFmtId="0" fontId="1" fillId="20" borderId="3" xfId="0" applyFont="1" applyFill="1" applyBorder="1" applyAlignment="1" applyProtection="1">
      <alignment horizontal="left" vertical="center" wrapText="1" readingOrder="1"/>
      <protection hidden="1"/>
    </xf>
    <xf numFmtId="0" fontId="11" fillId="21" borderId="3" xfId="0" applyFont="1" applyFill="1" applyBorder="1" applyAlignment="1" applyProtection="1">
      <alignment horizontal="left" vertical="center" wrapText="1" readingOrder="1"/>
      <protection hidden="1"/>
    </xf>
    <xf numFmtId="0" fontId="11" fillId="22" borderId="3" xfId="0" applyFont="1" applyFill="1" applyBorder="1" applyAlignment="1" applyProtection="1">
      <alignment horizontal="center" vertical="center" wrapText="1"/>
      <protection hidden="1"/>
    </xf>
    <xf numFmtId="0" fontId="20" fillId="23" borderId="8" xfId="0" applyFont="1" applyFill="1" applyBorder="1" applyAlignment="1" applyProtection="1">
      <alignment vertical="center" wrapText="1" readingOrder="1"/>
      <protection hidden="1"/>
    </xf>
    <xf numFmtId="0" fontId="20" fillId="23" borderId="10" xfId="0" applyFont="1" applyFill="1" applyBorder="1" applyAlignment="1" applyProtection="1">
      <alignment vertical="center" wrapText="1" readingOrder="1"/>
      <protection hidden="1"/>
    </xf>
    <xf numFmtId="0" fontId="20" fillId="23" borderId="9" xfId="0" applyFont="1" applyFill="1" applyBorder="1" applyAlignment="1" applyProtection="1">
      <alignment vertical="center" wrapText="1" readingOrder="1"/>
      <protection hidden="1"/>
    </xf>
    <xf numFmtId="0" fontId="22" fillId="23" borderId="10" xfId="0" applyFont="1" applyFill="1" applyBorder="1" applyAlignment="1" applyProtection="1">
      <alignment vertical="center" wrapText="1" readingOrder="1"/>
      <protection hidden="1"/>
    </xf>
    <xf numFmtId="0" fontId="22" fillId="23" borderId="9" xfId="0" applyFont="1" applyFill="1" applyBorder="1" applyAlignment="1" applyProtection="1">
      <alignment vertical="center" wrapText="1" readingOrder="1"/>
      <protection hidden="1"/>
    </xf>
    <xf numFmtId="0" fontId="20" fillId="25" borderId="8" xfId="0" applyFont="1" applyFill="1" applyBorder="1" applyAlignment="1" applyProtection="1">
      <alignment vertical="center" wrapText="1" readingOrder="1"/>
      <protection hidden="1"/>
    </xf>
    <xf numFmtId="0" fontId="22" fillId="25" borderId="10" xfId="0" applyFont="1" applyFill="1" applyBorder="1" applyAlignment="1" applyProtection="1">
      <alignment vertical="center" wrapText="1" readingOrder="1"/>
      <protection hidden="1"/>
    </xf>
    <xf numFmtId="0" fontId="22" fillId="25" borderId="9" xfId="0" applyFont="1" applyFill="1" applyBorder="1" applyAlignment="1" applyProtection="1">
      <alignment vertical="center" wrapText="1" readingOrder="1"/>
      <protection hidden="1"/>
    </xf>
    <xf numFmtId="0" fontId="6" fillId="0" borderId="0" xfId="0" applyFont="1" applyAlignment="1">
      <alignment horizontal="left" vertical="center" wrapText="1"/>
    </xf>
    <xf numFmtId="0" fontId="6" fillId="0" borderId="0" xfId="0" applyFont="1" applyAlignment="1">
      <alignment horizontal="left" wrapText="1"/>
    </xf>
    <xf numFmtId="0" fontId="12" fillId="0" borderId="0" xfId="0" applyFont="1"/>
    <xf numFmtId="0" fontId="13" fillId="0" borderId="0" xfId="0" applyFont="1"/>
    <xf numFmtId="0" fontId="14" fillId="0" borderId="0" xfId="0" applyFont="1"/>
    <xf numFmtId="0" fontId="15" fillId="0" borderId="0" xfId="0" applyFont="1"/>
    <xf numFmtId="9" fontId="5" fillId="0" borderId="0" xfId="0" applyNumberFormat="1" applyFont="1" applyAlignment="1">
      <alignment vertical="center"/>
    </xf>
    <xf numFmtId="0" fontId="5" fillId="0" borderId="0" xfId="0" applyFont="1" applyAlignment="1">
      <alignment horizontal="center" vertical="center"/>
    </xf>
    <xf numFmtId="9" fontId="5" fillId="0" borderId="0" xfId="0" applyNumberFormat="1" applyFont="1" applyAlignment="1">
      <alignment horizontal="center" vertical="center"/>
    </xf>
    <xf numFmtId="1" fontId="5" fillId="0" borderId="0" xfId="0" applyNumberFormat="1" applyFont="1" applyAlignment="1">
      <alignment vertical="center"/>
    </xf>
    <xf numFmtId="0" fontId="6" fillId="18" borderId="0" xfId="0" applyFont="1" applyFill="1" applyAlignment="1">
      <alignment horizontal="center" vertical="center" wrapText="1"/>
    </xf>
    <xf numFmtId="2" fontId="9" fillId="18" borderId="0" xfId="0" applyNumberFormat="1" applyFont="1" applyFill="1" applyAlignment="1">
      <alignment horizontal="center" vertical="center"/>
    </xf>
    <xf numFmtId="0" fontId="6" fillId="18" borderId="0" xfId="0" applyFont="1" applyFill="1" applyAlignment="1">
      <alignment horizontal="left" vertical="center"/>
    </xf>
    <xf numFmtId="0" fontId="6" fillId="18" borderId="24" xfId="0" applyFont="1" applyFill="1" applyBorder="1"/>
    <xf numFmtId="0" fontId="6" fillId="18" borderId="0" xfId="0" applyFont="1" applyFill="1"/>
    <xf numFmtId="0" fontId="6" fillId="18" borderId="0" xfId="0" applyFont="1" applyFill="1" applyAlignment="1">
      <alignment horizontal="center" vertical="center"/>
    </xf>
    <xf numFmtId="0" fontId="6" fillId="18" borderId="25" xfId="0" applyFont="1" applyFill="1" applyBorder="1"/>
    <xf numFmtId="0" fontId="5" fillId="18" borderId="24" xfId="0" applyFont="1" applyFill="1" applyBorder="1"/>
    <xf numFmtId="0" fontId="6" fillId="18" borderId="24" xfId="0" applyFont="1" applyFill="1" applyBorder="1" applyAlignment="1">
      <alignment horizontal="left" vertical="center"/>
    </xf>
    <xf numFmtId="0" fontId="6" fillId="18" borderId="24" xfId="0" applyFont="1" applyFill="1" applyBorder="1" applyAlignment="1">
      <alignment horizontal="left" vertical="center" wrapText="1"/>
    </xf>
    <xf numFmtId="0" fontId="6" fillId="18" borderId="24" xfId="0" applyFont="1" applyFill="1" applyBorder="1" applyAlignment="1">
      <alignment vertical="top"/>
    </xf>
    <xf numFmtId="0" fontId="5" fillId="18" borderId="0" xfId="0" applyFont="1" applyFill="1" applyAlignment="1">
      <alignment horizontal="center" vertical="center" wrapText="1"/>
    </xf>
    <xf numFmtId="0" fontId="16" fillId="18" borderId="0" xfId="0" applyFont="1" applyFill="1"/>
    <xf numFmtId="0" fontId="5" fillId="18" borderId="3" xfId="0" applyFont="1" applyFill="1" applyBorder="1" applyAlignment="1">
      <alignment horizontal="center" vertical="center"/>
    </xf>
    <xf numFmtId="0" fontId="8" fillId="18" borderId="24" xfId="0" applyFont="1" applyFill="1" applyBorder="1"/>
    <xf numFmtId="0" fontId="5" fillId="18" borderId="25" xfId="0" applyFont="1" applyFill="1" applyBorder="1" applyAlignment="1">
      <alignment horizontal="center"/>
    </xf>
    <xf numFmtId="0" fontId="6" fillId="18" borderId="24" xfId="0" applyFont="1" applyFill="1" applyBorder="1" applyAlignment="1">
      <alignment horizontal="left" wrapText="1"/>
    </xf>
    <xf numFmtId="0" fontId="6" fillId="18" borderId="0" xfId="0" applyFont="1" applyFill="1" applyAlignment="1">
      <alignment horizontal="left" wrapText="1"/>
    </xf>
    <xf numFmtId="0" fontId="6" fillId="18" borderId="25" xfId="0" applyFont="1" applyFill="1" applyBorder="1" applyAlignment="1">
      <alignment horizontal="left" wrapText="1"/>
    </xf>
    <xf numFmtId="2" fontId="6" fillId="18" borderId="3" xfId="0" applyNumberFormat="1" applyFont="1" applyFill="1" applyBorder="1" applyAlignment="1">
      <alignment horizontal="center" vertical="center"/>
    </xf>
    <xf numFmtId="164" fontId="6" fillId="18" borderId="3" xfId="0" applyNumberFormat="1" applyFont="1" applyFill="1" applyBorder="1" applyAlignment="1">
      <alignment horizontal="center" vertical="center"/>
    </xf>
    <xf numFmtId="2" fontId="6" fillId="18" borderId="27" xfId="0" applyNumberFormat="1" applyFont="1" applyFill="1" applyBorder="1" applyAlignment="1">
      <alignment horizontal="center" vertical="center"/>
    </xf>
    <xf numFmtId="0" fontId="5" fillId="18" borderId="28" xfId="0" applyFont="1" applyFill="1" applyBorder="1" applyAlignment="1">
      <alignment horizontal="right"/>
    </xf>
    <xf numFmtId="2" fontId="5" fillId="18" borderId="3" xfId="0" applyNumberFormat="1" applyFont="1" applyFill="1" applyBorder="1" applyAlignment="1">
      <alignment horizontal="center" vertical="center"/>
    </xf>
    <xf numFmtId="164" fontId="5" fillId="18" borderId="3" xfId="0" applyNumberFormat="1" applyFont="1" applyFill="1" applyBorder="1" applyAlignment="1">
      <alignment horizontal="center" vertical="center"/>
    </xf>
    <xf numFmtId="0" fontId="6" fillId="18" borderId="24" xfId="0" applyFont="1" applyFill="1" applyBorder="1" applyAlignment="1">
      <alignment horizontal="center"/>
    </xf>
    <xf numFmtId="0" fontId="6" fillId="18" borderId="0" xfId="0" applyFont="1" applyFill="1" applyAlignment="1">
      <alignment horizontal="center"/>
    </xf>
    <xf numFmtId="0" fontId="6" fillId="18" borderId="25" xfId="0" applyFont="1" applyFill="1" applyBorder="1" applyAlignment="1">
      <alignment horizontal="center"/>
    </xf>
    <xf numFmtId="0" fontId="16" fillId="18" borderId="24" xfId="0" applyFont="1" applyFill="1" applyBorder="1" applyAlignment="1">
      <alignment horizontal="left"/>
    </xf>
    <xf numFmtId="0" fontId="5" fillId="18" borderId="0" xfId="0" applyFont="1" applyFill="1" applyAlignment="1">
      <alignment horizontal="center" vertical="center"/>
    </xf>
    <xf numFmtId="0" fontId="6" fillId="18" borderId="24" xfId="0" applyFont="1" applyFill="1" applyBorder="1" applyAlignment="1">
      <alignment horizontal="left"/>
    </xf>
    <xf numFmtId="165" fontId="6" fillId="18" borderId="3" xfId="0" applyNumberFormat="1" applyFont="1" applyFill="1" applyBorder="1" applyAlignment="1">
      <alignment horizontal="center" vertical="center"/>
    </xf>
    <xf numFmtId="0" fontId="5" fillId="18" borderId="0" xfId="0" applyFont="1" applyFill="1" applyAlignment="1">
      <alignment wrapText="1"/>
    </xf>
    <xf numFmtId="0" fontId="5" fillId="18" borderId="25" xfId="0" applyFont="1" applyFill="1" applyBorder="1"/>
    <xf numFmtId="9" fontId="5" fillId="18" borderId="0" xfId="0" applyNumberFormat="1" applyFont="1" applyFill="1" applyAlignment="1">
      <alignment horizontal="center" vertical="center"/>
    </xf>
    <xf numFmtId="0" fontId="6" fillId="18" borderId="24" xfId="0" quotePrefix="1" applyFont="1" applyFill="1" applyBorder="1"/>
    <xf numFmtId="0" fontId="6" fillId="18" borderId="0" xfId="0" applyFont="1" applyFill="1" applyAlignment="1">
      <alignment vertical="center"/>
    </xf>
    <xf numFmtId="0" fontId="5" fillId="18" borderId="0" xfId="0" applyFont="1" applyFill="1"/>
    <xf numFmtId="0" fontId="6" fillId="18" borderId="18" xfId="0" applyFont="1" applyFill="1" applyBorder="1"/>
    <xf numFmtId="0" fontId="6" fillId="18" borderId="20" xfId="0" applyFont="1" applyFill="1" applyBorder="1"/>
    <xf numFmtId="0" fontId="11" fillId="18" borderId="0" xfId="0" applyFont="1" applyFill="1" applyAlignment="1">
      <alignment vertical="top" wrapText="1"/>
    </xf>
    <xf numFmtId="0" fontId="5" fillId="18" borderId="0" xfId="0" applyFont="1" applyFill="1" applyAlignment="1">
      <alignment horizontal="center" vertical="top" wrapText="1"/>
    </xf>
    <xf numFmtId="10" fontId="5" fillId="18" borderId="0" xfId="0" applyNumberFormat="1" applyFont="1" applyFill="1" applyAlignment="1">
      <alignment horizontal="center" vertical="center" wrapText="1"/>
    </xf>
    <xf numFmtId="0" fontId="6" fillId="18" borderId="14" xfId="0" applyFont="1" applyFill="1" applyBorder="1"/>
    <xf numFmtId="0" fontId="5" fillId="18" borderId="0" xfId="0" applyFont="1" applyFill="1" applyAlignment="1">
      <alignment horizontal="left" vertical="center"/>
    </xf>
    <xf numFmtId="0" fontId="6" fillId="18" borderId="11" xfId="0" applyFont="1" applyFill="1" applyBorder="1" applyAlignment="1">
      <alignment horizontal="left" vertical="top"/>
    </xf>
    <xf numFmtId="0" fontId="6" fillId="18" borderId="0" xfId="0" applyFont="1" applyFill="1" applyAlignment="1">
      <alignment vertical="top"/>
    </xf>
    <xf numFmtId="0" fontId="5" fillId="18" borderId="0" xfId="0" applyFont="1" applyFill="1" applyAlignment="1">
      <alignment horizontal="right" vertical="center"/>
    </xf>
    <xf numFmtId="0" fontId="6" fillId="18" borderId="0" xfId="0" applyFont="1" applyFill="1" applyAlignment="1">
      <alignment horizontal="left" vertical="top"/>
    </xf>
    <xf numFmtId="0" fontId="5" fillId="18" borderId="0" xfId="0" applyFont="1" applyFill="1" applyAlignment="1">
      <alignment vertical="top"/>
    </xf>
    <xf numFmtId="0" fontId="9" fillId="18" borderId="0" xfId="0" applyFont="1" applyFill="1" applyAlignment="1">
      <alignment vertical="top"/>
    </xf>
    <xf numFmtId="0" fontId="11" fillId="18" borderId="0" xfId="0" applyFont="1" applyFill="1" applyAlignment="1">
      <alignment horizontal="right" vertical="top"/>
    </xf>
    <xf numFmtId="0" fontId="6" fillId="18" borderId="0" xfId="0" applyFont="1" applyFill="1" applyAlignment="1">
      <alignment horizontal="right" vertical="top"/>
    </xf>
    <xf numFmtId="0" fontId="5" fillId="18" borderId="0" xfId="0" applyFont="1" applyFill="1" applyAlignment="1">
      <alignment horizontal="right" vertical="top"/>
    </xf>
    <xf numFmtId="0" fontId="5" fillId="18" borderId="14" xfId="0" applyFont="1" applyFill="1" applyBorder="1" applyAlignment="1">
      <alignment horizontal="left" vertical="top"/>
    </xf>
    <xf numFmtId="0" fontId="6" fillId="18" borderId="0" xfId="0" applyFont="1" applyFill="1" applyAlignment="1">
      <alignment horizontal="center" vertical="top"/>
    </xf>
    <xf numFmtId="2" fontId="5" fillId="18" borderId="3" xfId="0" applyNumberFormat="1" applyFont="1" applyFill="1" applyBorder="1" applyAlignment="1">
      <alignment horizontal="center" vertical="top"/>
    </xf>
    <xf numFmtId="10" fontId="5" fillId="18" borderId="3" xfId="0" applyNumberFormat="1" applyFont="1" applyFill="1" applyBorder="1" applyAlignment="1">
      <alignment horizontal="center" vertical="top"/>
    </xf>
    <xf numFmtId="2" fontId="5" fillId="18" borderId="6" xfId="0" applyNumberFormat="1" applyFont="1" applyFill="1" applyBorder="1" applyAlignment="1">
      <alignment horizontal="center" vertical="top"/>
    </xf>
    <xf numFmtId="10" fontId="5" fillId="18" borderId="7" xfId="0" applyNumberFormat="1" applyFont="1" applyFill="1" applyBorder="1" applyAlignment="1">
      <alignment horizontal="center" vertical="top"/>
    </xf>
    <xf numFmtId="2" fontId="6" fillId="18" borderId="0" xfId="0" applyNumberFormat="1" applyFont="1" applyFill="1" applyAlignment="1">
      <alignment horizontal="center" vertical="top"/>
    </xf>
    <xf numFmtId="0" fontId="6" fillId="18" borderId="14" xfId="0" applyFont="1" applyFill="1" applyBorder="1" applyAlignment="1">
      <alignment horizontal="left" vertical="top"/>
    </xf>
    <xf numFmtId="0" fontId="5" fillId="18" borderId="0" xfId="0" applyFont="1" applyFill="1" applyAlignment="1">
      <alignment horizontal="center" vertical="top"/>
    </xf>
    <xf numFmtId="10" fontId="5" fillId="18" borderId="3" xfId="0" applyNumberFormat="1" applyFont="1" applyFill="1" applyBorder="1" applyAlignment="1">
      <alignment horizontal="center" vertical="center"/>
    </xf>
    <xf numFmtId="0" fontId="6" fillId="18" borderId="14" xfId="0" applyFont="1" applyFill="1" applyBorder="1" applyAlignment="1">
      <alignment vertical="top"/>
    </xf>
    <xf numFmtId="0" fontId="5" fillId="18" borderId="14" xfId="0" applyFont="1" applyFill="1" applyBorder="1" applyAlignment="1">
      <alignment horizontal="center" vertical="top"/>
    </xf>
    <xf numFmtId="0" fontId="5" fillId="18" borderId="14" xfId="0" applyFont="1" applyFill="1" applyBorder="1" applyAlignment="1">
      <alignment horizontal="right" vertical="top"/>
    </xf>
    <xf numFmtId="0" fontId="6" fillId="18" borderId="0" xfId="0" applyFont="1" applyFill="1" applyAlignment="1">
      <alignment horizontal="left" vertical="top" wrapText="1"/>
    </xf>
    <xf numFmtId="0" fontId="16" fillId="18" borderId="0" xfId="0" applyFont="1" applyFill="1" applyAlignment="1">
      <alignment horizontal="left" vertical="top"/>
    </xf>
    <xf numFmtId="0" fontId="5" fillId="18" borderId="0" xfId="0" applyFont="1" applyFill="1" applyAlignment="1">
      <alignment horizontal="left" vertical="top"/>
    </xf>
    <xf numFmtId="0" fontId="5" fillId="18" borderId="10" xfId="0" applyFont="1" applyFill="1" applyBorder="1" applyAlignment="1">
      <alignment horizontal="left" vertical="top"/>
    </xf>
    <xf numFmtId="0" fontId="6" fillId="6" borderId="3" xfId="0" applyFont="1" applyFill="1" applyBorder="1" applyAlignment="1">
      <alignment horizontal="center" vertical="center" wrapText="1"/>
    </xf>
    <xf numFmtId="0" fontId="5" fillId="18" borderId="0" xfId="0" applyFont="1" applyFill="1" applyAlignment="1">
      <alignment horizontal="center"/>
    </xf>
    <xf numFmtId="0" fontId="6" fillId="18" borderId="3" xfId="0" applyFont="1" applyFill="1" applyBorder="1" applyAlignment="1">
      <alignment horizontal="center" vertical="center" wrapText="1"/>
    </xf>
    <xf numFmtId="0" fontId="9" fillId="18" borderId="3" xfId="1" applyFont="1" applyFill="1" applyBorder="1" applyAlignment="1">
      <alignment horizontal="center" vertical="center"/>
    </xf>
    <xf numFmtId="0" fontId="9" fillId="6" borderId="3" xfId="0" applyFont="1" applyFill="1" applyBorder="1" applyAlignment="1">
      <alignment horizontal="center" vertical="center" wrapText="1"/>
    </xf>
    <xf numFmtId="0" fontId="9" fillId="18" borderId="3" xfId="0" applyFont="1" applyFill="1" applyBorder="1" applyAlignment="1">
      <alignment horizontal="center" vertical="center" wrapText="1"/>
    </xf>
    <xf numFmtId="0" fontId="9" fillId="18" borderId="3" xfId="1" applyFont="1" applyFill="1" applyBorder="1" applyAlignment="1">
      <alignment horizontal="center" vertical="top" wrapText="1"/>
    </xf>
    <xf numFmtId="0" fontId="6" fillId="18" borderId="3" xfId="0" applyFont="1" applyFill="1" applyBorder="1" applyAlignment="1">
      <alignment horizontal="center"/>
    </xf>
    <xf numFmtId="9" fontId="5" fillId="5" borderId="3" xfId="0" applyNumberFormat="1" applyFont="1" applyFill="1" applyBorder="1" applyAlignment="1" applyProtection="1">
      <alignment horizontal="center" vertical="center"/>
      <protection locked="0"/>
    </xf>
    <xf numFmtId="0" fontId="6" fillId="0" borderId="3" xfId="0" applyFont="1" applyBorder="1"/>
    <xf numFmtId="0" fontId="5" fillId="0" borderId="3" xfId="0" applyFont="1" applyBorder="1" applyAlignment="1">
      <alignment horizontal="center"/>
    </xf>
    <xf numFmtId="0" fontId="6" fillId="0" borderId="26" xfId="0" applyFont="1" applyBorder="1" applyAlignment="1">
      <alignment horizontal="left" vertical="top" wrapText="1"/>
    </xf>
    <xf numFmtId="0" fontId="6" fillId="0" borderId="22" xfId="0" applyFont="1" applyBorder="1"/>
    <xf numFmtId="0" fontId="6" fillId="0" borderId="18" xfId="0" applyFont="1" applyBorder="1"/>
    <xf numFmtId="0" fontId="6" fillId="0" borderId="23" xfId="0" applyFont="1" applyBorder="1"/>
    <xf numFmtId="0" fontId="5" fillId="26" borderId="26" xfId="0" applyFont="1" applyFill="1" applyBorder="1" applyAlignment="1">
      <alignment vertical="center"/>
    </xf>
    <xf numFmtId="0" fontId="5" fillId="26" borderId="3" xfId="0" applyFont="1" applyFill="1" applyBorder="1" applyAlignment="1">
      <alignment horizontal="center" vertical="center" wrapText="1"/>
    </xf>
    <xf numFmtId="0" fontId="5" fillId="26" borderId="27" xfId="0" applyFont="1" applyFill="1" applyBorder="1" applyAlignment="1">
      <alignment horizontal="center" vertical="center" wrapText="1"/>
    </xf>
    <xf numFmtId="0" fontId="5" fillId="26" borderId="26" xfId="0" applyFont="1" applyFill="1" applyBorder="1"/>
    <xf numFmtId="0" fontId="6" fillId="0" borderId="0" xfId="0" applyFont="1" applyAlignment="1">
      <alignment horizontal="center"/>
    </xf>
    <xf numFmtId="0" fontId="6" fillId="0" borderId="3" xfId="0" applyFont="1" applyBorder="1" applyAlignment="1">
      <alignment horizontal="center"/>
    </xf>
    <xf numFmtId="10" fontId="5" fillId="0" borderId="3" xfId="0" applyNumberFormat="1" applyFont="1" applyBorder="1" applyAlignment="1">
      <alignment horizontal="center" vertical="top"/>
    </xf>
    <xf numFmtId="1" fontId="20" fillId="22" borderId="3" xfId="0" applyNumberFormat="1" applyFont="1" applyFill="1" applyBorder="1" applyAlignment="1" applyProtection="1">
      <alignment horizontal="center" vertical="center"/>
      <protection hidden="1"/>
    </xf>
    <xf numFmtId="0" fontId="18" fillId="24" borderId="3" xfId="0" applyFont="1" applyFill="1" applyBorder="1" applyAlignment="1" applyProtection="1">
      <alignment horizontal="left" vertical="center" wrapText="1" readingOrder="1"/>
      <protection hidden="1"/>
    </xf>
    <xf numFmtId="1" fontId="20" fillId="22" borderId="3" xfId="0" applyNumberFormat="1" applyFont="1" applyFill="1" applyBorder="1" applyAlignment="1" applyProtection="1">
      <alignment horizontal="center" vertical="center" wrapText="1" readingOrder="1"/>
      <protection hidden="1"/>
    </xf>
    <xf numFmtId="0" fontId="18" fillId="24" borderId="3" xfId="0" applyFont="1" applyFill="1" applyBorder="1" applyAlignment="1" applyProtection="1">
      <alignment vertical="center" wrapText="1" readingOrder="1"/>
      <protection hidden="1"/>
    </xf>
    <xf numFmtId="165" fontId="20" fillId="22" borderId="3" xfId="0" applyNumberFormat="1" applyFont="1" applyFill="1" applyBorder="1" applyAlignment="1" applyProtection="1">
      <alignment horizontal="center" vertical="center" wrapText="1" readingOrder="1"/>
      <protection hidden="1"/>
    </xf>
    <xf numFmtId="0" fontId="6" fillId="0" borderId="10" xfId="0" applyFont="1" applyBorder="1" applyAlignment="1">
      <alignment vertical="top" wrapText="1"/>
    </xf>
    <xf numFmtId="2" fontId="6" fillId="0" borderId="7" xfId="0" applyNumberFormat="1" applyFont="1" applyBorder="1" applyAlignment="1">
      <alignment horizontal="center" vertical="center" wrapText="1"/>
    </xf>
    <xf numFmtId="49" fontId="11" fillId="10" borderId="34" xfId="0" applyNumberFormat="1" applyFont="1" applyFill="1" applyBorder="1" applyAlignment="1">
      <alignment horizontal="left" vertical="center"/>
    </xf>
    <xf numFmtId="0" fontId="11" fillId="10" borderId="35" xfId="0" applyFont="1" applyFill="1" applyBorder="1" applyAlignment="1">
      <alignment horizontal="center" vertical="center"/>
    </xf>
    <xf numFmtId="0" fontId="11" fillId="10" borderId="36" xfId="0" applyFont="1" applyFill="1" applyBorder="1" applyAlignment="1">
      <alignment horizontal="center" vertical="center"/>
    </xf>
    <xf numFmtId="49" fontId="6" fillId="18" borderId="24" xfId="0" applyNumberFormat="1" applyFont="1" applyFill="1" applyBorder="1"/>
    <xf numFmtId="49" fontId="5" fillId="18" borderId="24" xfId="0" applyNumberFormat="1" applyFont="1" applyFill="1" applyBorder="1"/>
    <xf numFmtId="2" fontId="5" fillId="6" borderId="27" xfId="0" applyNumberFormat="1" applyFont="1" applyFill="1" applyBorder="1" applyAlignment="1">
      <alignment horizontal="center"/>
    </xf>
    <xf numFmtId="0" fontId="6" fillId="0" borderId="25" xfId="0" applyFont="1" applyBorder="1" applyAlignment="1">
      <alignment vertical="center" wrapText="1"/>
    </xf>
    <xf numFmtId="49" fontId="5" fillId="10" borderId="15" xfId="0" applyNumberFormat="1" applyFont="1" applyFill="1" applyBorder="1" applyAlignment="1">
      <alignment vertical="center"/>
    </xf>
    <xf numFmtId="0" fontId="5" fillId="10" borderId="17" xfId="0" applyFont="1" applyFill="1" applyBorder="1" applyAlignment="1">
      <alignment vertical="center"/>
    </xf>
    <xf numFmtId="0" fontId="9" fillId="18" borderId="25" xfId="0" applyFont="1" applyFill="1" applyBorder="1" applyAlignment="1">
      <alignment horizontal="left" vertical="center" wrapText="1" readingOrder="1"/>
    </xf>
    <xf numFmtId="49" fontId="5" fillId="6" borderId="28" xfId="0" applyNumberFormat="1" applyFont="1" applyFill="1" applyBorder="1" applyAlignment="1">
      <alignment vertical="top"/>
    </xf>
    <xf numFmtId="0" fontId="6" fillId="18" borderId="25" xfId="0" applyFont="1" applyFill="1" applyBorder="1" applyAlignment="1">
      <alignment vertical="top"/>
    </xf>
    <xf numFmtId="49" fontId="6" fillId="0" borderId="26" xfId="0" applyNumberFormat="1" applyFont="1" applyBorder="1"/>
    <xf numFmtId="49" fontId="5" fillId="6" borderId="26" xfId="0" applyNumberFormat="1" applyFont="1" applyFill="1" applyBorder="1" applyAlignment="1">
      <alignment vertical="top"/>
    </xf>
    <xf numFmtId="49" fontId="6" fillId="0" borderId="26" xfId="0" applyNumberFormat="1" applyFont="1" applyBorder="1" applyAlignment="1">
      <alignment vertical="top"/>
    </xf>
    <xf numFmtId="49" fontId="5" fillId="12" borderId="28" xfId="0" applyNumberFormat="1" applyFont="1" applyFill="1" applyBorder="1" applyAlignment="1">
      <alignment vertical="center"/>
    </xf>
    <xf numFmtId="0" fontId="5" fillId="12" borderId="29" xfId="0" applyFont="1" applyFill="1" applyBorder="1" applyAlignment="1">
      <alignment vertical="center"/>
    </xf>
    <xf numFmtId="49" fontId="5" fillId="14" borderId="28" xfId="0" applyNumberFormat="1" applyFont="1" applyFill="1" applyBorder="1" applyAlignment="1">
      <alignment horizontal="left" vertical="top"/>
    </xf>
    <xf numFmtId="0" fontId="5" fillId="14" borderId="27" xfId="0" applyFont="1" applyFill="1" applyBorder="1" applyAlignment="1">
      <alignment horizontal="center" vertical="top" wrapText="1"/>
    </xf>
    <xf numFmtId="165" fontId="5" fillId="9" borderId="28" xfId="0" applyNumberFormat="1" applyFont="1" applyFill="1" applyBorder="1" applyAlignment="1">
      <alignment horizontal="left" vertical="top"/>
    </xf>
    <xf numFmtId="0" fontId="5" fillId="9" borderId="29" xfId="0" applyFont="1" applyFill="1" applyBorder="1" applyAlignment="1">
      <alignment horizontal="center" vertical="top" wrapText="1"/>
    </xf>
    <xf numFmtId="165" fontId="5" fillId="14" borderId="28" xfId="0" applyNumberFormat="1" applyFont="1" applyFill="1" applyBorder="1" applyAlignment="1">
      <alignment horizontal="left" vertical="top"/>
    </xf>
    <xf numFmtId="0" fontId="6" fillId="14" borderId="29" xfId="0" applyFont="1" applyFill="1" applyBorder="1" applyAlignment="1">
      <alignment vertical="top"/>
    </xf>
    <xf numFmtId="2" fontId="6" fillId="14" borderId="29" xfId="0" applyNumberFormat="1" applyFont="1" applyFill="1" applyBorder="1" applyAlignment="1">
      <alignment horizontal="center" vertical="center"/>
    </xf>
    <xf numFmtId="165" fontId="6" fillId="0" borderId="28" xfId="0" applyNumberFormat="1" applyFont="1" applyBorder="1" applyAlignment="1">
      <alignment horizontal="left" vertical="top" wrapText="1"/>
    </xf>
    <xf numFmtId="165" fontId="9" fillId="0" borderId="28" xfId="0" quotePrefix="1" applyNumberFormat="1" applyFont="1" applyBorder="1" applyAlignment="1">
      <alignment horizontal="left" vertical="top" wrapText="1"/>
    </xf>
    <xf numFmtId="2" fontId="6" fillId="14" borderId="29" xfId="0" applyNumberFormat="1" applyFont="1" applyFill="1" applyBorder="1" applyAlignment="1">
      <alignment vertical="center"/>
    </xf>
    <xf numFmtId="0" fontId="6" fillId="0" borderId="28" xfId="0" applyFont="1" applyBorder="1" applyAlignment="1">
      <alignment horizontal="left" vertical="top" wrapText="1"/>
    </xf>
    <xf numFmtId="2" fontId="6" fillId="0" borderId="27" xfId="0" applyNumberFormat="1" applyFont="1" applyBorder="1" applyAlignment="1">
      <alignment horizontal="center" vertical="center"/>
    </xf>
    <xf numFmtId="0" fontId="6" fillId="18" borderId="28" xfId="0" applyFont="1" applyFill="1" applyBorder="1" applyAlignment="1">
      <alignment horizontal="left" vertical="top" wrapText="1"/>
    </xf>
    <xf numFmtId="2" fontId="5" fillId="9" borderId="29" xfId="0" applyNumberFormat="1" applyFont="1" applyFill="1" applyBorder="1" applyAlignment="1">
      <alignment horizontal="left" vertical="center"/>
    </xf>
    <xf numFmtId="0" fontId="5" fillId="14" borderId="28" xfId="0" applyFont="1" applyFill="1" applyBorder="1" applyAlignment="1">
      <alignment horizontal="left" vertical="top"/>
    </xf>
    <xf numFmtId="0" fontId="6" fillId="0" borderId="28" xfId="0" applyFont="1" applyBorder="1" applyAlignment="1">
      <alignment horizontal="left" vertical="top"/>
    </xf>
    <xf numFmtId="0" fontId="11" fillId="14" borderId="38" xfId="0" applyFont="1" applyFill="1" applyBorder="1" applyAlignment="1">
      <alignment horizontal="left" vertical="top"/>
    </xf>
    <xf numFmtId="0" fontId="6" fillId="18" borderId="28" xfId="0" applyFont="1" applyFill="1" applyBorder="1" applyAlignment="1">
      <alignment horizontal="left" vertical="top"/>
    </xf>
    <xf numFmtId="49" fontId="6" fillId="18" borderId="24" xfId="0" applyNumberFormat="1" applyFont="1" applyFill="1" applyBorder="1" applyAlignment="1">
      <alignment vertical="top"/>
    </xf>
    <xf numFmtId="2" fontId="5" fillId="6" borderId="27" xfId="0" applyNumberFormat="1" applyFont="1" applyFill="1" applyBorder="1" applyAlignment="1">
      <alignment horizontal="center" vertical="center"/>
    </xf>
    <xf numFmtId="49" fontId="6" fillId="18" borderId="38" xfId="0" applyNumberFormat="1" applyFont="1" applyFill="1" applyBorder="1" applyAlignment="1">
      <alignment vertical="top"/>
    </xf>
    <xf numFmtId="0" fontId="5" fillId="9" borderId="28" xfId="0" applyFont="1" applyFill="1" applyBorder="1" applyAlignment="1">
      <alignment horizontal="left" vertical="top"/>
    </xf>
    <xf numFmtId="0" fontId="5" fillId="9" borderId="29" xfId="0" applyFont="1" applyFill="1" applyBorder="1" applyAlignment="1">
      <alignment horizontal="center" vertical="top"/>
    </xf>
    <xf numFmtId="0" fontId="6" fillId="0" borderId="26" xfId="0" applyFont="1" applyBorder="1" applyAlignment="1">
      <alignment horizontal="left" vertical="top"/>
    </xf>
    <xf numFmtId="49" fontId="6" fillId="0" borderId="26" xfId="0" applyNumberFormat="1" applyFont="1" applyBorder="1" applyAlignment="1">
      <alignment horizontal="left" vertical="top"/>
    </xf>
    <xf numFmtId="2" fontId="6" fillId="0" borderId="39" xfId="0" applyNumberFormat="1" applyFont="1" applyBorder="1" applyAlignment="1">
      <alignment horizontal="center" vertical="center"/>
    </xf>
    <xf numFmtId="0" fontId="6" fillId="0" borderId="29" xfId="0" applyFont="1" applyBorder="1" applyAlignment="1">
      <alignment vertical="top" wrapText="1"/>
    </xf>
    <xf numFmtId="0" fontId="5" fillId="9" borderId="38" xfId="0" applyFont="1" applyFill="1" applyBorder="1" applyAlignment="1">
      <alignment horizontal="left" vertical="top"/>
    </xf>
    <xf numFmtId="0" fontId="5" fillId="9" borderId="42" xfId="0" applyFont="1" applyFill="1" applyBorder="1" applyAlignment="1">
      <alignment horizontal="center" vertical="top"/>
    </xf>
    <xf numFmtId="0" fontId="11" fillId="9" borderId="38" xfId="0" applyFont="1" applyFill="1" applyBorder="1" applyAlignment="1">
      <alignment horizontal="left" vertical="top"/>
    </xf>
    <xf numFmtId="2" fontId="6" fillId="9" borderId="29" xfId="0" applyNumberFormat="1" applyFont="1" applyFill="1" applyBorder="1" applyAlignment="1">
      <alignment vertical="center"/>
    </xf>
    <xf numFmtId="49" fontId="6" fillId="18" borderId="37" xfId="0" applyNumberFormat="1" applyFont="1" applyFill="1" applyBorder="1" applyAlignment="1">
      <alignment vertical="top"/>
    </xf>
    <xf numFmtId="2" fontId="11" fillId="6" borderId="40" xfId="0" applyNumberFormat="1" applyFont="1" applyFill="1" applyBorder="1" applyAlignment="1">
      <alignment horizontal="center" vertical="top"/>
    </xf>
    <xf numFmtId="2" fontId="5" fillId="7" borderId="27" xfId="0" applyNumberFormat="1" applyFont="1" applyFill="1" applyBorder="1" applyAlignment="1">
      <alignment horizontal="center" vertical="top"/>
    </xf>
    <xf numFmtId="0" fontId="5" fillId="2" borderId="27" xfId="0" applyFont="1" applyFill="1" applyBorder="1" applyAlignment="1">
      <alignment horizontal="center" vertical="top" wrapText="1"/>
    </xf>
    <xf numFmtId="0" fontId="5" fillId="10" borderId="28" xfId="0" applyFont="1" applyFill="1" applyBorder="1" applyAlignment="1">
      <alignment horizontal="left" vertical="top"/>
    </xf>
    <xf numFmtId="0" fontId="5" fillId="10" borderId="29" xfId="0" applyFont="1" applyFill="1" applyBorder="1" applyAlignment="1">
      <alignment horizontal="center" vertical="top"/>
    </xf>
    <xf numFmtId="0" fontId="5" fillId="3" borderId="28" xfId="0" applyFont="1" applyFill="1" applyBorder="1" applyAlignment="1">
      <alignment horizontal="left" vertical="top"/>
    </xf>
    <xf numFmtId="0" fontId="5" fillId="3" borderId="29" xfId="0" applyFont="1" applyFill="1" applyBorder="1" applyAlignment="1">
      <alignment horizontal="center" vertical="top"/>
    </xf>
    <xf numFmtId="2" fontId="6" fillId="0" borderId="41" xfId="0" applyNumberFormat="1" applyFont="1" applyBorder="1" applyAlignment="1">
      <alignment horizontal="center" vertical="top"/>
    </xf>
    <xf numFmtId="0" fontId="5" fillId="3" borderId="28" xfId="0" quotePrefix="1" applyFont="1" applyFill="1" applyBorder="1" applyAlignment="1">
      <alignment horizontal="left" vertical="top"/>
    </xf>
    <xf numFmtId="2" fontId="6" fillId="3" borderId="29" xfId="0" applyNumberFormat="1" applyFont="1" applyFill="1" applyBorder="1" applyAlignment="1">
      <alignment vertical="top"/>
    </xf>
    <xf numFmtId="2" fontId="6" fillId="3" borderId="29" xfId="0" applyNumberFormat="1" applyFont="1" applyFill="1" applyBorder="1" applyAlignment="1">
      <alignment horizontal="center" vertical="top"/>
    </xf>
    <xf numFmtId="2" fontId="6" fillId="0" borderId="27" xfId="0" applyNumberFormat="1" applyFont="1" applyBorder="1" applyAlignment="1">
      <alignment horizontal="center" vertical="top"/>
    </xf>
    <xf numFmtId="2" fontId="6" fillId="0" borderId="29" xfId="0" applyNumberFormat="1" applyFont="1" applyBorder="1" applyAlignment="1">
      <alignment horizontal="center" vertical="top"/>
    </xf>
    <xf numFmtId="0" fontId="5" fillId="10" borderId="24" xfId="0" applyFont="1" applyFill="1" applyBorder="1" applyAlignment="1">
      <alignment horizontal="left" vertical="top"/>
    </xf>
    <xf numFmtId="2" fontId="6" fillId="10" borderId="25" xfId="0" applyNumberFormat="1" applyFont="1" applyFill="1" applyBorder="1" applyAlignment="1">
      <alignment vertical="top"/>
    </xf>
    <xf numFmtId="2" fontId="6" fillId="0" borderId="40" xfId="0" applyNumberFormat="1" applyFont="1" applyBorder="1" applyAlignment="1">
      <alignment horizontal="center" vertical="top"/>
    </xf>
    <xf numFmtId="2" fontId="6" fillId="0" borderId="39" xfId="0" applyNumberFormat="1" applyFont="1" applyBorder="1" applyAlignment="1">
      <alignment horizontal="center" vertical="top"/>
    </xf>
    <xf numFmtId="0" fontId="5" fillId="3" borderId="38" xfId="0" applyFont="1" applyFill="1" applyBorder="1" applyAlignment="1">
      <alignment horizontal="left" vertical="top"/>
    </xf>
    <xf numFmtId="0" fontId="6" fillId="18" borderId="26" xfId="0" applyFont="1" applyFill="1" applyBorder="1" applyAlignment="1">
      <alignment horizontal="left" vertical="top"/>
    </xf>
    <xf numFmtId="2" fontId="5" fillId="6" borderId="27" xfId="0" applyNumberFormat="1" applyFont="1" applyFill="1" applyBorder="1" applyAlignment="1">
      <alignment horizontal="center" vertical="top"/>
    </xf>
    <xf numFmtId="0" fontId="6" fillId="0" borderId="37" xfId="0" applyFont="1" applyBorder="1" applyAlignment="1">
      <alignment horizontal="left" vertical="top"/>
    </xf>
    <xf numFmtId="0" fontId="6" fillId="18" borderId="28" xfId="0" applyFont="1" applyFill="1" applyBorder="1" applyAlignment="1" applyProtection="1">
      <alignment horizontal="left" vertical="top"/>
      <protection locked="0"/>
    </xf>
    <xf numFmtId="2" fontId="5" fillId="6" borderId="40" xfId="0" applyNumberFormat="1" applyFont="1" applyFill="1" applyBorder="1" applyAlignment="1">
      <alignment horizontal="center" vertical="top"/>
    </xf>
    <xf numFmtId="0" fontId="5" fillId="2" borderId="27" xfId="0" applyFont="1" applyFill="1" applyBorder="1" applyAlignment="1">
      <alignment horizontal="center" vertical="top"/>
    </xf>
    <xf numFmtId="0" fontId="5" fillId="9" borderId="26" xfId="0" applyFont="1" applyFill="1" applyBorder="1" applyAlignment="1">
      <alignment horizontal="left" vertical="top"/>
    </xf>
    <xf numFmtId="0" fontId="6" fillId="9" borderId="29" xfId="0" applyFont="1" applyFill="1" applyBorder="1" applyAlignment="1">
      <alignment vertical="top"/>
    </xf>
    <xf numFmtId="2" fontId="6" fillId="18" borderId="25" xfId="0" applyNumberFormat="1" applyFont="1" applyFill="1" applyBorder="1" applyAlignment="1">
      <alignment horizontal="center" vertical="top"/>
    </xf>
    <xf numFmtId="2" fontId="5" fillId="18" borderId="25" xfId="0" applyNumberFormat="1" applyFont="1" applyFill="1" applyBorder="1" applyAlignment="1">
      <alignment horizontal="center" vertical="top"/>
    </xf>
    <xf numFmtId="0" fontId="5" fillId="9" borderId="37" xfId="0" applyFont="1" applyFill="1" applyBorder="1" applyAlignment="1">
      <alignment horizontal="left" vertical="top"/>
    </xf>
    <xf numFmtId="0" fontId="6" fillId="9" borderId="43" xfId="0" applyFont="1" applyFill="1" applyBorder="1" applyAlignment="1">
      <alignment vertical="top"/>
    </xf>
    <xf numFmtId="0" fontId="5" fillId="3" borderId="37" xfId="0" applyFont="1" applyFill="1" applyBorder="1" applyAlignment="1">
      <alignment horizontal="left" vertical="top"/>
    </xf>
    <xf numFmtId="2" fontId="5" fillId="3" borderId="29" xfId="0" applyNumberFormat="1" applyFont="1" applyFill="1" applyBorder="1" applyAlignment="1">
      <alignment horizontal="center" vertical="center"/>
    </xf>
    <xf numFmtId="2" fontId="11" fillId="6" borderId="27" xfId="0" applyNumberFormat="1" applyFont="1" applyFill="1" applyBorder="1" applyAlignment="1">
      <alignment horizontal="center" vertical="top"/>
    </xf>
    <xf numFmtId="2" fontId="5" fillId="2" borderId="27" xfId="0" applyNumberFormat="1" applyFont="1" applyFill="1" applyBorder="1" applyAlignment="1">
      <alignment horizontal="center" vertical="top"/>
    </xf>
    <xf numFmtId="0" fontId="5" fillId="4" borderId="28" xfId="0" applyFont="1" applyFill="1" applyBorder="1" applyAlignment="1">
      <alignment horizontal="left" vertical="top"/>
    </xf>
    <xf numFmtId="0" fontId="6" fillId="4" borderId="29" xfId="0" applyFont="1" applyFill="1" applyBorder="1" applyAlignment="1">
      <alignment vertical="top"/>
    </xf>
    <xf numFmtId="0" fontId="5" fillId="4" borderId="38" xfId="0" quotePrefix="1" applyFont="1" applyFill="1" applyBorder="1" applyAlignment="1">
      <alignment horizontal="left" vertical="top"/>
    </xf>
    <xf numFmtId="0" fontId="6" fillId="4" borderId="29" xfId="0" applyFont="1" applyFill="1" applyBorder="1" applyAlignment="1">
      <alignment vertical="center"/>
    </xf>
    <xf numFmtId="0" fontId="9" fillId="0" borderId="37" xfId="0" applyFont="1" applyBorder="1" applyAlignment="1">
      <alignment horizontal="left" vertical="top" wrapText="1"/>
    </xf>
    <xf numFmtId="0" fontId="6" fillId="4" borderId="29" xfId="0" applyFont="1" applyFill="1" applyBorder="1" applyAlignment="1">
      <alignment horizontal="left" vertical="center"/>
    </xf>
    <xf numFmtId="0" fontId="9" fillId="0" borderId="28" xfId="0" applyFont="1" applyBorder="1" applyAlignment="1">
      <alignment horizontal="left" vertical="top" wrapText="1"/>
    </xf>
    <xf numFmtId="2" fontId="5" fillId="18" borderId="42" xfId="0" applyNumberFormat="1" applyFont="1" applyFill="1" applyBorder="1" applyAlignment="1">
      <alignment horizontal="center" vertical="top"/>
    </xf>
    <xf numFmtId="0" fontId="5" fillId="4" borderId="38" xfId="0" applyFont="1" applyFill="1" applyBorder="1" applyAlignment="1">
      <alignment horizontal="left" vertical="top"/>
    </xf>
    <xf numFmtId="0" fontId="6" fillId="4" borderId="42" xfId="0" applyFont="1" applyFill="1" applyBorder="1" applyAlignment="1">
      <alignment vertical="top"/>
    </xf>
    <xf numFmtId="0" fontId="9" fillId="0" borderId="28" xfId="0" applyFont="1" applyBorder="1" applyAlignment="1">
      <alignment horizontal="left" vertical="top"/>
    </xf>
    <xf numFmtId="2" fontId="6" fillId="4" borderId="29" xfId="0" applyNumberFormat="1" applyFont="1" applyFill="1" applyBorder="1" applyAlignment="1">
      <alignment vertical="top"/>
    </xf>
    <xf numFmtId="0" fontId="6" fillId="9" borderId="27" xfId="0" applyFont="1" applyFill="1" applyBorder="1" applyAlignment="1">
      <alignment vertical="top"/>
    </xf>
    <xf numFmtId="49" fontId="6" fillId="18" borderId="26" xfId="0" applyNumberFormat="1" applyFont="1" applyFill="1" applyBorder="1" applyAlignment="1">
      <alignment vertical="top"/>
    </xf>
    <xf numFmtId="2" fontId="5" fillId="15" borderId="27" xfId="0" applyNumberFormat="1" applyFont="1" applyFill="1" applyBorder="1" applyAlignment="1">
      <alignment horizontal="center" vertical="top"/>
    </xf>
    <xf numFmtId="0" fontId="5" fillId="17" borderId="39" xfId="0" applyFont="1" applyFill="1" applyBorder="1" applyAlignment="1">
      <alignment horizontal="center" vertical="top" wrapText="1"/>
    </xf>
    <xf numFmtId="0" fontId="5" fillId="9" borderId="29" xfId="0" applyFont="1" applyFill="1" applyBorder="1" applyAlignment="1">
      <alignment vertical="top" wrapText="1"/>
    </xf>
    <xf numFmtId="2" fontId="5" fillId="17" borderId="27" xfId="0" applyNumberFormat="1" applyFont="1" applyFill="1" applyBorder="1" applyAlignment="1">
      <alignment horizontal="center" vertical="top"/>
    </xf>
    <xf numFmtId="0" fontId="6" fillId="18" borderId="25" xfId="0" applyFont="1" applyFill="1" applyBorder="1" applyAlignment="1">
      <alignment horizontal="center" vertical="top"/>
    </xf>
    <xf numFmtId="49" fontId="5" fillId="18" borderId="24" xfId="0" applyNumberFormat="1" applyFont="1" applyFill="1" applyBorder="1" applyAlignment="1">
      <alignment horizontal="right" vertical="top"/>
    </xf>
    <xf numFmtId="0" fontId="6" fillId="18" borderId="18" xfId="0" applyFont="1" applyFill="1" applyBorder="1" applyAlignment="1">
      <alignment horizontal="center" vertical="top"/>
    </xf>
    <xf numFmtId="0" fontId="5" fillId="13" borderId="34" xfId="0" applyFont="1" applyFill="1" applyBorder="1" applyAlignment="1">
      <alignment horizontal="left" vertical="top"/>
    </xf>
    <xf numFmtId="0" fontId="6" fillId="13" borderId="35" xfId="0" applyFont="1" applyFill="1" applyBorder="1" applyAlignment="1">
      <alignment vertical="top"/>
    </xf>
    <xf numFmtId="0" fontId="5" fillId="13" borderId="35" xfId="0" applyFont="1" applyFill="1" applyBorder="1" applyAlignment="1">
      <alignment horizontal="right" vertical="top"/>
    </xf>
    <xf numFmtId="0" fontId="5" fillId="13" borderId="35" xfId="0" applyFont="1" applyFill="1" applyBorder="1" applyAlignment="1">
      <alignment horizontal="center" vertical="top"/>
    </xf>
    <xf numFmtId="0" fontId="5" fillId="13" borderId="36" xfId="0" applyFont="1" applyFill="1" applyBorder="1" applyAlignment="1">
      <alignment vertical="top"/>
    </xf>
    <xf numFmtId="0" fontId="5" fillId="11" borderId="34" xfId="0" applyFont="1" applyFill="1" applyBorder="1" applyAlignment="1">
      <alignment horizontal="left" vertical="top"/>
    </xf>
    <xf numFmtId="0" fontId="6" fillId="11" borderId="35" xfId="0" applyFont="1" applyFill="1" applyBorder="1" applyAlignment="1">
      <alignment vertical="top"/>
    </xf>
    <xf numFmtId="0" fontId="5" fillId="11" borderId="35" xfId="0" applyFont="1" applyFill="1" applyBorder="1" applyAlignment="1">
      <alignment horizontal="right" vertical="top"/>
    </xf>
    <xf numFmtId="0" fontId="5" fillId="11" borderId="35" xfId="0" applyFont="1" applyFill="1" applyBorder="1" applyAlignment="1">
      <alignment horizontal="center" vertical="top"/>
    </xf>
    <xf numFmtId="0" fontId="5" fillId="11" borderId="36" xfId="0" applyFont="1" applyFill="1" applyBorder="1" applyAlignment="1">
      <alignment vertical="top"/>
    </xf>
    <xf numFmtId="49" fontId="6" fillId="18" borderId="22" xfId="0" applyNumberFormat="1" applyFont="1" applyFill="1" applyBorder="1" applyAlignment="1">
      <alignment vertical="top"/>
    </xf>
    <xf numFmtId="0" fontId="6" fillId="18" borderId="18" xfId="0" applyFont="1" applyFill="1" applyBorder="1" applyAlignment="1">
      <alignment horizontal="left" vertical="top"/>
    </xf>
    <xf numFmtId="0" fontId="6" fillId="18" borderId="18" xfId="0" applyFont="1" applyFill="1" applyBorder="1" applyAlignment="1">
      <alignment vertical="top"/>
    </xf>
    <xf numFmtId="0" fontId="5" fillId="18" borderId="18" xfId="0" applyFont="1" applyFill="1" applyBorder="1" applyAlignment="1">
      <alignment horizontal="center" vertical="top"/>
    </xf>
    <xf numFmtId="2" fontId="5" fillId="18" borderId="23" xfId="0" applyNumberFormat="1" applyFont="1" applyFill="1" applyBorder="1" applyAlignment="1">
      <alignment horizontal="center" vertical="top"/>
    </xf>
    <xf numFmtId="0" fontId="5" fillId="18" borderId="18" xfId="0" applyFont="1" applyFill="1" applyBorder="1" applyAlignment="1">
      <alignment horizontal="right" vertical="top"/>
    </xf>
    <xf numFmtId="49" fontId="5" fillId="0" borderId="0" xfId="0" applyNumberFormat="1" applyFont="1" applyAlignment="1">
      <alignment horizontal="center"/>
    </xf>
    <xf numFmtId="0" fontId="3" fillId="0" borderId="0" xfId="0" applyFont="1" applyAlignment="1">
      <alignment horizontal="left" vertical="center" wrapText="1" readingOrder="1"/>
    </xf>
    <xf numFmtId="0" fontId="26" fillId="0" borderId="0" xfId="0" applyFont="1"/>
    <xf numFmtId="0" fontId="4" fillId="0" borderId="0" xfId="0" applyFont="1" applyAlignment="1">
      <alignment horizontal="left" vertical="center" wrapText="1" readingOrder="1"/>
    </xf>
    <xf numFmtId="0" fontId="4" fillId="0" borderId="9" xfId="0" applyFont="1" applyBorder="1" applyAlignment="1">
      <alignment horizontal="left" vertical="center" wrapText="1" readingOrder="1"/>
    </xf>
    <xf numFmtId="0" fontId="26" fillId="0" borderId="0" xfId="0" applyFont="1" applyAlignment="1">
      <alignment vertical="top"/>
    </xf>
    <xf numFmtId="9" fontId="4" fillId="0" borderId="3" xfId="0" applyNumberFormat="1" applyFont="1" applyBorder="1" applyAlignment="1">
      <alignment horizontal="center" vertical="center" readingOrder="1"/>
    </xf>
    <xf numFmtId="9" fontId="4" fillId="0" borderId="4" xfId="0" applyNumberFormat="1" applyFont="1" applyBorder="1" applyAlignment="1">
      <alignment horizontal="center" vertical="center" readingOrder="1"/>
    </xf>
    <xf numFmtId="0" fontId="19" fillId="0" borderId="6" xfId="0" applyFont="1" applyBorder="1" applyAlignment="1">
      <alignment vertical="center" wrapText="1" readingOrder="1"/>
    </xf>
    <xf numFmtId="0" fontId="19" fillId="0" borderId="7" xfId="0" applyFont="1" applyBorder="1" applyAlignment="1">
      <alignment horizontal="center" vertical="center" wrapText="1" readingOrder="1"/>
    </xf>
    <xf numFmtId="0" fontId="19" fillId="0" borderId="5" xfId="0" applyFont="1" applyBorder="1" applyAlignment="1">
      <alignment horizontal="center" vertical="center" wrapText="1" readingOrder="1"/>
    </xf>
    <xf numFmtId="0" fontId="19" fillId="0" borderId="9" xfId="0" applyFont="1" applyBorder="1" applyAlignment="1">
      <alignment vertical="center" wrapText="1" readingOrder="1"/>
    </xf>
    <xf numFmtId="0" fontId="4" fillId="0" borderId="8" xfId="0" applyFont="1" applyBorder="1" applyAlignment="1">
      <alignment horizontal="center" vertical="center" wrapText="1" readingOrder="1"/>
    </xf>
    <xf numFmtId="0" fontId="4" fillId="0" borderId="3" xfId="0" applyFont="1" applyBorder="1" applyAlignment="1">
      <alignment horizontal="center" vertical="center" wrapText="1" readingOrder="1"/>
    </xf>
    <xf numFmtId="9" fontId="4" fillId="0" borderId="8" xfId="0" applyNumberFormat="1" applyFont="1" applyBorder="1" applyAlignment="1">
      <alignment vertical="center" readingOrder="1"/>
    </xf>
    <xf numFmtId="9" fontId="4" fillId="0" borderId="8" xfId="0" applyNumberFormat="1" applyFont="1" applyBorder="1" applyAlignment="1">
      <alignment horizontal="center" vertical="center" readingOrder="1"/>
    </xf>
    <xf numFmtId="0" fontId="4" fillId="0" borderId="9" xfId="0" applyFont="1" applyBorder="1" applyAlignment="1">
      <alignment vertical="top"/>
    </xf>
    <xf numFmtId="0" fontId="4" fillId="0" borderId="2" xfId="0" applyFont="1" applyBorder="1" applyAlignment="1">
      <alignment horizontal="left" vertical="center" wrapText="1" readingOrder="1"/>
    </xf>
    <xf numFmtId="9" fontId="4" fillId="0" borderId="1" xfId="0" applyNumberFormat="1" applyFont="1" applyBorder="1" applyAlignment="1">
      <alignment horizontal="center" vertical="center" wrapText="1" readingOrder="1"/>
    </xf>
    <xf numFmtId="10" fontId="6" fillId="5" borderId="1" xfId="0" applyNumberFormat="1" applyFont="1" applyFill="1" applyBorder="1" applyAlignment="1" applyProtection="1">
      <alignment horizontal="center" vertical="top"/>
      <protection locked="0"/>
    </xf>
    <xf numFmtId="0" fontId="6" fillId="18" borderId="0" xfId="0" applyFont="1" applyFill="1" applyAlignment="1">
      <alignment horizontal="left" vertical="center" wrapText="1"/>
    </xf>
    <xf numFmtId="0" fontId="6" fillId="0" borderId="4" xfId="0" applyFont="1" applyBorder="1" applyAlignment="1">
      <alignment horizontal="center" vertical="center"/>
    </xf>
    <xf numFmtId="2" fontId="6" fillId="18" borderId="40" xfId="0" applyNumberFormat="1" applyFont="1" applyFill="1" applyBorder="1" applyAlignment="1">
      <alignment horizontal="center" vertical="center"/>
    </xf>
    <xf numFmtId="0" fontId="6" fillId="18" borderId="3" xfId="0" applyFont="1" applyFill="1" applyBorder="1" applyAlignment="1">
      <alignment horizontal="left" vertical="top"/>
    </xf>
    <xf numFmtId="0" fontId="6" fillId="18" borderId="6" xfId="0" applyFont="1" applyFill="1" applyBorder="1" applyAlignment="1">
      <alignment horizontal="center" vertical="center" wrapText="1"/>
    </xf>
    <xf numFmtId="49" fontId="6" fillId="18" borderId="26" xfId="0" applyNumberFormat="1" applyFont="1" applyFill="1" applyBorder="1" applyAlignment="1">
      <alignment horizontal="left" vertical="top"/>
    </xf>
    <xf numFmtId="0" fontId="6" fillId="18" borderId="7" xfId="0" applyFont="1" applyFill="1" applyBorder="1" applyAlignment="1">
      <alignment horizontal="center" vertical="center"/>
    </xf>
    <xf numFmtId="0" fontId="6" fillId="18" borderId="3" xfId="0" applyFont="1" applyFill="1" applyBorder="1" applyAlignment="1">
      <alignment horizontal="left" vertical="center" wrapText="1"/>
    </xf>
    <xf numFmtId="0" fontId="5" fillId="10" borderId="3" xfId="0" applyFont="1" applyFill="1" applyBorder="1" applyAlignment="1">
      <alignment horizontal="left" vertical="center" wrapText="1"/>
    </xf>
    <xf numFmtId="0" fontId="6" fillId="18" borderId="38" xfId="0" applyFont="1" applyFill="1" applyBorder="1" applyAlignment="1">
      <alignment horizontal="left" vertical="top"/>
    </xf>
    <xf numFmtId="2" fontId="6" fillId="18" borderId="3" xfId="0" applyNumberFormat="1" applyFont="1" applyFill="1" applyBorder="1" applyAlignment="1">
      <alignment horizontal="center" vertical="top"/>
    </xf>
    <xf numFmtId="10" fontId="6" fillId="18" borderId="3" xfId="0" applyNumberFormat="1" applyFont="1" applyFill="1" applyBorder="1" applyAlignment="1">
      <alignment horizontal="center" vertical="top"/>
    </xf>
    <xf numFmtId="0" fontId="20" fillId="18" borderId="3" xfId="0" applyFont="1" applyFill="1" applyBorder="1" applyAlignment="1">
      <alignment horizontal="center" vertical="center" wrapText="1"/>
    </xf>
    <xf numFmtId="0" fontId="6" fillId="5" borderId="3" xfId="0" applyFont="1" applyFill="1" applyBorder="1" applyAlignment="1" applyProtection="1">
      <alignment horizontal="center" vertical="center"/>
      <protection locked="0"/>
    </xf>
    <xf numFmtId="0" fontId="6" fillId="0" borderId="0" xfId="0" applyFont="1" applyAlignment="1">
      <alignment horizontal="center" vertical="center" wrapText="1"/>
    </xf>
    <xf numFmtId="0" fontId="6" fillId="5" borderId="28" xfId="0" applyFont="1" applyFill="1" applyBorder="1" applyAlignment="1" applyProtection="1">
      <alignment horizontal="left" vertical="center"/>
      <protection locked="0"/>
    </xf>
    <xf numFmtId="0" fontId="5" fillId="18" borderId="24" xfId="0" applyFont="1" applyFill="1" applyBorder="1" applyAlignment="1">
      <alignment horizontal="left" vertical="center" wrapText="1"/>
    </xf>
    <xf numFmtId="0" fontId="5" fillId="18" borderId="0" xfId="0" applyFont="1" applyFill="1" applyAlignment="1">
      <alignment horizontal="left" vertical="center" wrapText="1"/>
    </xf>
    <xf numFmtId="0" fontId="5" fillId="26" borderId="3" xfId="0" applyFont="1" applyFill="1" applyBorder="1" applyAlignment="1">
      <alignment horizontal="center"/>
    </xf>
    <xf numFmtId="2" fontId="6" fillId="5" borderId="3" xfId="0" applyNumberFormat="1" applyFont="1" applyFill="1" applyBorder="1" applyAlignment="1" applyProtection="1">
      <alignment horizontal="center" vertical="center"/>
      <protection locked="0"/>
    </xf>
    <xf numFmtId="2" fontId="6" fillId="5" borderId="3" xfId="0" applyNumberFormat="1" applyFont="1" applyFill="1" applyBorder="1" applyAlignment="1" applyProtection="1">
      <alignment horizontal="center" vertical="top"/>
      <protection locked="0"/>
    </xf>
    <xf numFmtId="10" fontId="6" fillId="0" borderId="3" xfId="0" applyNumberFormat="1" applyFont="1" applyBorder="1" applyAlignment="1">
      <alignment horizontal="center" vertical="top"/>
    </xf>
    <xf numFmtId="0" fontId="5" fillId="15" borderId="3" xfId="0" applyFont="1" applyFill="1" applyBorder="1" applyAlignment="1">
      <alignment horizontal="center" vertical="top" wrapText="1"/>
    </xf>
    <xf numFmtId="2" fontId="6" fillId="0" borderId="4" xfId="0" applyNumberFormat="1" applyFont="1" applyBorder="1" applyAlignment="1">
      <alignment horizontal="center" vertical="center"/>
    </xf>
    <xf numFmtId="2" fontId="6" fillId="0" borderId="7" xfId="0" applyNumberFormat="1" applyFont="1" applyBorder="1" applyAlignment="1">
      <alignment horizontal="center" vertical="center"/>
    </xf>
    <xf numFmtId="2" fontId="6" fillId="0" borderId="40" xfId="0" applyNumberFormat="1" applyFont="1" applyBorder="1" applyAlignment="1">
      <alignment horizontal="center" vertical="center"/>
    </xf>
    <xf numFmtId="0" fontId="6" fillId="0" borderId="7" xfId="0" applyFont="1" applyBorder="1" applyAlignment="1">
      <alignment horizontal="center" vertical="center"/>
    </xf>
    <xf numFmtId="0" fontId="5" fillId="15" borderId="27" xfId="0" applyFont="1" applyFill="1" applyBorder="1" applyAlignment="1">
      <alignment horizontal="center" vertical="top" wrapText="1"/>
    </xf>
    <xf numFmtId="0" fontId="5" fillId="2" borderId="3" xfId="0" applyFont="1" applyFill="1" applyBorder="1" applyAlignment="1">
      <alignment horizontal="center" vertical="top" wrapText="1"/>
    </xf>
    <xf numFmtId="10" fontId="6" fillId="5" borderId="7" xfId="0" applyNumberFormat="1" applyFont="1" applyFill="1" applyBorder="1" applyAlignment="1" applyProtection="1">
      <alignment horizontal="center" vertical="center"/>
      <protection locked="0"/>
    </xf>
    <xf numFmtId="10" fontId="6" fillId="5" borderId="3" xfId="0" applyNumberFormat="1" applyFont="1" applyFill="1" applyBorder="1" applyAlignment="1" applyProtection="1">
      <alignment horizontal="center" vertical="center"/>
      <protection locked="0"/>
    </xf>
    <xf numFmtId="2" fontId="6" fillId="5" borderId="9" xfId="0" applyNumberFormat="1" applyFont="1" applyFill="1" applyBorder="1" applyAlignment="1" applyProtection="1">
      <alignment horizontal="center" vertical="top"/>
      <protection locked="0"/>
    </xf>
    <xf numFmtId="0" fontId="5" fillId="2" borderId="28" xfId="0" applyFont="1" applyFill="1" applyBorder="1" applyAlignment="1">
      <alignment horizontal="left" vertical="top"/>
    </xf>
    <xf numFmtId="0" fontId="5" fillId="2" borderId="10" xfId="0" applyFont="1" applyFill="1" applyBorder="1" applyAlignment="1">
      <alignment horizontal="left" vertical="top"/>
    </xf>
    <xf numFmtId="2" fontId="6" fillId="18" borderId="7" xfId="0" applyNumberFormat="1" applyFont="1" applyFill="1" applyBorder="1" applyAlignment="1">
      <alignment horizontal="center" vertical="center"/>
    </xf>
    <xf numFmtId="0" fontId="28" fillId="18" borderId="0" xfId="0" applyFont="1" applyFill="1" applyAlignment="1">
      <alignment vertical="top"/>
    </xf>
    <xf numFmtId="0" fontId="9" fillId="18" borderId="0" xfId="0" applyFont="1" applyFill="1"/>
    <xf numFmtId="0" fontId="19" fillId="18" borderId="0" xfId="0" applyFont="1" applyFill="1" applyAlignment="1">
      <alignment vertical="top"/>
    </xf>
    <xf numFmtId="0" fontId="29" fillId="18" borderId="0" xfId="0" applyFont="1" applyFill="1" applyAlignment="1">
      <alignment vertical="top"/>
    </xf>
    <xf numFmtId="2" fontId="9" fillId="18" borderId="0" xfId="1" quotePrefix="1" applyNumberFormat="1" applyFont="1" applyFill="1" applyAlignment="1">
      <alignment horizontal="center" vertical="top"/>
    </xf>
    <xf numFmtId="0" fontId="9" fillId="18" borderId="0" xfId="0" applyFont="1" applyFill="1" applyAlignment="1">
      <alignment horizontal="left" vertical="top" wrapText="1"/>
    </xf>
    <xf numFmtId="2" fontId="9" fillId="0" borderId="0" xfId="1" quotePrefix="1" applyNumberFormat="1" applyFont="1" applyAlignment="1">
      <alignment horizontal="center" vertical="top"/>
    </xf>
    <xf numFmtId="0" fontId="5" fillId="27" borderId="3" xfId="0" applyFont="1" applyFill="1" applyBorder="1" applyAlignment="1">
      <alignment horizontal="center" vertical="center" wrapText="1"/>
    </xf>
    <xf numFmtId="0" fontId="6" fillId="18" borderId="30" xfId="0" applyFont="1" applyFill="1" applyBorder="1" applyAlignment="1">
      <alignment horizontal="center" vertical="center" wrapText="1"/>
    </xf>
    <xf numFmtId="0" fontId="6" fillId="18" borderId="7" xfId="0" applyFont="1" applyFill="1" applyBorder="1" applyAlignment="1">
      <alignment horizontal="center" vertical="center" wrapText="1"/>
    </xf>
    <xf numFmtId="0" fontId="9" fillId="18" borderId="0" xfId="1" applyFont="1" applyFill="1" applyAlignment="1">
      <alignment vertical="top" wrapText="1"/>
    </xf>
    <xf numFmtId="0" fontId="6" fillId="18" borderId="0" xfId="0" applyFont="1" applyFill="1" applyAlignment="1">
      <alignment vertical="top" wrapText="1"/>
    </xf>
    <xf numFmtId="2" fontId="9" fillId="18" borderId="0" xfId="1" quotePrefix="1" applyNumberFormat="1" applyFont="1" applyFill="1" applyAlignment="1">
      <alignment horizontal="left" vertical="top"/>
    </xf>
    <xf numFmtId="2" fontId="11" fillId="11" borderId="3" xfId="1" applyNumberFormat="1" applyFont="1" applyFill="1" applyBorder="1" applyAlignment="1">
      <alignment horizontal="center" vertical="center"/>
    </xf>
    <xf numFmtId="0" fontId="9" fillId="18" borderId="0" xfId="1" applyFont="1" applyFill="1"/>
    <xf numFmtId="1" fontId="9" fillId="18" borderId="3" xfId="1" applyNumberFormat="1" applyFont="1" applyFill="1" applyBorder="1" applyAlignment="1">
      <alignment horizontal="center" vertical="center"/>
    </xf>
    <xf numFmtId="1" fontId="9" fillId="18" borderId="0" xfId="1" applyNumberFormat="1" applyFont="1" applyFill="1" applyAlignment="1">
      <alignment horizontal="center" vertical="center"/>
    </xf>
    <xf numFmtId="0" fontId="9" fillId="18" borderId="0" xfId="1" applyFont="1" applyFill="1" applyAlignment="1">
      <alignment horizontal="center" vertical="center"/>
    </xf>
    <xf numFmtId="2" fontId="29" fillId="18" borderId="0" xfId="1" applyNumberFormat="1" applyFont="1" applyFill="1" applyAlignment="1">
      <alignment horizontal="left" vertical="top"/>
    </xf>
    <xf numFmtId="0" fontId="9" fillId="18" borderId="0" xfId="1" quotePrefix="1" applyFont="1" applyFill="1" applyAlignment="1">
      <alignment horizontal="center" vertical="top"/>
    </xf>
    <xf numFmtId="0" fontId="9" fillId="0" borderId="0" xfId="0" applyFont="1"/>
    <xf numFmtId="2" fontId="9" fillId="18" borderId="0" xfId="1" applyNumberFormat="1" applyFont="1" applyFill="1" applyAlignment="1">
      <alignment horizontal="center" vertical="top"/>
    </xf>
    <xf numFmtId="0" fontId="9" fillId="18" borderId="0" xfId="1" quotePrefix="1" applyFont="1" applyFill="1" applyAlignment="1">
      <alignment horizontal="left" vertical="top"/>
    </xf>
    <xf numFmtId="0" fontId="9" fillId="0" borderId="0" xfId="1" quotePrefix="1" applyFont="1" applyAlignment="1">
      <alignment horizontal="center" vertical="top"/>
    </xf>
    <xf numFmtId="0" fontId="11" fillId="18" borderId="0" xfId="0" applyFont="1" applyFill="1"/>
    <xf numFmtId="2" fontId="9" fillId="18" borderId="0" xfId="1" applyNumberFormat="1" applyFont="1" applyFill="1" applyAlignment="1">
      <alignment horizontal="left" vertical="top"/>
    </xf>
    <xf numFmtId="0" fontId="29" fillId="28" borderId="4" xfId="1" quotePrefix="1" applyFont="1" applyFill="1" applyBorder="1" applyAlignment="1">
      <alignment horizontal="center" wrapText="1"/>
    </xf>
    <xf numFmtId="0" fontId="11" fillId="28" borderId="7" xfId="1" quotePrefix="1" applyFont="1" applyFill="1" applyBorder="1" applyAlignment="1">
      <alignment horizontal="center" wrapText="1"/>
    </xf>
    <xf numFmtId="0" fontId="9" fillId="18" borderId="3" xfId="0" applyFont="1" applyFill="1" applyBorder="1" applyAlignment="1">
      <alignment horizontal="center" vertical="center"/>
    </xf>
    <xf numFmtId="165" fontId="9" fillId="18" borderId="3" xfId="0" applyNumberFormat="1" applyFont="1" applyFill="1" applyBorder="1" applyAlignment="1">
      <alignment horizontal="center" vertical="center"/>
    </xf>
    <xf numFmtId="0" fontId="18" fillId="18" borderId="3" xfId="0" applyFont="1" applyFill="1" applyBorder="1" applyAlignment="1">
      <alignment horizontal="center" vertical="center" readingOrder="1"/>
    </xf>
    <xf numFmtId="165" fontId="9" fillId="18" borderId="3" xfId="1" applyNumberFormat="1" applyFont="1" applyFill="1" applyBorder="1" applyAlignment="1">
      <alignment horizontal="center" vertical="center"/>
    </xf>
    <xf numFmtId="0" fontId="11" fillId="18" borderId="0" xfId="1" applyFont="1" applyFill="1" applyAlignment="1">
      <alignment horizontal="right"/>
    </xf>
    <xf numFmtId="0" fontId="11" fillId="28" borderId="3" xfId="1" applyFont="1" applyFill="1" applyBorder="1" applyAlignment="1">
      <alignment horizontal="center"/>
    </xf>
    <xf numFmtId="0" fontId="9" fillId="0" borderId="0" xfId="1" applyFont="1"/>
    <xf numFmtId="2" fontId="9" fillId="0" borderId="0" xfId="1" applyNumberFormat="1" applyFont="1" applyAlignment="1">
      <alignment horizontal="left" vertical="top"/>
    </xf>
    <xf numFmtId="0" fontId="9" fillId="28" borderId="1" xfId="1" applyFont="1" applyFill="1" applyBorder="1" applyAlignment="1">
      <alignment horizontal="center" vertical="center"/>
    </xf>
    <xf numFmtId="0" fontId="11" fillId="28" borderId="2" xfId="0" applyFont="1" applyFill="1" applyBorder="1" applyAlignment="1">
      <alignment horizontal="right" vertical="center"/>
    </xf>
    <xf numFmtId="0" fontId="11" fillId="28" borderId="3" xfId="0" applyFont="1" applyFill="1" applyBorder="1" applyAlignment="1">
      <alignment horizontal="center" vertical="center"/>
    </xf>
    <xf numFmtId="0" fontId="9" fillId="28" borderId="12" xfId="1" applyFont="1" applyFill="1" applyBorder="1" applyAlignment="1">
      <alignment horizontal="center" vertical="center"/>
    </xf>
    <xf numFmtId="0" fontId="11" fillId="28" borderId="13" xfId="0" applyFont="1" applyFill="1" applyBorder="1" applyAlignment="1">
      <alignment horizontal="right" vertical="top"/>
    </xf>
    <xf numFmtId="0" fontId="11" fillId="28" borderId="3" xfId="0" applyFont="1" applyFill="1" applyBorder="1" applyAlignment="1">
      <alignment horizontal="center" vertical="center" wrapText="1"/>
    </xf>
    <xf numFmtId="0" fontId="11" fillId="28" borderId="5" xfId="1" applyFont="1" applyFill="1" applyBorder="1" applyAlignment="1">
      <alignment horizontal="left" vertical="center"/>
    </xf>
    <xf numFmtId="0" fontId="9" fillId="28" borderId="6" xfId="0" applyFont="1" applyFill="1" applyBorder="1" applyAlignment="1">
      <alignment horizontal="left" vertical="center"/>
    </xf>
    <xf numFmtId="2" fontId="9" fillId="18" borderId="3" xfId="0" applyNumberFormat="1" applyFont="1" applyFill="1" applyBorder="1" applyAlignment="1">
      <alignment horizontal="center" vertical="center"/>
    </xf>
    <xf numFmtId="2" fontId="9" fillId="18" borderId="3" xfId="1" applyNumberFormat="1" applyFont="1" applyFill="1" applyBorder="1" applyAlignment="1">
      <alignment horizontal="center" vertical="center"/>
    </xf>
    <xf numFmtId="0" fontId="18" fillId="18" borderId="0" xfId="0" applyFont="1" applyFill="1" applyAlignment="1">
      <alignment horizontal="left" vertical="center" readingOrder="1"/>
    </xf>
    <xf numFmtId="0" fontId="5" fillId="28" borderId="3" xfId="0" applyFont="1" applyFill="1" applyBorder="1" applyAlignment="1">
      <alignment horizontal="center" vertical="center" wrapText="1"/>
    </xf>
    <xf numFmtId="0" fontId="32" fillId="18" borderId="3" xfId="0" applyFont="1" applyFill="1" applyBorder="1" applyAlignment="1">
      <alignment horizontal="center" vertical="top" wrapText="1"/>
    </xf>
    <xf numFmtId="0" fontId="0" fillId="18" borderId="3" xfId="0" applyFill="1" applyBorder="1" applyAlignment="1">
      <alignment horizontal="center" vertical="top" wrapText="1"/>
    </xf>
    <xf numFmtId="0" fontId="9" fillId="18" borderId="0" xfId="1" applyFont="1" applyFill="1" applyAlignment="1">
      <alignment horizontal="left" vertical="center" wrapText="1"/>
    </xf>
    <xf numFmtId="2" fontId="11" fillId="13" borderId="4" xfId="1" applyNumberFormat="1" applyFont="1" applyFill="1" applyBorder="1" applyAlignment="1">
      <alignment horizontal="center" vertical="center"/>
    </xf>
    <xf numFmtId="0" fontId="9" fillId="18" borderId="0" xfId="1" applyFont="1" applyFill="1" applyAlignment="1">
      <alignment horizontal="left" vertical="top" wrapText="1"/>
    </xf>
    <xf numFmtId="0" fontId="5" fillId="13" borderId="3" xfId="0" applyFont="1" applyFill="1" applyBorder="1" applyAlignment="1">
      <alignment horizontal="center" vertical="center" wrapText="1"/>
    </xf>
    <xf numFmtId="0" fontId="5" fillId="18" borderId="0" xfId="0" applyFont="1" applyFill="1" applyAlignment="1">
      <alignment vertical="center" wrapText="1"/>
    </xf>
    <xf numFmtId="165" fontId="9" fillId="18" borderId="0" xfId="1" applyNumberFormat="1" applyFont="1" applyFill="1"/>
    <xf numFmtId="0" fontId="11" fillId="18" borderId="0" xfId="1" applyFont="1" applyFill="1" applyAlignment="1">
      <alignment horizontal="right" vertical="center" wrapText="1"/>
    </xf>
    <xf numFmtId="0" fontId="9" fillId="18" borderId="0" xfId="0" applyFont="1" applyFill="1" applyAlignment="1">
      <alignment horizontal="right"/>
    </xf>
    <xf numFmtId="2" fontId="11" fillId="18" borderId="0" xfId="1" applyNumberFormat="1" applyFont="1" applyFill="1" applyAlignment="1">
      <alignment horizontal="center" vertical="center"/>
    </xf>
    <xf numFmtId="0" fontId="9" fillId="18" borderId="0" xfId="1" quotePrefix="1" applyFont="1" applyFill="1" applyAlignment="1">
      <alignment horizontal="center" vertical="center"/>
    </xf>
    <xf numFmtId="2" fontId="9" fillId="18" borderId="0" xfId="1" applyNumberFormat="1" applyFont="1" applyFill="1" applyAlignment="1">
      <alignment horizontal="right" vertical="top" wrapText="1"/>
    </xf>
    <xf numFmtId="2" fontId="9" fillId="18" borderId="0" xfId="1" applyNumberFormat="1" applyFont="1" applyFill="1" applyAlignment="1">
      <alignment horizontal="left" vertical="center" wrapText="1"/>
    </xf>
    <xf numFmtId="0" fontId="8" fillId="18" borderId="0" xfId="0" applyFont="1" applyFill="1" applyAlignment="1">
      <alignment horizontal="left" vertical="center"/>
    </xf>
    <xf numFmtId="2" fontId="13" fillId="0" borderId="0" xfId="1" applyNumberFormat="1" applyFont="1" applyAlignment="1">
      <alignment horizontal="left" vertical="top"/>
    </xf>
    <xf numFmtId="2" fontId="9" fillId="0" borderId="0" xfId="1" applyNumberFormat="1" applyFont="1" applyAlignment="1">
      <alignment horizontal="center" vertical="center"/>
    </xf>
    <xf numFmtId="0" fontId="13" fillId="0" borderId="0" xfId="1" applyFont="1"/>
    <xf numFmtId="2" fontId="9" fillId="0" borderId="0" xfId="1" applyNumberFormat="1" applyFont="1" applyAlignment="1">
      <alignment horizontal="center" vertical="top"/>
    </xf>
    <xf numFmtId="0" fontId="5" fillId="18" borderId="25" xfId="0" applyFont="1" applyFill="1" applyBorder="1" applyAlignment="1">
      <alignment horizontal="center" vertical="center" wrapText="1"/>
    </xf>
    <xf numFmtId="0" fontId="5" fillId="18" borderId="24" xfId="0" applyFont="1" applyFill="1" applyBorder="1" applyAlignment="1">
      <alignment horizontal="right"/>
    </xf>
    <xf numFmtId="2" fontId="5" fillId="18" borderId="0" xfId="0" applyNumberFormat="1" applyFont="1" applyFill="1" applyAlignment="1">
      <alignment horizontal="center" vertical="center"/>
    </xf>
    <xf numFmtId="164" fontId="5" fillId="18" borderId="0" xfId="0" applyNumberFormat="1" applyFont="1" applyFill="1" applyAlignment="1">
      <alignment horizontal="center" vertical="center"/>
    </xf>
    <xf numFmtId="0" fontId="6" fillId="0" borderId="0" xfId="0" applyFont="1" applyAlignment="1">
      <alignment vertical="center" wrapText="1"/>
    </xf>
    <xf numFmtId="0" fontId="6" fillId="18" borderId="30" xfId="0" applyFont="1" applyFill="1" applyBorder="1" applyAlignment="1">
      <alignment horizontal="left" vertical="center" wrapText="1"/>
    </xf>
    <xf numFmtId="0" fontId="5" fillId="6" borderId="27" xfId="0" applyFont="1" applyFill="1" applyBorder="1" applyAlignment="1">
      <alignment horizontal="center"/>
    </xf>
    <xf numFmtId="0" fontId="5" fillId="5" borderId="27" xfId="0" applyFont="1" applyFill="1" applyBorder="1" applyAlignment="1" applyProtection="1">
      <alignment horizontal="center" vertical="center" wrapText="1"/>
      <protection locked="0"/>
    </xf>
    <xf numFmtId="0" fontId="5" fillId="5" borderId="39" xfId="0" applyFont="1" applyFill="1" applyBorder="1" applyAlignment="1" applyProtection="1">
      <alignment vertical="center" wrapText="1"/>
      <protection locked="0"/>
    </xf>
    <xf numFmtId="0" fontId="5" fillId="5" borderId="3" xfId="0" applyFont="1" applyFill="1" applyBorder="1" applyAlignment="1" applyProtection="1">
      <alignment horizontal="center" vertical="center"/>
      <protection locked="0"/>
    </xf>
    <xf numFmtId="0" fontId="6" fillId="5" borderId="26" xfId="0" applyFont="1" applyFill="1" applyBorder="1" applyProtection="1">
      <protection locked="0"/>
    </xf>
    <xf numFmtId="10" fontId="5" fillId="0" borderId="4" xfId="0" applyNumberFormat="1" applyFont="1" applyBorder="1" applyAlignment="1">
      <alignment horizontal="center" vertical="top"/>
    </xf>
    <xf numFmtId="10" fontId="5" fillId="5" borderId="4" xfId="0" applyNumberFormat="1" applyFont="1" applyFill="1" applyBorder="1" applyAlignment="1" applyProtection="1">
      <alignment horizontal="center" vertical="top"/>
      <protection locked="0"/>
    </xf>
    <xf numFmtId="10" fontId="5" fillId="6" borderId="4" xfId="0" applyNumberFormat="1" applyFont="1" applyFill="1" applyBorder="1" applyAlignment="1">
      <alignment horizontal="center" vertical="top"/>
    </xf>
    <xf numFmtId="0" fontId="5" fillId="16" borderId="34" xfId="0" applyFont="1" applyFill="1" applyBorder="1" applyAlignment="1">
      <alignment horizontal="left" vertical="top"/>
    </xf>
    <xf numFmtId="0" fontId="6" fillId="16" borderId="35" xfId="0" applyFont="1" applyFill="1" applyBorder="1" applyAlignment="1">
      <alignment vertical="top"/>
    </xf>
    <xf numFmtId="0" fontId="5" fillId="16" borderId="35" xfId="0" applyFont="1" applyFill="1" applyBorder="1" applyAlignment="1">
      <alignment horizontal="right" vertical="top"/>
    </xf>
    <xf numFmtId="0" fontId="5" fillId="16" borderId="35" xfId="0" applyFont="1" applyFill="1" applyBorder="1" applyAlignment="1">
      <alignment horizontal="center" vertical="top"/>
    </xf>
    <xf numFmtId="0" fontId="5" fillId="16" borderId="36" xfId="0" applyFont="1" applyFill="1" applyBorder="1" applyAlignment="1">
      <alignment vertical="top"/>
    </xf>
    <xf numFmtId="0" fontId="6" fillId="0" borderId="18" xfId="0" applyFont="1" applyBorder="1" applyAlignment="1">
      <alignment horizontal="center" vertical="top"/>
    </xf>
    <xf numFmtId="0" fontId="6" fillId="18" borderId="23" xfId="0" applyFont="1" applyFill="1" applyBorder="1" applyAlignment="1">
      <alignment vertical="top"/>
    </xf>
    <xf numFmtId="0" fontId="5" fillId="2" borderId="34" xfId="0" applyFont="1" applyFill="1" applyBorder="1" applyAlignment="1">
      <alignment vertical="top"/>
    </xf>
    <xf numFmtId="0" fontId="5" fillId="2" borderId="35" xfId="0" applyFont="1" applyFill="1" applyBorder="1" applyAlignment="1">
      <alignment vertical="top"/>
    </xf>
    <xf numFmtId="0" fontId="5" fillId="2" borderId="46" xfId="0" applyFont="1" applyFill="1" applyBorder="1" applyAlignment="1">
      <alignment horizontal="center" vertical="top" wrapText="1"/>
    </xf>
    <xf numFmtId="0" fontId="5" fillId="2" borderId="45" xfId="0" applyFont="1" applyFill="1" applyBorder="1" applyAlignment="1">
      <alignment horizontal="center" vertical="top" wrapText="1"/>
    </xf>
    <xf numFmtId="0" fontId="5" fillId="2" borderId="50" xfId="0" applyFont="1" applyFill="1" applyBorder="1" applyAlignment="1">
      <alignment horizontal="center" vertical="top" wrapText="1"/>
    </xf>
    <xf numFmtId="0" fontId="5" fillId="2" borderId="49" xfId="0" applyFont="1" applyFill="1" applyBorder="1" applyAlignment="1">
      <alignment horizontal="center" vertical="top" wrapText="1"/>
    </xf>
    <xf numFmtId="0" fontId="6" fillId="14" borderId="45" xfId="0" applyFont="1" applyFill="1" applyBorder="1" applyAlignment="1">
      <alignment vertical="top"/>
    </xf>
    <xf numFmtId="0" fontId="38" fillId="0" borderId="54" xfId="0" applyFont="1" applyBorder="1" applyAlignment="1">
      <alignment horizontal="center" vertical="center" wrapText="1"/>
    </xf>
    <xf numFmtId="0" fontId="6" fillId="18" borderId="19" xfId="0" applyFont="1" applyFill="1" applyBorder="1"/>
    <xf numFmtId="0" fontId="6" fillId="18" borderId="20" xfId="0" applyFont="1" applyFill="1" applyBorder="1" applyAlignment="1">
      <alignment horizontal="center" vertical="center"/>
    </xf>
    <xf numFmtId="0" fontId="6" fillId="18" borderId="21" xfId="0" applyFont="1" applyFill="1" applyBorder="1"/>
    <xf numFmtId="0" fontId="6" fillId="18" borderId="22" xfId="0" applyFont="1" applyFill="1" applyBorder="1" applyAlignment="1">
      <alignment horizontal="center"/>
    </xf>
    <xf numFmtId="0" fontId="6" fillId="18" borderId="18" xfId="0" applyFont="1" applyFill="1" applyBorder="1" applyAlignment="1">
      <alignment horizontal="center"/>
    </xf>
    <xf numFmtId="0" fontId="6" fillId="18" borderId="18" xfId="0" applyFont="1" applyFill="1" applyBorder="1" applyAlignment="1">
      <alignment horizontal="center" vertical="center"/>
    </xf>
    <xf numFmtId="0" fontId="6" fillId="0" borderId="23" xfId="0" applyFont="1" applyBorder="1" applyAlignment="1">
      <alignment horizontal="center"/>
    </xf>
    <xf numFmtId="2" fontId="11" fillId="0" borderId="0" xfId="1" applyNumberFormat="1" applyFont="1" applyAlignment="1">
      <alignment horizontal="center" vertical="center"/>
    </xf>
    <xf numFmtId="0" fontId="11" fillId="0" borderId="0" xfId="1" applyFont="1" applyAlignment="1">
      <alignment horizontal="center" vertical="center" wrapText="1"/>
    </xf>
    <xf numFmtId="1" fontId="9" fillId="0" borderId="0" xfId="1" applyNumberFormat="1" applyFont="1" applyAlignment="1">
      <alignment horizontal="center" vertical="center"/>
    </xf>
    <xf numFmtId="0" fontId="9" fillId="0" borderId="0" xfId="1" applyFont="1" applyAlignment="1">
      <alignment horizontal="center" vertical="center"/>
    </xf>
    <xf numFmtId="0" fontId="5" fillId="0" borderId="0" xfId="0" applyFont="1"/>
    <xf numFmtId="0" fontId="9" fillId="18" borderId="0" xfId="1" applyFont="1" applyFill="1" applyAlignment="1">
      <alignment horizontal="center"/>
    </xf>
    <xf numFmtId="0" fontId="9" fillId="18" borderId="0" xfId="1" applyFont="1" applyFill="1" applyAlignment="1">
      <alignment horizontal="center" vertical="center" wrapText="1"/>
    </xf>
    <xf numFmtId="1" fontId="9" fillId="18" borderId="0" xfId="1" applyNumberFormat="1" applyFont="1" applyFill="1" applyAlignment="1">
      <alignment horizontal="left" vertical="center"/>
    </xf>
    <xf numFmtId="0" fontId="6" fillId="0" borderId="4" xfId="0" applyFont="1" applyBorder="1" applyAlignment="1">
      <alignment horizontal="center" vertical="center" wrapText="1"/>
    </xf>
    <xf numFmtId="0" fontId="6" fillId="0" borderId="38" xfId="0" applyFont="1" applyBorder="1" applyAlignment="1">
      <alignment horizontal="left" vertical="top"/>
    </xf>
    <xf numFmtId="1" fontId="20" fillId="22" borderId="3" xfId="0" applyNumberFormat="1" applyFont="1" applyFill="1" applyBorder="1" applyAlignment="1" applyProtection="1">
      <alignment horizontal="center" vertical="center"/>
      <protection hidden="1"/>
    </xf>
    <xf numFmtId="0" fontId="18" fillId="24" borderId="3" xfId="0" applyFont="1" applyFill="1" applyBorder="1" applyAlignment="1" applyProtection="1">
      <alignment vertical="center" wrapText="1" readingOrder="1"/>
      <protection hidden="1"/>
    </xf>
    <xf numFmtId="0" fontId="18" fillId="24" borderId="3" xfId="0" applyFont="1" applyFill="1" applyBorder="1" applyAlignment="1" applyProtection="1">
      <alignment horizontal="left" vertical="center" wrapText="1" readingOrder="1"/>
      <protection hidden="1"/>
    </xf>
    <xf numFmtId="0" fontId="18" fillId="24" borderId="4" xfId="0" applyFont="1" applyFill="1" applyBorder="1" applyAlignment="1" applyProtection="1">
      <alignment horizontal="left" vertical="center" wrapText="1" readingOrder="1"/>
      <protection hidden="1"/>
    </xf>
    <xf numFmtId="0" fontId="18" fillId="24" borderId="7" xfId="0" applyFont="1" applyFill="1" applyBorder="1" applyAlignment="1" applyProtection="1">
      <alignment horizontal="left" vertical="center" wrapText="1" readingOrder="1"/>
      <protection hidden="1"/>
    </xf>
    <xf numFmtId="1" fontId="20" fillId="22" borderId="4" xfId="0" applyNumberFormat="1" applyFont="1" applyFill="1" applyBorder="1" applyAlignment="1" applyProtection="1">
      <alignment horizontal="center" vertical="center"/>
      <protection hidden="1"/>
    </xf>
    <xf numFmtId="1" fontId="20" fillId="22" borderId="7" xfId="0" applyNumberFormat="1" applyFont="1" applyFill="1" applyBorder="1" applyAlignment="1" applyProtection="1">
      <alignment horizontal="center" vertical="center"/>
      <protection hidden="1"/>
    </xf>
    <xf numFmtId="1" fontId="20" fillId="22" borderId="30" xfId="0" applyNumberFormat="1" applyFont="1" applyFill="1" applyBorder="1" applyAlignment="1" applyProtection="1">
      <alignment horizontal="center" vertical="center"/>
      <protection hidden="1"/>
    </xf>
    <xf numFmtId="1" fontId="20" fillId="22" borderId="3" xfId="0" applyNumberFormat="1" applyFont="1" applyFill="1" applyBorder="1" applyAlignment="1" applyProtection="1">
      <alignment horizontal="center" vertical="center" wrapText="1" readingOrder="1"/>
      <protection hidden="1"/>
    </xf>
    <xf numFmtId="0" fontId="18" fillId="24" borderId="30" xfId="0" applyFont="1" applyFill="1" applyBorder="1" applyAlignment="1" applyProtection="1">
      <alignment horizontal="left" vertical="center" wrapText="1" readingOrder="1"/>
      <protection hidden="1"/>
    </xf>
    <xf numFmtId="0" fontId="9" fillId="24" borderId="1" xfId="0" applyFont="1" applyFill="1" applyBorder="1" applyAlignment="1" applyProtection="1">
      <alignment horizontal="center" vertical="center" wrapText="1"/>
      <protection hidden="1"/>
    </xf>
    <xf numFmtId="0" fontId="9" fillId="24" borderId="11" xfId="0" applyFont="1" applyFill="1" applyBorder="1" applyAlignment="1" applyProtection="1">
      <alignment horizontal="center" vertical="center" wrapText="1"/>
      <protection hidden="1"/>
    </xf>
    <xf numFmtId="0" fontId="9" fillId="24" borderId="2" xfId="0" applyFont="1" applyFill="1" applyBorder="1" applyAlignment="1" applyProtection="1">
      <alignment horizontal="center" vertical="center" wrapText="1"/>
      <protection hidden="1"/>
    </xf>
    <xf numFmtId="0" fontId="9" fillId="24" borderId="12" xfId="0" applyFont="1" applyFill="1" applyBorder="1" applyAlignment="1" applyProtection="1">
      <alignment horizontal="center" vertical="center" wrapText="1"/>
      <protection hidden="1"/>
    </xf>
    <xf numFmtId="0" fontId="9" fillId="24" borderId="0" xfId="0" applyFont="1" applyFill="1" applyAlignment="1" applyProtection="1">
      <alignment horizontal="center" vertical="center" wrapText="1"/>
      <protection hidden="1"/>
    </xf>
    <xf numFmtId="0" fontId="9" fillId="24" borderId="13" xfId="0" applyFont="1" applyFill="1" applyBorder="1" applyAlignment="1" applyProtection="1">
      <alignment horizontal="center" vertical="center" wrapText="1"/>
      <protection hidden="1"/>
    </xf>
    <xf numFmtId="0" fontId="9" fillId="24" borderId="5" xfId="0" applyFont="1" applyFill="1" applyBorder="1" applyAlignment="1" applyProtection="1">
      <alignment horizontal="center" vertical="center" wrapText="1"/>
      <protection hidden="1"/>
    </xf>
    <xf numFmtId="0" fontId="9" fillId="24" borderId="14" xfId="0" applyFont="1" applyFill="1" applyBorder="1" applyAlignment="1" applyProtection="1">
      <alignment horizontal="center" vertical="center" wrapText="1"/>
      <protection hidden="1"/>
    </xf>
    <xf numFmtId="0" fontId="9" fillId="24" borderId="6" xfId="0" applyFont="1" applyFill="1" applyBorder="1" applyAlignment="1" applyProtection="1">
      <alignment horizontal="center" vertical="center" wrapText="1"/>
      <protection hidden="1"/>
    </xf>
    <xf numFmtId="0" fontId="6" fillId="0" borderId="8" xfId="0" quotePrefix="1" applyFont="1" applyBorder="1" applyAlignment="1" applyProtection="1">
      <alignment horizontal="left" vertical="top"/>
      <protection hidden="1"/>
    </xf>
    <xf numFmtId="0" fontId="6" fillId="0" borderId="10" xfId="0" quotePrefix="1" applyFont="1" applyBorder="1" applyAlignment="1" applyProtection="1">
      <alignment horizontal="left" vertical="top"/>
      <protection hidden="1"/>
    </xf>
    <xf numFmtId="0" fontId="6" fillId="0" borderId="9" xfId="0" quotePrefix="1" applyFont="1" applyBorder="1" applyAlignment="1" applyProtection="1">
      <alignment horizontal="left" vertical="top"/>
      <protection hidden="1"/>
    </xf>
    <xf numFmtId="0" fontId="6" fillId="0" borderId="8" xfId="0" applyFont="1" applyBorder="1" applyAlignment="1" applyProtection="1">
      <alignment horizontal="left" vertical="top"/>
      <protection hidden="1"/>
    </xf>
    <xf numFmtId="0" fontId="6" fillId="0" borderId="10" xfId="0" applyFont="1" applyBorder="1" applyAlignment="1" applyProtection="1">
      <alignment horizontal="left" vertical="top"/>
      <protection hidden="1"/>
    </xf>
    <xf numFmtId="0" fontId="6" fillId="0" borderId="9" xfId="0" applyFont="1" applyBorder="1" applyAlignment="1" applyProtection="1">
      <alignment horizontal="left" vertical="top"/>
      <protection hidden="1"/>
    </xf>
    <xf numFmtId="0" fontId="6" fillId="0" borderId="8" xfId="0" applyFont="1" applyBorder="1" applyAlignment="1" applyProtection="1">
      <alignment horizontal="left" vertical="top" wrapText="1"/>
      <protection hidden="1"/>
    </xf>
    <xf numFmtId="0" fontId="6" fillId="0" borderId="10" xfId="0" applyFont="1" applyBorder="1" applyAlignment="1" applyProtection="1">
      <alignment horizontal="left" vertical="top" wrapText="1"/>
      <protection hidden="1"/>
    </xf>
    <xf numFmtId="0" fontId="6" fillId="0" borderId="9" xfId="0" applyFont="1" applyBorder="1" applyAlignment="1" applyProtection="1">
      <alignment horizontal="left" vertical="top" wrapText="1"/>
      <protection hidden="1"/>
    </xf>
    <xf numFmtId="0" fontId="9" fillId="0" borderId="8"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0" fontId="9" fillId="18" borderId="8" xfId="0" applyFont="1" applyFill="1" applyBorder="1" applyAlignment="1" applyProtection="1">
      <alignment horizontal="left" vertical="top" wrapText="1"/>
      <protection hidden="1"/>
    </xf>
    <xf numFmtId="0" fontId="9" fillId="18" borderId="10" xfId="0" applyFont="1" applyFill="1" applyBorder="1" applyAlignment="1" applyProtection="1">
      <alignment horizontal="left" vertical="top" wrapText="1"/>
      <protection hidden="1"/>
    </xf>
    <xf numFmtId="0" fontId="9" fillId="18" borderId="9" xfId="0" applyFont="1" applyFill="1" applyBorder="1" applyAlignment="1" applyProtection="1">
      <alignment horizontal="left" vertical="top" wrapText="1"/>
      <protection hidden="1"/>
    </xf>
    <xf numFmtId="0" fontId="9" fillId="0" borderId="8" xfId="0" quotePrefix="1" applyFont="1" applyBorder="1" applyAlignment="1" applyProtection="1">
      <alignment horizontal="left" vertical="top" wrapText="1"/>
      <protection hidden="1"/>
    </xf>
    <xf numFmtId="0" fontId="9" fillId="0" borderId="10" xfId="0" quotePrefix="1" applyFont="1" applyBorder="1" applyAlignment="1" applyProtection="1">
      <alignment horizontal="left" vertical="top" wrapText="1"/>
      <protection hidden="1"/>
    </xf>
    <xf numFmtId="0" fontId="9" fillId="0" borderId="9" xfId="0" quotePrefix="1" applyFont="1" applyBorder="1" applyAlignment="1" applyProtection="1">
      <alignment horizontal="left" vertical="top" wrapText="1"/>
      <protection hidden="1"/>
    </xf>
    <xf numFmtId="0" fontId="9" fillId="0" borderId="8" xfId="0" applyFont="1" applyBorder="1" applyAlignment="1" applyProtection="1">
      <alignment horizontal="left" vertical="top"/>
      <protection hidden="1"/>
    </xf>
    <xf numFmtId="0" fontId="9" fillId="0" borderId="10" xfId="0" applyFont="1" applyBorder="1" applyAlignment="1" applyProtection="1">
      <alignment horizontal="left" vertical="top"/>
      <protection hidden="1"/>
    </xf>
    <xf numFmtId="0" fontId="9" fillId="0" borderId="9" xfId="0" applyFont="1" applyBorder="1" applyAlignment="1" applyProtection="1">
      <alignment horizontal="left" vertical="top"/>
      <protection hidden="1"/>
    </xf>
    <xf numFmtId="1" fontId="20" fillId="22" borderId="30" xfId="0" applyNumberFormat="1" applyFont="1" applyFill="1" applyBorder="1" applyAlignment="1" applyProtection="1">
      <alignment horizontal="center" vertical="center" wrapText="1" readingOrder="1"/>
      <protection hidden="1"/>
    </xf>
    <xf numFmtId="1" fontId="20" fillId="22" borderId="7" xfId="0" applyNumberFormat="1" applyFont="1" applyFill="1" applyBorder="1" applyAlignment="1" applyProtection="1">
      <alignment horizontal="center" vertical="center" wrapText="1" readingOrder="1"/>
      <protection hidden="1"/>
    </xf>
    <xf numFmtId="0" fontId="1" fillId="20" borderId="8" xfId="0" applyFont="1" applyFill="1" applyBorder="1" applyAlignment="1" applyProtection="1">
      <alignment horizontal="left" vertical="center" wrapText="1" readingOrder="1"/>
      <protection hidden="1"/>
    </xf>
    <xf numFmtId="0" fontId="1" fillId="20" borderId="10" xfId="0" applyFont="1" applyFill="1" applyBorder="1" applyAlignment="1" applyProtection="1">
      <alignment horizontal="left" vertical="center" wrapText="1" readingOrder="1"/>
      <protection hidden="1"/>
    </xf>
    <xf numFmtId="0" fontId="1" fillId="20" borderId="9" xfId="0" applyFont="1" applyFill="1" applyBorder="1" applyAlignment="1" applyProtection="1">
      <alignment horizontal="left" vertical="center" wrapText="1" readingOrder="1"/>
      <protection hidden="1"/>
    </xf>
    <xf numFmtId="0" fontId="1" fillId="20" borderId="8" xfId="0" applyFont="1" applyFill="1" applyBorder="1" applyAlignment="1" applyProtection="1">
      <alignment horizontal="left" vertical="center" wrapText="1"/>
      <protection hidden="1"/>
    </xf>
    <xf numFmtId="0" fontId="1" fillId="20" borderId="10" xfId="0" applyFont="1" applyFill="1" applyBorder="1" applyAlignment="1" applyProtection="1">
      <alignment horizontal="left" vertical="center" wrapText="1"/>
      <protection hidden="1"/>
    </xf>
    <xf numFmtId="0" fontId="1" fillId="20" borderId="9" xfId="0" applyFont="1" applyFill="1" applyBorder="1" applyAlignment="1" applyProtection="1">
      <alignment horizontal="left" vertical="center" wrapText="1"/>
      <protection hidden="1"/>
    </xf>
    <xf numFmtId="0" fontId="20" fillId="10" borderId="3" xfId="0" applyFont="1" applyFill="1" applyBorder="1" applyAlignment="1">
      <alignment horizontal="center" vertical="center" wrapText="1"/>
    </xf>
    <xf numFmtId="0" fontId="20" fillId="18" borderId="3" xfId="0" applyFont="1" applyFill="1" applyBorder="1" applyAlignment="1">
      <alignment horizontal="left" vertical="center" wrapText="1"/>
    </xf>
    <xf numFmtId="0" fontId="20" fillId="18" borderId="3" xfId="0" applyFont="1" applyFill="1" applyBorder="1" applyAlignment="1">
      <alignment horizontal="center" vertical="center" wrapText="1"/>
    </xf>
    <xf numFmtId="0" fontId="9" fillId="0" borderId="3" xfId="1" applyFont="1" applyBorder="1" applyAlignment="1">
      <alignment horizontal="center" vertical="top" wrapText="1"/>
    </xf>
    <xf numFmtId="2" fontId="9" fillId="18" borderId="0" xfId="1" applyNumberFormat="1" applyFont="1" applyFill="1" applyAlignment="1">
      <alignment horizontal="left" vertical="center" wrapText="1"/>
    </xf>
    <xf numFmtId="0" fontId="6" fillId="18" borderId="0" xfId="0" applyFont="1" applyFill="1" applyAlignment="1">
      <alignment horizontal="left" vertical="top"/>
    </xf>
    <xf numFmtId="0" fontId="6" fillId="18" borderId="0" xfId="0" applyFont="1" applyFill="1" applyAlignment="1">
      <alignment horizontal="left" vertical="center" wrapText="1"/>
    </xf>
    <xf numFmtId="0" fontId="6" fillId="0" borderId="3" xfId="0" applyFont="1" applyBorder="1" applyAlignment="1">
      <alignment horizontal="center"/>
    </xf>
    <xf numFmtId="0" fontId="9" fillId="18" borderId="3" xfId="1" applyFont="1" applyFill="1" applyBorder="1" applyAlignment="1">
      <alignment horizontal="left" vertical="top" wrapText="1"/>
    </xf>
    <xf numFmtId="0" fontId="9" fillId="18" borderId="8" xfId="1" applyFont="1" applyFill="1" applyBorder="1" applyAlignment="1">
      <alignment horizontal="left" vertical="top" wrapText="1"/>
    </xf>
    <xf numFmtId="0" fontId="9" fillId="18" borderId="10" xfId="1" applyFont="1" applyFill="1" applyBorder="1" applyAlignment="1">
      <alignment horizontal="left" vertical="top" wrapText="1"/>
    </xf>
    <xf numFmtId="0" fontId="9" fillId="18" borderId="9" xfId="1" applyFont="1" applyFill="1" applyBorder="1" applyAlignment="1">
      <alignment horizontal="left" vertical="top" wrapText="1"/>
    </xf>
    <xf numFmtId="0" fontId="11" fillId="0" borderId="3" xfId="1" applyFont="1" applyBorder="1" applyAlignment="1">
      <alignment horizontal="left" vertical="top" wrapText="1"/>
    </xf>
    <xf numFmtId="0" fontId="11" fillId="18" borderId="8" xfId="1" applyFont="1" applyFill="1" applyBorder="1" applyAlignment="1">
      <alignment horizontal="left" vertical="top" wrapText="1"/>
    </xf>
    <xf numFmtId="0" fontId="9" fillId="18" borderId="11" xfId="1" applyFont="1" applyFill="1" applyBorder="1" applyAlignment="1">
      <alignment horizontal="left" vertical="top" wrapText="1"/>
    </xf>
    <xf numFmtId="0" fontId="9" fillId="18" borderId="0" xfId="1" applyFont="1" applyFill="1" applyAlignment="1">
      <alignment horizontal="left" vertical="center" wrapText="1"/>
    </xf>
    <xf numFmtId="0" fontId="5" fillId="13" borderId="3" xfId="0" applyFont="1" applyFill="1" applyBorder="1" applyAlignment="1">
      <alignment horizontal="center" vertical="center" wrapText="1"/>
    </xf>
    <xf numFmtId="0" fontId="11" fillId="13" borderId="3" xfId="1" applyFont="1" applyFill="1" applyBorder="1" applyAlignment="1">
      <alignment horizontal="center" vertical="center" wrapText="1"/>
    </xf>
    <xf numFmtId="0" fontId="11" fillId="13" borderId="8" xfId="1" applyFont="1" applyFill="1" applyBorder="1" applyAlignment="1">
      <alignment horizontal="center" vertical="center" wrapText="1"/>
    </xf>
    <xf numFmtId="0" fontId="11" fillId="13" borderId="10" xfId="1" applyFont="1" applyFill="1" applyBorder="1" applyAlignment="1">
      <alignment horizontal="center" vertical="center" wrapText="1"/>
    </xf>
    <xf numFmtId="0" fontId="11" fillId="13" borderId="9" xfId="1" applyFont="1" applyFill="1" applyBorder="1" applyAlignment="1">
      <alignment horizontal="center" vertical="center" wrapText="1"/>
    </xf>
    <xf numFmtId="0" fontId="5" fillId="28"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18" borderId="8" xfId="0" applyFont="1" applyFill="1" applyBorder="1" applyAlignment="1">
      <alignment horizontal="center" vertical="center" wrapText="1"/>
    </xf>
    <xf numFmtId="0" fontId="9" fillId="18" borderId="9" xfId="0" applyFont="1" applyFill="1" applyBorder="1" applyAlignment="1">
      <alignment horizontal="center" vertical="center" wrapText="1"/>
    </xf>
    <xf numFmtId="0" fontId="0" fillId="18" borderId="8" xfId="0" applyFill="1" applyBorder="1" applyAlignment="1">
      <alignment horizontal="center" vertical="top" wrapText="1"/>
    </xf>
    <xf numFmtId="0" fontId="0" fillId="18" borderId="9" xfId="0" applyFill="1" applyBorder="1" applyAlignment="1">
      <alignment horizontal="center" vertical="top" wrapText="1"/>
    </xf>
    <xf numFmtId="0" fontId="9" fillId="0" borderId="0" xfId="1" applyFont="1" applyAlignment="1">
      <alignment horizontal="left" vertical="center" wrapText="1"/>
    </xf>
    <xf numFmtId="2" fontId="9" fillId="0" borderId="0" xfId="1" quotePrefix="1" applyNumberFormat="1" applyFont="1" applyAlignment="1">
      <alignment horizontal="left" vertical="top" wrapText="1"/>
    </xf>
    <xf numFmtId="0" fontId="9" fillId="18" borderId="0" xfId="1" applyFont="1" applyFill="1" applyAlignment="1">
      <alignment horizontal="left" vertical="top" wrapText="1"/>
    </xf>
    <xf numFmtId="0" fontId="9" fillId="18" borderId="0" xfId="1" applyFont="1" applyFill="1" applyAlignment="1">
      <alignment vertical="top" wrapText="1"/>
    </xf>
    <xf numFmtId="0" fontId="9" fillId="18" borderId="0" xfId="0" applyFont="1" applyFill="1" applyAlignment="1">
      <alignment vertical="top" wrapText="1"/>
    </xf>
    <xf numFmtId="0" fontId="11" fillId="28" borderId="3" xfId="1" applyFont="1" applyFill="1" applyBorder="1" applyAlignment="1">
      <alignment horizontal="center" vertical="center"/>
    </xf>
    <xf numFmtId="0" fontId="11" fillId="28" borderId="3" xfId="0" applyFont="1" applyFill="1" applyBorder="1" applyAlignment="1">
      <alignment horizontal="center" vertical="center"/>
    </xf>
    <xf numFmtId="0" fontId="9" fillId="28" borderId="3" xfId="0" applyFont="1" applyFill="1" applyBorder="1" applyAlignment="1">
      <alignment horizontal="center" vertical="center"/>
    </xf>
    <xf numFmtId="0" fontId="9" fillId="18" borderId="8" xfId="0" applyFont="1" applyFill="1" applyBorder="1" applyAlignment="1">
      <alignment horizontal="center" vertical="center"/>
    </xf>
    <xf numFmtId="0" fontId="6" fillId="18" borderId="9" xfId="0" applyFont="1" applyFill="1" applyBorder="1" applyAlignment="1">
      <alignment horizontal="center" vertical="center"/>
    </xf>
    <xf numFmtId="0" fontId="9" fillId="18" borderId="0" xfId="1" applyFont="1" applyFill="1" applyAlignment="1">
      <alignment horizontal="left" wrapText="1"/>
    </xf>
    <xf numFmtId="0" fontId="9" fillId="0" borderId="0" xfId="1" applyFont="1" applyAlignment="1">
      <alignment vertical="top" wrapText="1"/>
    </xf>
    <xf numFmtId="0" fontId="6" fillId="0" borderId="0" xfId="0" applyFont="1" applyAlignment="1">
      <alignment vertical="top" wrapText="1"/>
    </xf>
    <xf numFmtId="0" fontId="11" fillId="11" borderId="3" xfId="0" applyFont="1" applyFill="1" applyBorder="1" applyAlignment="1">
      <alignment horizontal="center" vertical="center" wrapText="1"/>
    </xf>
    <xf numFmtId="0" fontId="9" fillId="0" borderId="3" xfId="1" applyFont="1" applyBorder="1" applyAlignment="1">
      <alignment horizontal="center" vertical="center"/>
    </xf>
    <xf numFmtId="0" fontId="9" fillId="18" borderId="3" xfId="1" applyFont="1" applyFill="1" applyBorder="1" applyAlignment="1">
      <alignment horizontal="center"/>
    </xf>
    <xf numFmtId="0" fontId="9" fillId="0" borderId="3" xfId="1" applyFont="1" applyBorder="1" applyAlignment="1">
      <alignment horizontal="center" vertical="center" wrapText="1"/>
    </xf>
    <xf numFmtId="2" fontId="9" fillId="18" borderId="0" xfId="1" quotePrefix="1" applyNumberFormat="1" applyFont="1" applyFill="1" applyAlignment="1">
      <alignment horizontal="left" vertical="top" wrapText="1"/>
    </xf>
    <xf numFmtId="0" fontId="9" fillId="18" borderId="0" xfId="0" applyFont="1" applyFill="1" applyAlignment="1">
      <alignment horizontal="left" vertical="top" wrapText="1"/>
    </xf>
    <xf numFmtId="0" fontId="9" fillId="18" borderId="3" xfId="1" applyFont="1" applyFill="1" applyBorder="1" applyAlignment="1">
      <alignment horizontal="center" vertical="center"/>
    </xf>
    <xf numFmtId="0" fontId="6" fillId="18" borderId="3" xfId="0" applyFont="1" applyFill="1" applyBorder="1" applyAlignment="1">
      <alignment horizontal="center" vertical="center" wrapText="1"/>
    </xf>
    <xf numFmtId="0" fontId="6" fillId="18" borderId="4" xfId="0" applyFont="1" applyFill="1" applyBorder="1" applyAlignment="1">
      <alignment horizontal="center" vertical="center" wrapText="1"/>
    </xf>
    <xf numFmtId="0" fontId="6" fillId="18" borderId="7" xfId="0" applyFont="1" applyFill="1" applyBorder="1" applyAlignment="1">
      <alignment horizontal="center" vertical="center" wrapText="1"/>
    </xf>
    <xf numFmtId="0" fontId="11" fillId="11" borderId="8" xfId="1" applyFont="1" applyFill="1" applyBorder="1" applyAlignment="1">
      <alignment horizontal="center" wrapText="1"/>
    </xf>
    <xf numFmtId="0" fontId="9" fillId="11" borderId="9" xfId="0" applyFont="1" applyFill="1" applyBorder="1" applyAlignment="1">
      <alignment horizontal="center" wrapText="1"/>
    </xf>
    <xf numFmtId="0" fontId="9" fillId="18" borderId="8" xfId="1" applyFont="1" applyFill="1" applyBorder="1" applyAlignment="1">
      <alignment horizontal="center" vertical="center"/>
    </xf>
    <xf numFmtId="0" fontId="9" fillId="18" borderId="9"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7" xfId="0" applyFont="1" applyBorder="1" applyAlignment="1">
      <alignment horizontal="center" vertical="center" wrapText="1"/>
    </xf>
    <xf numFmtId="0" fontId="6" fillId="18" borderId="30"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9" fillId="18" borderId="0" xfId="1" applyFont="1" applyFill="1" applyAlignment="1">
      <alignment wrapText="1"/>
    </xf>
    <xf numFmtId="0" fontId="9" fillId="18" borderId="0" xfId="0" applyFont="1" applyFill="1" applyAlignment="1">
      <alignment wrapText="1"/>
    </xf>
    <xf numFmtId="0" fontId="5" fillId="27" borderId="3"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1" applyFont="1" applyAlignment="1">
      <alignment horizontal="center" vertical="center"/>
    </xf>
    <xf numFmtId="0" fontId="9" fillId="0" borderId="0" xfId="1" applyFont="1" applyAlignment="1">
      <alignment horizontal="center" vertical="center" wrapText="1"/>
    </xf>
    <xf numFmtId="0" fontId="6" fillId="5" borderId="8" xfId="0" applyFont="1" applyFill="1" applyBorder="1" applyAlignment="1" applyProtection="1">
      <alignment horizontal="center" vertical="center"/>
      <protection locked="0"/>
    </xf>
    <xf numFmtId="0" fontId="6" fillId="5" borderId="29" xfId="0" applyFont="1" applyFill="1" applyBorder="1" applyAlignment="1" applyProtection="1">
      <alignment horizontal="center" vertical="center"/>
      <protection locked="0"/>
    </xf>
    <xf numFmtId="0" fontId="6" fillId="18" borderId="28" xfId="0" applyFont="1" applyFill="1" applyBorder="1" applyAlignment="1">
      <alignment horizontal="left" vertical="center" wrapText="1"/>
    </xf>
    <xf numFmtId="0" fontId="6" fillId="18" borderId="10" xfId="0" applyFont="1" applyFill="1" applyBorder="1" applyAlignment="1">
      <alignment horizontal="left" vertical="center" wrapText="1"/>
    </xf>
    <xf numFmtId="0" fontId="6" fillId="18" borderId="9" xfId="0" applyFont="1" applyFill="1" applyBorder="1" applyAlignment="1">
      <alignment horizontal="left" vertical="center" wrapText="1"/>
    </xf>
    <xf numFmtId="0" fontId="5" fillId="18" borderId="0" xfId="0" applyFont="1" applyFill="1" applyAlignment="1">
      <alignment horizontal="center"/>
    </xf>
    <xf numFmtId="165" fontId="6" fillId="18" borderId="8" xfId="0" applyNumberFormat="1" applyFont="1" applyFill="1" applyBorder="1" applyAlignment="1">
      <alignment horizontal="center"/>
    </xf>
    <xf numFmtId="165" fontId="6" fillId="18" borderId="9" xfId="0" applyNumberFormat="1" applyFont="1" applyFill="1" applyBorder="1" applyAlignment="1">
      <alignment horizontal="center"/>
    </xf>
    <xf numFmtId="0" fontId="6" fillId="0" borderId="31" xfId="0" applyFont="1" applyBorder="1" applyAlignment="1">
      <alignment horizontal="left" vertical="top" wrapText="1"/>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5" fillId="26" borderId="3" xfId="0" applyFont="1" applyFill="1" applyBorder="1" applyAlignment="1">
      <alignment horizontal="center"/>
    </xf>
    <xf numFmtId="0" fontId="5" fillId="26" borderId="27" xfId="0" applyFont="1" applyFill="1" applyBorder="1" applyAlignment="1">
      <alignment horizontal="center"/>
    </xf>
    <xf numFmtId="0" fontId="6" fillId="5" borderId="3" xfId="0"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protection locked="0"/>
    </xf>
    <xf numFmtId="0" fontId="6" fillId="5" borderId="3" xfId="0" applyFont="1" applyFill="1" applyBorder="1" applyAlignment="1" applyProtection="1">
      <alignment horizontal="left" vertical="center"/>
      <protection locked="0"/>
    </xf>
    <xf numFmtId="0" fontId="6" fillId="0" borderId="0" xfId="0" applyFont="1" applyAlignment="1">
      <alignment horizontal="center" vertical="center" wrapText="1"/>
    </xf>
    <xf numFmtId="0" fontId="6" fillId="0" borderId="26" xfId="0" applyFont="1" applyBorder="1" applyAlignment="1">
      <alignment horizontal="left" vertical="center" wrapText="1"/>
    </xf>
    <xf numFmtId="0" fontId="6" fillId="0" borderId="3" xfId="0" applyFont="1" applyBorder="1" applyAlignment="1">
      <alignment horizontal="left" vertical="center"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18" xfId="0" applyFont="1" applyBorder="1" applyAlignment="1">
      <alignment horizontal="center" vertical="center"/>
    </xf>
    <xf numFmtId="0" fontId="11" fillId="0" borderId="23" xfId="0" applyFont="1" applyBorder="1" applyAlignment="1">
      <alignment horizontal="center" vertical="center"/>
    </xf>
    <xf numFmtId="0" fontId="6" fillId="5" borderId="28" xfId="0" applyFont="1" applyFill="1" applyBorder="1" applyAlignment="1" applyProtection="1">
      <alignment horizontal="left" vertical="center"/>
      <protection locked="0"/>
    </xf>
    <xf numFmtId="0" fontId="6" fillId="5" borderId="10" xfId="0" applyFont="1" applyFill="1" applyBorder="1" applyAlignment="1" applyProtection="1">
      <alignment horizontal="left" vertical="center"/>
      <protection locked="0"/>
    </xf>
    <xf numFmtId="0" fontId="6" fillId="5" borderId="29" xfId="0" applyFont="1" applyFill="1" applyBorder="1" applyAlignment="1" applyProtection="1">
      <alignment horizontal="left" vertical="center"/>
      <protection locked="0"/>
    </xf>
    <xf numFmtId="0" fontId="6" fillId="5" borderId="28" xfId="0" applyFont="1" applyFill="1" applyBorder="1" applyAlignment="1" applyProtection="1">
      <alignment horizontal="left" vertical="top" wrapText="1"/>
      <protection locked="0"/>
    </xf>
    <xf numFmtId="0" fontId="6" fillId="5" borderId="10" xfId="0" applyFont="1" applyFill="1" applyBorder="1" applyAlignment="1" applyProtection="1">
      <alignment horizontal="left" vertical="top" wrapText="1"/>
      <protection locked="0"/>
    </xf>
    <xf numFmtId="0" fontId="6" fillId="5" borderId="29" xfId="0" applyFont="1" applyFill="1" applyBorder="1" applyAlignment="1" applyProtection="1">
      <alignment horizontal="left" vertical="top" wrapText="1"/>
      <protection locked="0"/>
    </xf>
    <xf numFmtId="0" fontId="6" fillId="5" borderId="28" xfId="0" applyFont="1" applyFill="1" applyBorder="1" applyAlignment="1" applyProtection="1">
      <alignment horizontal="left"/>
      <protection locked="0"/>
    </xf>
    <xf numFmtId="0" fontId="6" fillId="5" borderId="10" xfId="0" applyFont="1" applyFill="1" applyBorder="1" applyAlignment="1" applyProtection="1">
      <alignment horizontal="left"/>
      <protection locked="0"/>
    </xf>
    <xf numFmtId="0" fontId="6" fillId="5" borderId="29" xfId="0" applyFont="1" applyFill="1" applyBorder="1" applyAlignment="1" applyProtection="1">
      <alignment horizontal="left"/>
      <protection locked="0"/>
    </xf>
    <xf numFmtId="0" fontId="5" fillId="18" borderId="24" xfId="0" applyFont="1" applyFill="1" applyBorder="1" applyAlignment="1">
      <alignment horizontal="left" vertical="center" wrapText="1"/>
    </xf>
    <xf numFmtId="0" fontId="5" fillId="18" borderId="0" xfId="0" applyFont="1" applyFill="1" applyAlignment="1">
      <alignment horizontal="left" vertical="center" wrapText="1"/>
    </xf>
    <xf numFmtId="0" fontId="5" fillId="18" borderId="25" xfId="0" applyFont="1" applyFill="1" applyBorder="1" applyAlignment="1">
      <alignment horizontal="left" vertical="center" wrapText="1"/>
    </xf>
    <xf numFmtId="0" fontId="6" fillId="5" borderId="8"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top" wrapText="1"/>
      <protection locked="0"/>
    </xf>
    <xf numFmtId="0" fontId="6" fillId="5" borderId="10" xfId="0" applyFont="1" applyFill="1" applyBorder="1" applyAlignment="1" applyProtection="1">
      <alignment horizontal="left" vertical="top"/>
      <protection locked="0"/>
    </xf>
    <xf numFmtId="0" fontId="6" fillId="5" borderId="29" xfId="0" applyFont="1" applyFill="1" applyBorder="1" applyAlignment="1" applyProtection="1">
      <alignment horizontal="left" vertical="top"/>
      <protection locked="0"/>
    </xf>
    <xf numFmtId="14" fontId="6" fillId="5" borderId="8" xfId="0" applyNumberFormat="1" applyFont="1" applyFill="1" applyBorder="1" applyAlignment="1" applyProtection="1">
      <alignment horizontal="left" vertical="center"/>
      <protection locked="0"/>
    </xf>
    <xf numFmtId="0" fontId="6" fillId="5" borderId="9" xfId="0" applyFont="1" applyFill="1" applyBorder="1" applyAlignment="1" applyProtection="1">
      <alignment horizontal="left" vertical="center"/>
      <protection locked="0"/>
    </xf>
    <xf numFmtId="0" fontId="5" fillId="18" borderId="24" xfId="0" applyFont="1" applyFill="1" applyBorder="1" applyAlignment="1">
      <alignment horizontal="left" wrapText="1"/>
    </xf>
    <xf numFmtId="0" fontId="6" fillId="5" borderId="8" xfId="0" applyFont="1" applyFill="1" applyBorder="1" applyAlignment="1" applyProtection="1">
      <alignment horizontal="left" vertical="top"/>
      <protection locked="0"/>
    </xf>
    <xf numFmtId="0" fontId="5" fillId="26" borderId="3" xfId="0" applyFont="1" applyFill="1" applyBorder="1" applyAlignment="1">
      <alignment horizontal="left"/>
    </xf>
    <xf numFmtId="0" fontId="5" fillId="18" borderId="0" xfId="0" applyFont="1" applyFill="1" applyAlignment="1">
      <alignment horizontal="center" wrapText="1"/>
    </xf>
    <xf numFmtId="0" fontId="5" fillId="5" borderId="39" xfId="0" applyFont="1" applyFill="1" applyBorder="1" applyAlignment="1" applyProtection="1">
      <alignment horizontal="center" vertical="center"/>
      <protection locked="0"/>
    </xf>
    <xf numFmtId="0" fontId="5" fillId="5" borderId="55"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6" fillId="18" borderId="26" xfId="0" applyFont="1" applyFill="1" applyBorder="1" applyAlignment="1">
      <alignment horizontal="left" vertical="center" wrapText="1"/>
    </xf>
    <xf numFmtId="0" fontId="6" fillId="18" borderId="3" xfId="0" applyFont="1" applyFill="1" applyBorder="1" applyAlignment="1">
      <alignment horizontal="left" vertical="center" wrapText="1"/>
    </xf>
    <xf numFmtId="0" fontId="6" fillId="18" borderId="8" xfId="0" applyFont="1" applyFill="1" applyBorder="1" applyAlignment="1">
      <alignment horizontal="left" vertical="center" wrapText="1"/>
    </xf>
    <xf numFmtId="0" fontId="8" fillId="5" borderId="8" xfId="0" applyFont="1" applyFill="1" applyBorder="1" applyAlignment="1" applyProtection="1">
      <alignment horizontal="left" vertical="top"/>
      <protection locked="0"/>
    </xf>
    <xf numFmtId="0" fontId="8" fillId="5" borderId="10" xfId="0" applyFont="1" applyFill="1" applyBorder="1" applyAlignment="1" applyProtection="1">
      <alignment horizontal="left" vertical="top"/>
      <protection locked="0"/>
    </xf>
    <xf numFmtId="0" fontId="8" fillId="5" borderId="9" xfId="0" applyFont="1" applyFill="1" applyBorder="1" applyAlignment="1" applyProtection="1">
      <alignment horizontal="left" vertical="top"/>
      <protection locked="0"/>
    </xf>
    <xf numFmtId="49" fontId="6" fillId="0" borderId="31" xfId="0" applyNumberFormat="1" applyFont="1" applyBorder="1" applyAlignment="1">
      <alignment horizontal="left" vertical="top"/>
    </xf>
    <xf numFmtId="49" fontId="6" fillId="0" borderId="32" xfId="0" applyNumberFormat="1" applyFont="1" applyBorder="1" applyAlignment="1">
      <alignment horizontal="left" vertical="top"/>
    </xf>
    <xf numFmtId="49" fontId="6" fillId="0" borderId="33" xfId="0" applyNumberFormat="1" applyFont="1" applyBorder="1" applyAlignment="1">
      <alignment horizontal="left" vertical="top"/>
    </xf>
    <xf numFmtId="49" fontId="6" fillId="6" borderId="28" xfId="0" applyNumberFormat="1" applyFont="1" applyFill="1" applyBorder="1" applyAlignment="1" applyProtection="1">
      <alignment horizontal="left"/>
      <protection locked="0"/>
    </xf>
    <xf numFmtId="49" fontId="6" fillId="6" borderId="9" xfId="0" applyNumberFormat="1" applyFont="1" applyFill="1" applyBorder="1" applyAlignment="1" applyProtection="1">
      <alignment horizontal="left"/>
      <protection locked="0"/>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5" borderId="9" xfId="0" applyFont="1" applyFill="1" applyBorder="1" applyAlignment="1" applyProtection="1">
      <alignment horizontal="left" vertical="top"/>
      <protection locked="0"/>
    </xf>
    <xf numFmtId="0" fontId="6" fillId="5" borderId="3" xfId="0" applyFont="1" applyFill="1" applyBorder="1" applyAlignment="1" applyProtection="1">
      <alignment horizontal="left" vertical="top"/>
      <protection locked="0"/>
    </xf>
    <xf numFmtId="0" fontId="6" fillId="0" borderId="31" xfId="0" applyFont="1" applyBorder="1" applyAlignment="1">
      <alignment horizontal="left" vertical="top"/>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6" fillId="0" borderId="3" xfId="0" applyFont="1" applyBorder="1" applyAlignment="1">
      <alignment horizontal="left" vertical="top" wrapText="1"/>
    </xf>
    <xf numFmtId="2" fontId="6" fillId="0" borderId="3" xfId="0" applyNumberFormat="1" applyFont="1" applyBorder="1" applyAlignment="1">
      <alignment horizontal="center" vertical="top"/>
    </xf>
    <xf numFmtId="2" fontId="6" fillId="5" borderId="3" xfId="0" applyNumberFormat="1" applyFont="1" applyFill="1" applyBorder="1" applyAlignment="1" applyProtection="1">
      <alignment horizontal="center" vertical="top"/>
      <protection locked="0"/>
    </xf>
    <xf numFmtId="2" fontId="6" fillId="18" borderId="7" xfId="0" applyNumberFormat="1" applyFont="1" applyFill="1" applyBorder="1" applyAlignment="1">
      <alignment horizontal="center" vertical="center"/>
    </xf>
    <xf numFmtId="0" fontId="6" fillId="18" borderId="4" xfId="0" applyFont="1" applyFill="1" applyBorder="1" applyAlignment="1">
      <alignment horizontal="center" vertical="center"/>
    </xf>
    <xf numFmtId="0" fontId="6" fillId="18" borderId="30" xfId="0" applyFont="1" applyFill="1" applyBorder="1" applyAlignment="1">
      <alignment horizontal="center" vertical="center"/>
    </xf>
    <xf numFmtId="0" fontId="6" fillId="18" borderId="7" xfId="0" applyFont="1" applyFill="1" applyBorder="1" applyAlignment="1">
      <alignment horizontal="center" vertical="center"/>
    </xf>
    <xf numFmtId="2" fontId="6" fillId="5" borderId="9" xfId="0" applyNumberFormat="1" applyFont="1" applyFill="1" applyBorder="1" applyAlignment="1" applyProtection="1">
      <alignment horizontal="center" vertical="top"/>
      <protection locked="0"/>
    </xf>
    <xf numFmtId="10" fontId="6" fillId="0" borderId="4" xfId="0" applyNumberFormat="1" applyFont="1" applyBorder="1" applyAlignment="1">
      <alignment horizontal="center" vertical="top"/>
    </xf>
    <xf numFmtId="10" fontId="6" fillId="0" borderId="7" xfId="0" applyNumberFormat="1" applyFont="1" applyBorder="1" applyAlignment="1">
      <alignment horizontal="center" vertical="top"/>
    </xf>
    <xf numFmtId="0" fontId="6" fillId="18" borderId="28" xfId="0" applyFont="1" applyFill="1" applyBorder="1" applyAlignment="1">
      <alignment horizontal="left"/>
    </xf>
    <xf numFmtId="0" fontId="6" fillId="18" borderId="9" xfId="0" applyFont="1" applyFill="1" applyBorder="1" applyAlignment="1">
      <alignment horizontal="left"/>
    </xf>
    <xf numFmtId="2" fontId="6" fillId="0" borderId="8" xfId="0" applyNumberFormat="1" applyFont="1" applyBorder="1" applyAlignment="1">
      <alignment horizontal="center" vertical="center" wrapText="1"/>
    </xf>
    <xf numFmtId="2" fontId="6" fillId="0" borderId="9" xfId="0" applyNumberFormat="1" applyFont="1" applyBorder="1" applyAlignment="1">
      <alignment horizontal="center" vertical="center" wrapText="1"/>
    </xf>
    <xf numFmtId="0" fontId="6" fillId="5" borderId="8" xfId="0" applyFont="1" applyFill="1" applyBorder="1" applyAlignment="1" applyProtection="1">
      <alignment horizontal="center" vertical="top"/>
      <protection locked="0"/>
    </xf>
    <xf numFmtId="0" fontId="6" fillId="5" borderId="9" xfId="0" applyFont="1" applyFill="1" applyBorder="1" applyAlignment="1" applyProtection="1">
      <alignment horizontal="center" vertical="top"/>
      <protection locked="0"/>
    </xf>
    <xf numFmtId="0" fontId="5" fillId="2" borderId="28" xfId="0" applyFont="1" applyFill="1" applyBorder="1" applyAlignment="1">
      <alignment horizontal="left" vertical="top"/>
    </xf>
    <xf numFmtId="0" fontId="5" fillId="2" borderId="10" xfId="0" applyFont="1" applyFill="1" applyBorder="1" applyAlignment="1">
      <alignment horizontal="left" vertical="top"/>
    </xf>
    <xf numFmtId="0" fontId="5" fillId="2" borderId="3" xfId="0" applyFont="1" applyFill="1" applyBorder="1" applyAlignment="1">
      <alignment horizontal="center" vertical="top" wrapText="1"/>
    </xf>
    <xf numFmtId="0" fontId="9" fillId="0" borderId="8" xfId="0" quotePrefix="1" applyFont="1" applyBorder="1" applyAlignment="1">
      <alignment horizontal="left" vertical="top" wrapText="1"/>
    </xf>
    <xf numFmtId="0" fontId="9" fillId="0" borderId="10" xfId="0" quotePrefix="1" applyFont="1" applyBorder="1" applyAlignment="1">
      <alignment horizontal="left" vertical="top" wrapText="1"/>
    </xf>
    <xf numFmtId="0" fontId="9" fillId="0" borderId="9" xfId="0" quotePrefix="1" applyFont="1" applyBorder="1" applyAlignment="1">
      <alignment horizontal="left" vertical="top" wrapText="1"/>
    </xf>
    <xf numFmtId="0" fontId="9" fillId="0" borderId="8" xfId="0" applyFont="1" applyBorder="1" applyAlignment="1">
      <alignment horizontal="left" vertical="top"/>
    </xf>
    <xf numFmtId="0" fontId="9" fillId="0" borderId="9" xfId="0" applyFont="1" applyBorder="1" applyAlignment="1">
      <alignment horizontal="left" vertical="top"/>
    </xf>
    <xf numFmtId="0" fontId="5" fillId="2" borderId="37"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38"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9" xfId="0" applyFont="1" applyFill="1" applyBorder="1" applyAlignment="1">
      <alignment horizontal="center" vertical="top" wrapText="1"/>
    </xf>
    <xf numFmtId="0" fontId="5" fillId="2" borderId="9" xfId="0" applyFont="1" applyFill="1" applyBorder="1" applyAlignment="1">
      <alignment horizontal="center" vertical="top"/>
    </xf>
    <xf numFmtId="0" fontId="6" fillId="0" borderId="33" xfId="0" applyFont="1" applyBorder="1" applyAlignment="1">
      <alignment horizontal="left" vertical="top"/>
    </xf>
    <xf numFmtId="0" fontId="6" fillId="0" borderId="8" xfId="0" quotePrefix="1" applyFont="1" applyBorder="1" applyAlignment="1">
      <alignment horizontal="left" vertical="top" wrapText="1"/>
    </xf>
    <xf numFmtId="0" fontId="6" fillId="0" borderId="9" xfId="0" applyFont="1" applyBorder="1" applyAlignment="1">
      <alignment horizontal="left" vertical="top"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0" fontId="5" fillId="15" borderId="27" xfId="0" applyFont="1" applyFill="1" applyBorder="1" applyAlignment="1">
      <alignment horizontal="center" vertical="top" wrapText="1"/>
    </xf>
    <xf numFmtId="0" fontId="5" fillId="2" borderId="49" xfId="0" applyFont="1" applyFill="1" applyBorder="1" applyAlignment="1">
      <alignment horizontal="center" vertical="top"/>
    </xf>
    <xf numFmtId="0" fontId="5" fillId="2" borderId="27" xfId="0" applyFont="1" applyFill="1" applyBorder="1" applyAlignment="1">
      <alignment horizontal="center" vertical="top"/>
    </xf>
    <xf numFmtId="0" fontId="5" fillId="2" borderId="39" xfId="0" applyFont="1" applyFill="1" applyBorder="1" applyAlignment="1">
      <alignment horizontal="center" vertical="top"/>
    </xf>
    <xf numFmtId="0" fontId="5" fillId="2" borderId="40" xfId="0" applyFont="1" applyFill="1" applyBorder="1" applyAlignment="1">
      <alignment horizontal="center" vertical="top"/>
    </xf>
    <xf numFmtId="9" fontId="6" fillId="0" borderId="3" xfId="0" applyNumberFormat="1" applyFont="1" applyBorder="1" applyAlignment="1">
      <alignment horizontal="center" vertical="top"/>
    </xf>
    <xf numFmtId="0" fontId="6" fillId="5" borderId="3" xfId="0" applyFont="1" applyFill="1" applyBorder="1" applyAlignment="1" applyProtection="1">
      <alignment horizontal="center" vertical="top"/>
      <protection locked="0"/>
    </xf>
    <xf numFmtId="0" fontId="5" fillId="15" borderId="3" xfId="0" applyFont="1" applyFill="1" applyBorder="1" applyAlignment="1">
      <alignment horizontal="center" vertical="top" wrapText="1"/>
    </xf>
    <xf numFmtId="0" fontId="5" fillId="2" borderId="8" xfId="0" applyFont="1" applyFill="1" applyBorder="1" applyAlignment="1">
      <alignment horizontal="center" vertical="top"/>
    </xf>
    <xf numFmtId="0" fontId="5" fillId="2" borderId="1"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46" xfId="0" applyFont="1" applyFill="1" applyBorder="1" applyAlignment="1">
      <alignment horizontal="center" vertical="top" wrapText="1"/>
    </xf>
    <xf numFmtId="10" fontId="6" fillId="5" borderId="4" xfId="0" applyNumberFormat="1" applyFont="1" applyFill="1" applyBorder="1" applyAlignment="1" applyProtection="1">
      <alignment horizontal="center" vertical="center"/>
      <protection locked="0"/>
    </xf>
    <xf numFmtId="10" fontId="6" fillId="5" borderId="7" xfId="0" applyNumberFormat="1" applyFont="1" applyFill="1" applyBorder="1" applyAlignment="1" applyProtection="1">
      <alignment horizontal="center" vertical="center"/>
      <protection locked="0"/>
    </xf>
    <xf numFmtId="0" fontId="5" fillId="15" borderId="3" xfId="0" applyFont="1" applyFill="1" applyBorder="1" applyAlignment="1">
      <alignment horizontal="center" vertical="top"/>
    </xf>
    <xf numFmtId="0" fontId="5" fillId="2" borderId="47" xfId="0" applyFont="1" applyFill="1" applyBorder="1" applyAlignment="1">
      <alignment horizontal="center" vertical="top"/>
    </xf>
    <xf numFmtId="0" fontId="5" fillId="2" borderId="48" xfId="0" applyFont="1" applyFill="1" applyBorder="1" applyAlignment="1">
      <alignment horizontal="center" vertical="top"/>
    </xf>
    <xf numFmtId="2" fontId="6" fillId="0" borderId="3" xfId="0" applyNumberFormat="1" applyFont="1" applyBorder="1" applyAlignment="1">
      <alignment horizontal="center" vertical="center"/>
    </xf>
    <xf numFmtId="10" fontId="6" fillId="5" borderId="3" xfId="0" applyNumberFormat="1" applyFont="1" applyFill="1" applyBorder="1" applyAlignment="1" applyProtection="1">
      <alignment horizontal="center" vertical="center"/>
      <protection locked="0"/>
    </xf>
    <xf numFmtId="2" fontId="6" fillId="0" borderId="3" xfId="0" applyNumberFormat="1" applyFont="1" applyBorder="1" applyAlignment="1">
      <alignment horizontal="center" vertical="center" wrapText="1"/>
    </xf>
    <xf numFmtId="2" fontId="6" fillId="18" borderId="8" xfId="0" applyNumberFormat="1" applyFont="1" applyFill="1" applyBorder="1" applyAlignment="1">
      <alignment horizontal="center" vertical="center"/>
    </xf>
    <xf numFmtId="2" fontId="6" fillId="18" borderId="9" xfId="0" applyNumberFormat="1" applyFont="1" applyFill="1" applyBorder="1" applyAlignment="1">
      <alignment horizontal="center" vertical="center"/>
    </xf>
    <xf numFmtId="2" fontId="6" fillId="0" borderId="27" xfId="0" applyNumberFormat="1" applyFont="1" applyBorder="1" applyAlignment="1">
      <alignment horizontal="center" vertical="center"/>
    </xf>
    <xf numFmtId="2" fontId="6" fillId="0" borderId="4" xfId="0" applyNumberFormat="1" applyFont="1" applyBorder="1" applyAlignment="1">
      <alignment horizontal="center" vertical="center"/>
    </xf>
    <xf numFmtId="2" fontId="6" fillId="0" borderId="7" xfId="0" applyNumberFormat="1" applyFont="1" applyBorder="1" applyAlignment="1">
      <alignment horizontal="center" vertical="center"/>
    </xf>
    <xf numFmtId="49" fontId="6" fillId="0" borderId="0" xfId="0" applyNumberFormat="1" applyFont="1" applyAlignment="1">
      <alignment horizontal="left" vertical="center" wrapText="1"/>
    </xf>
    <xf numFmtId="0" fontId="6" fillId="0" borderId="0" xfId="0" applyFont="1" applyAlignment="1">
      <alignment horizontal="center" vertical="top" wrapText="1"/>
    </xf>
    <xf numFmtId="10" fontId="6" fillId="0" borderId="3" xfId="0" applyNumberFormat="1" applyFont="1" applyBorder="1" applyAlignment="1">
      <alignment horizontal="center" vertical="top"/>
    </xf>
    <xf numFmtId="0" fontId="6" fillId="0" borderId="1" xfId="0" applyFont="1" applyBorder="1" applyAlignment="1">
      <alignment horizontal="left" vertical="top" wrapText="1"/>
    </xf>
    <xf numFmtId="0" fontId="6" fillId="0" borderId="2"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4" xfId="0" applyFont="1" applyBorder="1" applyAlignment="1">
      <alignment horizontal="center" vertical="center"/>
    </xf>
    <xf numFmtId="0" fontId="6" fillId="0" borderId="7" xfId="0" applyFont="1" applyBorder="1" applyAlignment="1">
      <alignment horizontal="center" vertical="center"/>
    </xf>
    <xf numFmtId="2" fontId="6" fillId="0" borderId="27" xfId="0" applyNumberFormat="1" applyFont="1" applyBorder="1" applyAlignment="1">
      <alignment horizontal="center" vertical="top"/>
    </xf>
    <xf numFmtId="0" fontId="6" fillId="0" borderId="8" xfId="0" quotePrefix="1" applyFont="1" applyBorder="1" applyAlignment="1">
      <alignment horizontal="left" vertical="top"/>
    </xf>
    <xf numFmtId="0" fontId="6" fillId="0" borderId="10" xfId="0" quotePrefix="1" applyFont="1" applyBorder="1" applyAlignment="1">
      <alignment horizontal="left" vertical="top"/>
    </xf>
    <xf numFmtId="0" fontId="6" fillId="0" borderId="9" xfId="0" quotePrefix="1" applyFont="1" applyBorder="1" applyAlignment="1">
      <alignment horizontal="left" vertical="top"/>
    </xf>
    <xf numFmtId="2" fontId="6" fillId="0" borderId="4" xfId="0" applyNumberFormat="1" applyFont="1" applyBorder="1" applyAlignment="1">
      <alignment horizontal="center" vertical="top"/>
    </xf>
    <xf numFmtId="2" fontId="6" fillId="0" borderId="7" xfId="0" applyNumberFormat="1" applyFont="1" applyBorder="1" applyAlignment="1">
      <alignment horizontal="center" vertical="top"/>
    </xf>
    <xf numFmtId="2" fontId="6" fillId="0" borderId="9" xfId="0" applyNumberFormat="1" applyFont="1" applyBorder="1" applyAlignment="1">
      <alignment horizontal="center" vertical="top"/>
    </xf>
    <xf numFmtId="0" fontId="9" fillId="18" borderId="8" xfId="0" applyFont="1" applyFill="1" applyBorder="1" applyAlignment="1">
      <alignment horizontal="left" vertical="top" wrapText="1"/>
    </xf>
    <xf numFmtId="0" fontId="9" fillId="18" borderId="9" xfId="0" applyFont="1" applyFill="1" applyBorder="1" applyAlignment="1">
      <alignment horizontal="left" vertical="top" wrapText="1"/>
    </xf>
    <xf numFmtId="0" fontId="6" fillId="0" borderId="3" xfId="0" quotePrefix="1" applyFont="1" applyBorder="1" applyAlignment="1">
      <alignment horizontal="left" vertical="top" wrapText="1"/>
    </xf>
    <xf numFmtId="0" fontId="9" fillId="0" borderId="10" xfId="0" applyFont="1" applyBorder="1" applyAlignment="1">
      <alignment horizontal="left" vertical="top"/>
    </xf>
    <xf numFmtId="0" fontId="6" fillId="18" borderId="7" xfId="0" quotePrefix="1" applyFont="1" applyFill="1" applyBorder="1" applyAlignment="1">
      <alignment horizontal="left" vertical="top" wrapText="1"/>
    </xf>
    <xf numFmtId="0" fontId="6" fillId="0" borderId="2"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2" fontId="6" fillId="18" borderId="39" xfId="0" applyNumberFormat="1" applyFont="1" applyFill="1" applyBorder="1" applyAlignment="1">
      <alignment horizontal="center" vertical="center"/>
    </xf>
    <xf numFmtId="2" fontId="6" fillId="18" borderId="40" xfId="0" applyNumberFormat="1" applyFont="1" applyFill="1" applyBorder="1" applyAlignment="1">
      <alignment horizontal="center" vertical="center"/>
    </xf>
    <xf numFmtId="165" fontId="6" fillId="5" borderId="4" xfId="0" applyNumberFormat="1" applyFont="1" applyFill="1" applyBorder="1" applyAlignment="1" applyProtection="1">
      <alignment horizontal="center" vertical="center"/>
      <protection locked="0"/>
    </xf>
    <xf numFmtId="165" fontId="6" fillId="5" borderId="7" xfId="0" applyNumberFormat="1" applyFont="1" applyFill="1" applyBorder="1" applyAlignment="1" applyProtection="1">
      <alignment horizontal="center" vertical="center"/>
      <protection locked="0"/>
    </xf>
    <xf numFmtId="166" fontId="6" fillId="5" borderId="4" xfId="0" applyNumberFormat="1" applyFont="1" applyFill="1" applyBorder="1" applyAlignment="1" applyProtection="1">
      <alignment horizontal="center" vertical="center"/>
      <protection locked="0"/>
    </xf>
    <xf numFmtId="166" fontId="6" fillId="5" borderId="30" xfId="0" applyNumberFormat="1" applyFont="1" applyFill="1" applyBorder="1" applyAlignment="1" applyProtection="1">
      <alignment horizontal="center" vertical="center"/>
      <protection locked="0"/>
    </xf>
    <xf numFmtId="166" fontId="6" fillId="5" borderId="7" xfId="0" applyNumberFormat="1" applyFont="1" applyFill="1" applyBorder="1" applyAlignment="1" applyProtection="1">
      <alignment horizontal="center" vertical="center"/>
      <protection locked="0"/>
    </xf>
    <xf numFmtId="2" fontId="6" fillId="0" borderId="39" xfId="0" applyNumberFormat="1" applyFont="1" applyBorder="1" applyAlignment="1">
      <alignment horizontal="center" vertical="center"/>
    </xf>
    <xf numFmtId="2" fontId="6" fillId="0" borderId="41" xfId="0" applyNumberFormat="1" applyFont="1" applyBorder="1" applyAlignment="1">
      <alignment horizontal="center" vertical="center"/>
    </xf>
    <xf numFmtId="2" fontId="6" fillId="0" borderId="40" xfId="0" applyNumberFormat="1" applyFont="1" applyBorder="1" applyAlignment="1">
      <alignment horizontal="center" vertical="center"/>
    </xf>
    <xf numFmtId="0" fontId="5" fillId="14" borderId="51" xfId="0" applyFont="1" applyFill="1" applyBorder="1" applyAlignment="1">
      <alignment horizontal="center" vertical="top" wrapText="1"/>
    </xf>
    <xf numFmtId="0" fontId="5" fillId="14" borderId="5" xfId="0" applyFont="1" applyFill="1" applyBorder="1" applyAlignment="1">
      <alignment horizontal="center" vertical="top" wrapText="1"/>
    </xf>
    <xf numFmtId="0" fontId="5" fillId="14" borderId="52" xfId="0" applyFont="1" applyFill="1" applyBorder="1" applyAlignment="1">
      <alignment horizontal="center" vertical="top"/>
    </xf>
    <xf numFmtId="0" fontId="5" fillId="14" borderId="40" xfId="0" applyFont="1" applyFill="1" applyBorder="1" applyAlignment="1">
      <alignment horizontal="center" vertical="top"/>
    </xf>
    <xf numFmtId="0" fontId="5" fillId="14" borderId="47" xfId="0" applyFont="1" applyFill="1" applyBorder="1" applyAlignment="1">
      <alignment horizontal="center" vertical="top"/>
    </xf>
    <xf numFmtId="0" fontId="5" fillId="14" borderId="48" xfId="0" applyFont="1" applyFill="1" applyBorder="1" applyAlignment="1">
      <alignment horizontal="center" vertical="top"/>
    </xf>
    <xf numFmtId="0" fontId="5" fillId="14" borderId="19" xfId="0" applyFont="1" applyFill="1" applyBorder="1" applyAlignment="1">
      <alignment horizontal="left" vertical="top"/>
    </xf>
    <xf numFmtId="0" fontId="5" fillId="14" borderId="20" xfId="0" applyFont="1" applyFill="1" applyBorder="1" applyAlignment="1">
      <alignment horizontal="left" vertical="top"/>
    </xf>
    <xf numFmtId="0" fontId="5" fillId="14" borderId="38" xfId="0" applyFont="1" applyFill="1" applyBorder="1" applyAlignment="1">
      <alignment horizontal="left" vertical="top"/>
    </xf>
    <xf numFmtId="0" fontId="5" fillId="14" borderId="14" xfId="0" applyFont="1" applyFill="1" applyBorder="1" applyAlignment="1">
      <alignment horizontal="left" vertical="top"/>
    </xf>
    <xf numFmtId="2" fontId="9" fillId="0" borderId="30" xfId="0" applyNumberFormat="1" applyFont="1" applyBorder="1" applyAlignment="1">
      <alignment horizontal="center" vertical="center"/>
    </xf>
    <xf numFmtId="2" fontId="9" fillId="0" borderId="7" xfId="0" applyNumberFormat="1" applyFont="1" applyBorder="1" applyAlignment="1">
      <alignment horizontal="center" vertical="center"/>
    </xf>
    <xf numFmtId="0" fontId="6" fillId="18" borderId="8" xfId="0" applyFont="1" applyFill="1" applyBorder="1" applyAlignment="1">
      <alignment horizontal="left" vertical="top" wrapText="1"/>
    </xf>
    <xf numFmtId="0" fontId="6" fillId="18" borderId="10" xfId="0" applyFont="1" applyFill="1" applyBorder="1" applyAlignment="1">
      <alignment horizontal="left" vertical="top" wrapText="1"/>
    </xf>
    <xf numFmtId="0" fontId="6" fillId="18" borderId="9" xfId="0" applyFont="1" applyFill="1" applyBorder="1" applyAlignment="1">
      <alignment horizontal="left" vertical="top" wrapText="1"/>
    </xf>
    <xf numFmtId="0" fontId="11" fillId="19" borderId="37" xfId="0" applyFont="1" applyFill="1" applyBorder="1" applyAlignment="1">
      <alignment horizontal="left" vertical="top"/>
    </xf>
    <xf numFmtId="0" fontId="11" fillId="19" borderId="11" xfId="0" applyFont="1" applyFill="1" applyBorder="1" applyAlignment="1">
      <alignment horizontal="left" vertical="top"/>
    </xf>
    <xf numFmtId="0" fontId="11" fillId="19" borderId="38" xfId="0" applyFont="1" applyFill="1" applyBorder="1" applyAlignment="1">
      <alignment horizontal="left" vertical="top"/>
    </xf>
    <xf numFmtId="0" fontId="11" fillId="19" borderId="14" xfId="0" applyFont="1" applyFill="1" applyBorder="1" applyAlignment="1">
      <alignment horizontal="left" vertical="top"/>
    </xf>
    <xf numFmtId="165" fontId="9" fillId="0" borderId="31" xfId="0" applyNumberFormat="1" applyFont="1" applyBorder="1" applyAlignment="1">
      <alignment horizontal="left" vertical="top" wrapText="1"/>
    </xf>
    <xf numFmtId="165" fontId="9" fillId="0" borderId="33" xfId="0" applyNumberFormat="1" applyFont="1" applyBorder="1" applyAlignment="1">
      <alignment horizontal="left" vertical="top" wrapText="1"/>
    </xf>
    <xf numFmtId="0" fontId="9" fillId="0" borderId="1" xfId="0" applyFont="1" applyBorder="1" applyAlignment="1">
      <alignment horizontal="left" vertical="top" wrapText="1"/>
    </xf>
    <xf numFmtId="0" fontId="9" fillId="0" borderId="11" xfId="0" applyFont="1" applyBorder="1" applyAlignment="1">
      <alignment horizontal="left" vertical="top" wrapText="1"/>
    </xf>
    <xf numFmtId="0" fontId="9" fillId="0" borderId="2" xfId="0" applyFont="1" applyBorder="1" applyAlignment="1">
      <alignment horizontal="left" vertical="top" wrapText="1"/>
    </xf>
    <xf numFmtId="0" fontId="9" fillId="0" borderId="5" xfId="0" applyFont="1" applyBorder="1" applyAlignment="1">
      <alignment horizontal="left" vertical="top" wrapText="1"/>
    </xf>
    <xf numFmtId="0" fontId="9" fillId="0" borderId="14" xfId="0" applyFont="1" applyBorder="1" applyAlignment="1">
      <alignment horizontal="left" vertical="top" wrapText="1"/>
    </xf>
    <xf numFmtId="0" fontId="9" fillId="0" borderId="6" xfId="0" applyFont="1" applyBorder="1" applyAlignment="1">
      <alignment horizontal="left" vertical="top" wrapText="1"/>
    </xf>
    <xf numFmtId="0" fontId="9" fillId="18" borderId="8" xfId="0" quotePrefix="1" applyFont="1" applyFill="1" applyBorder="1" applyAlignment="1">
      <alignment horizontal="left" vertical="top" wrapText="1"/>
    </xf>
    <xf numFmtId="0" fontId="9" fillId="18" borderId="10" xfId="0" quotePrefix="1" applyFont="1" applyFill="1" applyBorder="1" applyAlignment="1">
      <alignment horizontal="left" vertical="top" wrapText="1"/>
    </xf>
    <xf numFmtId="0" fontId="9" fillId="18" borderId="9" xfId="0" quotePrefix="1" applyFont="1" applyFill="1" applyBorder="1" applyAlignment="1">
      <alignment horizontal="left" vertical="top" wrapText="1"/>
    </xf>
    <xf numFmtId="0" fontId="5" fillId="14" borderId="50" xfId="0" applyFont="1" applyFill="1" applyBorder="1" applyAlignment="1">
      <alignment horizontal="center" vertical="top"/>
    </xf>
    <xf numFmtId="0" fontId="5" fillId="14" borderId="7" xfId="0" applyFont="1" applyFill="1" applyBorder="1" applyAlignment="1">
      <alignment horizontal="center" vertical="top"/>
    </xf>
    <xf numFmtId="165" fontId="6" fillId="0" borderId="31" xfId="0" applyNumberFormat="1" applyFont="1" applyBorder="1" applyAlignment="1">
      <alignment horizontal="left" vertical="top" wrapText="1"/>
    </xf>
    <xf numFmtId="165" fontId="6" fillId="0" borderId="33" xfId="0" applyNumberFormat="1" applyFont="1" applyBorder="1" applyAlignment="1">
      <alignment horizontal="left" vertical="top" wrapText="1"/>
    </xf>
    <xf numFmtId="0" fontId="5" fillId="15" borderId="2" xfId="0" applyFont="1" applyFill="1" applyBorder="1" applyAlignment="1">
      <alignment horizontal="center" vertical="top"/>
    </xf>
    <xf numFmtId="0" fontId="5" fillId="15" borderId="6" xfId="0" applyFont="1" applyFill="1" applyBorder="1" applyAlignment="1">
      <alignment horizontal="center" vertical="top"/>
    </xf>
    <xf numFmtId="0" fontId="11" fillId="19" borderId="3" xfId="0" applyFont="1" applyFill="1" applyBorder="1" applyAlignment="1">
      <alignment horizontal="center" vertical="top" wrapText="1"/>
    </xf>
    <xf numFmtId="0" fontId="11" fillId="19" borderId="1" xfId="0" applyFont="1" applyFill="1" applyBorder="1" applyAlignment="1">
      <alignment horizontal="center" vertical="top"/>
    </xf>
    <xf numFmtId="0" fontId="11" fillId="19" borderId="5" xfId="0" applyFont="1" applyFill="1" applyBorder="1" applyAlignment="1">
      <alignment horizontal="center" vertical="top"/>
    </xf>
    <xf numFmtId="0" fontId="9" fillId="0" borderId="10" xfId="0" applyFont="1" applyBorder="1" applyAlignment="1">
      <alignment horizontal="left" vertical="top" wrapText="1"/>
    </xf>
    <xf numFmtId="0" fontId="6" fillId="0" borderId="3" xfId="0" applyFont="1" applyBorder="1" applyAlignment="1">
      <alignment horizontal="left" vertical="top"/>
    </xf>
    <xf numFmtId="0" fontId="9" fillId="0" borderId="3" xfId="0" quotePrefix="1" applyFont="1" applyBorder="1" applyAlignment="1">
      <alignment horizontal="left" vertical="top" wrapText="1"/>
    </xf>
    <xf numFmtId="0" fontId="9" fillId="18" borderId="10" xfId="0" applyFont="1" applyFill="1" applyBorder="1" applyAlignment="1">
      <alignment horizontal="left" vertical="top" wrapText="1"/>
    </xf>
    <xf numFmtId="0" fontId="5" fillId="2" borderId="2" xfId="0" applyFont="1" applyFill="1" applyBorder="1" applyAlignment="1">
      <alignment horizontal="center" vertical="top"/>
    </xf>
    <xf numFmtId="0" fontId="5" fillId="2" borderId="6" xfId="0" applyFont="1" applyFill="1" applyBorder="1" applyAlignment="1">
      <alignment horizontal="center" vertical="top"/>
    </xf>
    <xf numFmtId="0" fontId="5" fillId="15" borderId="37" xfId="0" applyFont="1" applyFill="1" applyBorder="1" applyAlignment="1">
      <alignment horizontal="left" vertical="top"/>
    </xf>
    <xf numFmtId="0" fontId="5" fillId="15" borderId="11" xfId="0" applyFont="1" applyFill="1" applyBorder="1" applyAlignment="1">
      <alignment horizontal="left" vertical="top"/>
    </xf>
    <xf numFmtId="0" fontId="5" fillId="2" borderId="19"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45" xfId="0" applyFont="1" applyFill="1" applyBorder="1" applyAlignment="1">
      <alignment horizontal="center" vertical="top"/>
    </xf>
    <xf numFmtId="0" fontId="8" fillId="5" borderId="3" xfId="0" applyFont="1" applyFill="1" applyBorder="1" applyAlignment="1" applyProtection="1">
      <alignment horizontal="left" vertical="top" wrapText="1"/>
      <protection locked="0"/>
    </xf>
    <xf numFmtId="0" fontId="6" fillId="18" borderId="5" xfId="0" applyFont="1" applyFill="1" applyBorder="1" applyAlignment="1">
      <alignment horizontal="left" vertical="top" wrapText="1"/>
    </xf>
    <xf numFmtId="0" fontId="6" fillId="18" borderId="6" xfId="0" applyFont="1" applyFill="1" applyBorder="1" applyAlignment="1">
      <alignment horizontal="left" vertical="top" wrapText="1"/>
    </xf>
    <xf numFmtId="0" fontId="6" fillId="18" borderId="8" xfId="0" applyFont="1" applyFill="1" applyBorder="1" applyAlignment="1">
      <alignment horizontal="left" vertical="top"/>
    </xf>
    <xf numFmtId="0" fontId="6" fillId="18" borderId="10" xfId="0" applyFont="1" applyFill="1" applyBorder="1" applyAlignment="1">
      <alignment horizontal="left" vertical="top"/>
    </xf>
    <xf numFmtId="0" fontId="6" fillId="18" borderId="9" xfId="0" applyFont="1" applyFill="1" applyBorder="1" applyAlignment="1">
      <alignment horizontal="left" vertical="top"/>
    </xf>
    <xf numFmtId="0" fontId="8" fillId="5" borderId="8" xfId="0" applyFont="1" applyFill="1" applyBorder="1" applyAlignment="1" applyProtection="1">
      <alignment horizontal="left" vertical="top" wrapText="1"/>
      <protection locked="0"/>
    </xf>
    <xf numFmtId="0" fontId="8" fillId="5" borderId="10" xfId="0" applyFont="1" applyFill="1" applyBorder="1" applyAlignment="1" applyProtection="1">
      <alignment horizontal="left" vertical="top" wrapText="1"/>
      <protection locked="0"/>
    </xf>
    <xf numFmtId="0" fontId="8" fillId="5" borderId="9" xfId="0" applyFont="1" applyFill="1" applyBorder="1" applyAlignment="1" applyProtection="1">
      <alignment horizontal="left" vertical="top" wrapText="1"/>
      <protection locked="0"/>
    </xf>
    <xf numFmtId="0" fontId="5" fillId="15" borderId="38" xfId="0" applyFont="1" applyFill="1" applyBorder="1" applyAlignment="1">
      <alignment horizontal="left" vertical="top"/>
    </xf>
    <xf numFmtId="0" fontId="5" fillId="15" borderId="14" xfId="0" applyFont="1" applyFill="1" applyBorder="1" applyAlignment="1">
      <alignment horizontal="left" vertical="top"/>
    </xf>
    <xf numFmtId="0" fontId="5" fillId="17" borderId="28" xfId="0" applyFont="1" applyFill="1" applyBorder="1" applyAlignment="1">
      <alignment horizontal="left" vertical="top"/>
    </xf>
    <xf numFmtId="0" fontId="5" fillId="17" borderId="10" xfId="0" applyFont="1" applyFill="1" applyBorder="1" applyAlignment="1">
      <alignment horizontal="left" vertical="top"/>
    </xf>
    <xf numFmtId="0" fontId="5" fillId="2" borderId="46" xfId="0" applyFont="1" applyFill="1" applyBorder="1" applyAlignment="1">
      <alignment horizontal="center" vertical="top"/>
    </xf>
    <xf numFmtId="0" fontId="5" fillId="2" borderId="3" xfId="0" applyFont="1" applyFill="1" applyBorder="1" applyAlignment="1">
      <alignment horizontal="center" vertical="top"/>
    </xf>
    <xf numFmtId="0" fontId="6" fillId="18" borderId="0" xfId="0" applyFont="1" applyFill="1" applyAlignment="1">
      <alignment horizontal="center" vertical="center" wrapText="1"/>
    </xf>
    <xf numFmtId="2" fontId="6" fillId="5" borderId="3" xfId="0" applyNumberFormat="1" applyFont="1" applyFill="1" applyBorder="1" applyAlignment="1" applyProtection="1">
      <alignment horizontal="center" vertical="center"/>
      <protection locked="0"/>
    </xf>
    <xf numFmtId="10" fontId="6" fillId="0" borderId="3" xfId="0" applyNumberFormat="1" applyFont="1" applyBorder="1" applyAlignment="1">
      <alignment horizontal="center" vertical="center"/>
    </xf>
    <xf numFmtId="0" fontId="9" fillId="0" borderId="5" xfId="0" quotePrefix="1" applyFont="1" applyBorder="1" applyAlignment="1">
      <alignment horizontal="left" vertical="top" wrapText="1"/>
    </xf>
    <xf numFmtId="0" fontId="9" fillId="0" borderId="14" xfId="0" quotePrefix="1" applyFont="1" applyBorder="1" applyAlignment="1">
      <alignment horizontal="left" vertical="top" wrapText="1"/>
    </xf>
    <xf numFmtId="0" fontId="9" fillId="0" borderId="6" xfId="0" quotePrefix="1" applyFont="1" applyBorder="1" applyAlignment="1">
      <alignment horizontal="left" vertical="top" wrapText="1"/>
    </xf>
    <xf numFmtId="0" fontId="6" fillId="0" borderId="4" xfId="0" applyFont="1" applyBorder="1" applyAlignment="1">
      <alignment horizontal="left" vertical="top" wrapText="1"/>
    </xf>
    <xf numFmtId="0" fontId="6" fillId="0" borderId="7" xfId="0" quotePrefix="1" applyFont="1" applyBorder="1" applyAlignment="1">
      <alignment horizontal="left" vertical="top" wrapText="1"/>
    </xf>
  </cellXfs>
  <cellStyles count="2">
    <cellStyle name="Normal" xfId="0" builtinId="0"/>
    <cellStyle name="Normal_Simplified BDAS for QP (Internal-Std) 7-3-03" xfId="1" xr:uid="{00000000-0005-0000-0000-000001000000}"/>
  </cellStyles>
  <dxfs count="12">
    <dxf>
      <fill>
        <patternFill>
          <bgColor rgb="FFFF7C80"/>
        </patternFill>
      </fill>
    </dxf>
    <dxf>
      <fill>
        <patternFill>
          <bgColor rgb="FFFF7C80"/>
        </patternFill>
      </fill>
    </dxf>
    <dxf>
      <font>
        <b val="0"/>
        <i val="0"/>
        <strike val="0"/>
        <condense val="0"/>
        <extend val="0"/>
        <outline val="0"/>
        <shadow val="0"/>
        <u val="none"/>
        <vertAlign val="baseline"/>
        <sz val="14"/>
        <color auto="1"/>
        <name val="Arial"/>
        <family val="2"/>
        <scheme val="none"/>
      </font>
      <numFmt numFmtId="13" formatCode="0%"/>
      <fill>
        <patternFill patternType="none">
          <fgColor indexed="64"/>
          <bgColor auto="1"/>
        </patternFill>
      </fill>
      <alignment horizontal="center" vertical="center" textRotation="0" wrapText="0" indent="0" justifyLastLine="0" shrinkToFit="0" readingOrder="1"/>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auto="1"/>
        <name val="Arial"/>
        <family val="2"/>
        <scheme val="none"/>
      </font>
      <numFmt numFmtId="13" formatCode="0%"/>
      <fill>
        <patternFill patternType="none">
          <fgColor indexed="64"/>
          <bgColor auto="1"/>
        </patternFill>
      </fill>
      <alignment horizontal="center" vertical="center" textRotation="0" wrapText="0"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none"/>
      </font>
      <numFmt numFmtId="13" formatCode="0%"/>
      <fill>
        <patternFill patternType="none">
          <fgColor indexed="64"/>
          <bgColor auto="1"/>
        </patternFill>
      </fill>
      <alignment horizontal="center" vertical="center" textRotation="0" wrapText="0"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none"/>
      </font>
      <numFmt numFmtId="13" formatCode="0%"/>
      <fill>
        <patternFill patternType="none">
          <fgColor indexed="64"/>
          <bgColor auto="1"/>
        </patternFill>
      </fill>
      <alignment horizontal="center" vertical="center" textRotation="0" wrapText="0"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none"/>
      </font>
      <fill>
        <patternFill patternType="none">
          <fgColor indexed="64"/>
          <bgColor auto="1"/>
        </patternFill>
      </fill>
      <alignment horizontal="left" vertical="center" textRotation="0" wrapText="1" indent="0" justifyLastLine="0" shrinkToFit="0" readingOrder="1"/>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none"/>
      </font>
      <fill>
        <patternFill patternType="none">
          <fgColor indexed="64"/>
          <bgColor auto="1"/>
        </patternFill>
      </fill>
      <alignment horizontal="center" vertical="center" textRotation="0" wrapText="0" indent="0" justifyLastLine="0" shrinkToFit="0" readingOrder="1"/>
    </dxf>
    <dxf>
      <border>
        <bottom style="thin">
          <color indexed="64"/>
        </bottom>
      </border>
    </dxf>
    <dxf>
      <font>
        <b/>
        <i val="0"/>
        <strike val="0"/>
        <condense val="0"/>
        <extend val="0"/>
        <outline val="0"/>
        <shadow val="0"/>
        <u val="none"/>
        <vertAlign val="baseline"/>
        <sz val="14"/>
        <color auto="1"/>
        <name val="Arial"/>
        <family val="2"/>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bottom/>
      </border>
    </dxf>
  </dxfs>
  <tableStyles count="0" defaultTableStyle="TableStyleMedium2" defaultPivotStyle="PivotStyleLight16"/>
  <colors>
    <mruColors>
      <color rgb="FFFF7C80"/>
      <color rgb="FFFD877B"/>
      <color rgb="FFFCBAD6"/>
      <color rgb="FFCCFFFF"/>
      <color rgb="FFF963A3"/>
      <color rgb="FFFF8047"/>
      <color rgb="FFF7257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77</xdr:row>
      <xdr:rowOff>28575</xdr:rowOff>
    </xdr:from>
    <xdr:to>
      <xdr:col>2</xdr:col>
      <xdr:colOff>2390775</xdr:colOff>
      <xdr:row>80</xdr:row>
      <xdr:rowOff>0</xdr:rowOff>
    </xdr:to>
    <xdr:cxnSp macro="">
      <xdr:nvCxnSpPr>
        <xdr:cNvPr id="2" name="Straight Connector 1">
          <a:extLst>
            <a:ext uri="{FF2B5EF4-FFF2-40B4-BE49-F238E27FC236}">
              <a16:creationId xmlns:a16="http://schemas.microsoft.com/office/drawing/2014/main" id="{9BFD3761-3A2D-4252-9E8E-7BD11BAB5445}"/>
            </a:ext>
          </a:extLst>
        </xdr:cNvPr>
        <xdr:cNvCxnSpPr/>
      </xdr:nvCxnSpPr>
      <xdr:spPr bwMode="auto">
        <a:xfrm>
          <a:off x="352425" y="16087725"/>
          <a:ext cx="2990850" cy="6477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3055285</xdr:colOff>
      <xdr:row>64</xdr:row>
      <xdr:rowOff>72838</xdr:rowOff>
    </xdr:from>
    <xdr:to>
      <xdr:col>3</xdr:col>
      <xdr:colOff>959785</xdr:colOff>
      <xdr:row>65</xdr:row>
      <xdr:rowOff>63313</xdr:rowOff>
    </xdr:to>
    <xdr:sp macro="" textlink="">
      <xdr:nvSpPr>
        <xdr:cNvPr id="3" name="TextBox 2">
          <a:extLst>
            <a:ext uri="{FF2B5EF4-FFF2-40B4-BE49-F238E27FC236}">
              <a16:creationId xmlns:a16="http://schemas.microsoft.com/office/drawing/2014/main" id="{9B0782C5-2994-43AA-954E-E6333AD43B69}"/>
            </a:ext>
          </a:extLst>
        </xdr:cNvPr>
        <xdr:cNvSpPr txBox="1"/>
      </xdr:nvSpPr>
      <xdr:spPr>
        <a:xfrm>
          <a:off x="4007785" y="13512613"/>
          <a:ext cx="1495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anose="020B0604020202020204" pitchFamily="34" charset="0"/>
              <a:cs typeface="Arial" panose="020B0604020202020204" pitchFamily="34" charset="0"/>
            </a:rPr>
            <a:t>%</a:t>
          </a:r>
        </a:p>
      </xdr:txBody>
    </xdr:sp>
    <xdr:clientData/>
  </xdr:twoCellAnchor>
  <xdr:twoCellAnchor>
    <xdr:from>
      <xdr:col>2</xdr:col>
      <xdr:colOff>2166938</xdr:colOff>
      <xdr:row>78</xdr:row>
      <xdr:rowOff>52386</xdr:rowOff>
    </xdr:from>
    <xdr:to>
      <xdr:col>3</xdr:col>
      <xdr:colOff>1090612</xdr:colOff>
      <xdr:row>79</xdr:row>
      <xdr:rowOff>197642</xdr:rowOff>
    </xdr:to>
    <xdr:sp macro="" textlink="">
      <xdr:nvSpPr>
        <xdr:cNvPr id="4" name="TextBox 3">
          <a:extLst>
            <a:ext uri="{FF2B5EF4-FFF2-40B4-BE49-F238E27FC236}">
              <a16:creationId xmlns:a16="http://schemas.microsoft.com/office/drawing/2014/main" id="{C6A48595-CA43-4985-B3E7-22BD8E933B97}"/>
            </a:ext>
          </a:extLst>
        </xdr:cNvPr>
        <xdr:cNvSpPr txBox="1"/>
      </xdr:nvSpPr>
      <xdr:spPr>
        <a:xfrm>
          <a:off x="3119438" y="16387761"/>
          <a:ext cx="2514599"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Arial" panose="020B0604020202020204" pitchFamily="34" charset="0"/>
              <a:cs typeface="Arial" panose="020B0604020202020204" pitchFamily="34" charset="0"/>
            </a:rPr>
            <a:t>% of Offset floors</a:t>
          </a:r>
          <a:endParaRPr lang="en-GB" sz="1200" b="1">
            <a:latin typeface="Arial" panose="020B0604020202020204" pitchFamily="34" charset="0"/>
            <a:cs typeface="Arial" panose="020B0604020202020204" pitchFamily="34" charset="0"/>
          </a:endParaRPr>
        </a:p>
      </xdr:txBody>
    </xdr:sp>
    <xdr:clientData/>
  </xdr:twoCellAnchor>
  <xdr:twoCellAnchor>
    <xdr:from>
      <xdr:col>2</xdr:col>
      <xdr:colOff>885824</xdr:colOff>
      <xdr:row>77</xdr:row>
      <xdr:rowOff>142875</xdr:rowOff>
    </xdr:from>
    <xdr:to>
      <xdr:col>2</xdr:col>
      <xdr:colOff>1495425</xdr:colOff>
      <xdr:row>79</xdr:row>
      <xdr:rowOff>9525</xdr:rowOff>
    </xdr:to>
    <xdr:sp macro="" textlink="">
      <xdr:nvSpPr>
        <xdr:cNvPr id="5" name="TextBox 4">
          <a:extLst>
            <a:ext uri="{FF2B5EF4-FFF2-40B4-BE49-F238E27FC236}">
              <a16:creationId xmlns:a16="http://schemas.microsoft.com/office/drawing/2014/main" id="{465D1D73-3348-4D08-BF3E-9D0D9CDADE33}"/>
            </a:ext>
          </a:extLst>
        </xdr:cNvPr>
        <xdr:cNvSpPr txBox="1"/>
      </xdr:nvSpPr>
      <xdr:spPr>
        <a:xfrm>
          <a:off x="1838324" y="16202025"/>
          <a:ext cx="609601"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Arial" panose="020B0604020202020204" pitchFamily="34" charset="0"/>
              <a:cs typeface="Arial" panose="020B0604020202020204" pitchFamily="34" charset="0"/>
            </a:rPr>
            <a:t>OR*</a:t>
          </a:r>
          <a:endParaRPr lang="en-GB" sz="1200" b="1">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anpower" displayName="Manpower" ref="A2:E12" totalsRowShown="0" headerRowDxfId="11" dataDxfId="9" headerRowBorderDxfId="10" tableBorderDxfId="8" totalsRowBorderDxfId="7">
  <tableColumns count="5">
    <tableColumn id="1" xr3:uid="{00000000-0010-0000-0000-000001000000}" name="Column1" dataDxfId="6"/>
    <tableColumn id="2" xr3:uid="{00000000-0010-0000-0000-000002000000}" name="Streamline Manpower" dataDxfId="5"/>
    <tableColumn id="3" xr3:uid="{00000000-0010-0000-0000-000003000000}" name="Column2" dataDxfId="4"/>
    <tableColumn id="4" xr3:uid="{00000000-0010-0000-0000-000004000000}" name="Column3" dataDxfId="3"/>
    <tableColumn id="5" xr3:uid="{00000000-0010-0000-0000-000005000000}" name="Column4"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H13"/>
  <sheetViews>
    <sheetView zoomScale="70" zoomScaleNormal="70" zoomScaleSheetLayoutView="100" workbookViewId="0">
      <selection activeCell="M52" sqref="M52"/>
    </sheetView>
  </sheetViews>
  <sheetFormatPr defaultColWidth="9.109375" defaultRowHeight="17.399999999999999"/>
  <cols>
    <col min="1" max="1" width="40.109375" style="499" customWidth="1"/>
    <col min="2" max="2" width="32" style="499" customWidth="1"/>
    <col min="3" max="3" width="14.6640625" style="499" customWidth="1"/>
    <col min="4" max="4" width="20.6640625" style="499" customWidth="1"/>
    <col min="5" max="5" width="21.109375" style="499" customWidth="1"/>
    <col min="6" max="6" width="10.6640625" style="499" customWidth="1"/>
    <col min="7" max="7" width="20.6640625" style="499" customWidth="1"/>
    <col min="8" max="8" width="32.33203125" style="499" customWidth="1"/>
    <col min="9" max="9" width="20.6640625" style="499" customWidth="1"/>
    <col min="10" max="10" width="10.6640625" style="499" customWidth="1"/>
    <col min="11" max="12" width="20.6640625" style="499" customWidth="1"/>
    <col min="13" max="13" width="10.6640625" style="499" customWidth="1"/>
    <col min="14" max="16384" width="9.109375" style="499"/>
  </cols>
  <sheetData>
    <row r="2" spans="1:8">
      <c r="A2" s="505" t="s">
        <v>46</v>
      </c>
      <c r="B2" s="506" t="s">
        <v>23</v>
      </c>
      <c r="C2" s="506" t="s">
        <v>47</v>
      </c>
      <c r="D2" s="506" t="s">
        <v>48</v>
      </c>
      <c r="E2" s="507" t="s">
        <v>49</v>
      </c>
    </row>
    <row r="3" spans="1:8">
      <c r="A3" s="508"/>
      <c r="B3" s="503"/>
      <c r="C3" s="503"/>
      <c r="D3" s="503"/>
      <c r="E3" s="509" t="s">
        <v>12</v>
      </c>
    </row>
    <row r="4" spans="1:8">
      <c r="A4" s="508" t="s">
        <v>8</v>
      </c>
      <c r="B4" s="510" t="s">
        <v>9</v>
      </c>
      <c r="C4" s="510" t="s">
        <v>10</v>
      </c>
      <c r="D4" s="510" t="s">
        <v>11</v>
      </c>
      <c r="E4" s="509" t="s">
        <v>13</v>
      </c>
      <c r="H4" s="500"/>
    </row>
    <row r="5" spans="1:8">
      <c r="A5" s="501" t="s">
        <v>14</v>
      </c>
      <c r="B5" s="503">
        <v>0.35</v>
      </c>
      <c r="C5" s="503">
        <v>0.45</v>
      </c>
      <c r="D5" s="503">
        <v>0.2</v>
      </c>
      <c r="E5" s="511"/>
      <c r="H5" s="500"/>
    </row>
    <row r="6" spans="1:8" ht="23.25" customHeight="1">
      <c r="A6" s="501" t="s">
        <v>45</v>
      </c>
      <c r="B6" s="503">
        <v>0.35</v>
      </c>
      <c r="C6" s="503">
        <v>0.45</v>
      </c>
      <c r="D6" s="503">
        <v>0.2</v>
      </c>
      <c r="E6" s="511"/>
      <c r="H6" s="500"/>
    </row>
    <row r="7" spans="1:8" ht="24" customHeight="1">
      <c r="A7" s="501" t="s">
        <v>428</v>
      </c>
      <c r="B7" s="503">
        <v>0.45</v>
      </c>
      <c r="C7" s="503">
        <v>0.4</v>
      </c>
      <c r="D7" s="503">
        <v>0.15</v>
      </c>
      <c r="E7" s="512"/>
      <c r="H7" s="500"/>
    </row>
    <row r="8" spans="1:8">
      <c r="A8" s="501" t="s">
        <v>15</v>
      </c>
      <c r="B8" s="503">
        <v>0.5</v>
      </c>
      <c r="C8" s="503">
        <v>0.25</v>
      </c>
      <c r="D8" s="503">
        <v>0.25</v>
      </c>
      <c r="E8" s="512"/>
      <c r="H8" s="500"/>
    </row>
    <row r="9" spans="1:8">
      <c r="A9" s="501" t="s">
        <v>16</v>
      </c>
      <c r="B9" s="503">
        <v>0.35</v>
      </c>
      <c r="C9" s="503">
        <v>0.3</v>
      </c>
      <c r="D9" s="503">
        <v>0.35</v>
      </c>
      <c r="E9" s="512"/>
      <c r="H9" s="502"/>
    </row>
    <row r="10" spans="1:8">
      <c r="A10" s="501" t="s">
        <v>427</v>
      </c>
      <c r="B10" s="503">
        <v>0.35</v>
      </c>
      <c r="C10" s="503">
        <v>0.3</v>
      </c>
      <c r="D10" s="503">
        <v>0.35</v>
      </c>
      <c r="E10" s="512"/>
    </row>
    <row r="11" spans="1:8">
      <c r="A11" s="513" t="s">
        <v>426</v>
      </c>
      <c r="B11" s="503">
        <v>0.5</v>
      </c>
      <c r="C11" s="503">
        <v>0.25</v>
      </c>
      <c r="D11" s="503">
        <v>0.25</v>
      </c>
      <c r="E11" s="512"/>
    </row>
    <row r="12" spans="1:8">
      <c r="A12" s="514" t="s">
        <v>22</v>
      </c>
      <c r="B12" s="504">
        <v>0.4</v>
      </c>
      <c r="C12" s="504">
        <v>0.30000000000000004</v>
      </c>
      <c r="D12" s="504">
        <v>0.30000000000000004</v>
      </c>
      <c r="E12" s="515"/>
    </row>
    <row r="13" spans="1:8">
      <c r="A13" s="498"/>
      <c r="B13" s="1"/>
      <c r="C13" s="1"/>
      <c r="D13" s="1"/>
      <c r="E13" s="2"/>
    </row>
  </sheetData>
  <sheetProtection selectLockedCells="1" selectUnlockedCells="1"/>
  <printOptions horizontalCentered="1"/>
  <pageMargins left="0.23622047244094491" right="0.23622047244094491" top="0.19685039370078741" bottom="0.19685039370078741" header="0.31496062992125984" footer="0.31496062992125984"/>
  <pageSetup paperSize="9" scale="58"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73"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77" t="s">
        <v>90</v>
      </c>
      <c r="B1" s="378"/>
      <c r="C1" s="378"/>
      <c r="D1" s="378"/>
      <c r="E1" s="378"/>
      <c r="F1" s="378"/>
      <c r="G1" s="378"/>
      <c r="H1" s="379"/>
      <c r="K1" s="3" t="s">
        <v>41</v>
      </c>
    </row>
    <row r="2" spans="1:16">
      <c r="A2" s="380"/>
      <c r="B2" s="281"/>
      <c r="C2" s="281"/>
      <c r="D2" s="281"/>
      <c r="E2" s="281"/>
      <c r="F2" s="281"/>
      <c r="G2" s="282"/>
      <c r="H2" s="283"/>
      <c r="J2" s="6"/>
      <c r="K2" s="6" t="s">
        <v>428</v>
      </c>
    </row>
    <row r="3" spans="1:16" ht="15.6">
      <c r="A3" s="381" t="s">
        <v>378</v>
      </c>
      <c r="B3" s="281"/>
      <c r="C3" s="281"/>
      <c r="D3" s="349" t="s">
        <v>143</v>
      </c>
      <c r="E3" s="349" t="s">
        <v>144</v>
      </c>
      <c r="F3" s="349" t="s">
        <v>145</v>
      </c>
      <c r="G3" s="306" t="s">
        <v>105</v>
      </c>
      <c r="H3" s="292" t="s">
        <v>63</v>
      </c>
      <c r="J3" s="6"/>
      <c r="K3" s="6" t="s">
        <v>45</v>
      </c>
    </row>
    <row r="4" spans="1:16" ht="15.6">
      <c r="A4" s="862">
        <f>Summary!A6</f>
        <v>0</v>
      </c>
      <c r="B4" s="863"/>
      <c r="C4" s="281"/>
      <c r="D4" s="78">
        <f>H84</f>
        <v>0</v>
      </c>
      <c r="E4" s="166">
        <f>H183</f>
        <v>0</v>
      </c>
      <c r="F4" s="133">
        <f>H220</f>
        <v>0</v>
      </c>
      <c r="G4" s="143">
        <f>H234</f>
        <v>0</v>
      </c>
      <c r="H4" s="382">
        <f>H236</f>
        <v>0</v>
      </c>
      <c r="J4" s="6"/>
      <c r="K4" s="6" t="s">
        <v>15</v>
      </c>
    </row>
    <row r="5" spans="1:16">
      <c r="A5" s="380"/>
      <c r="B5" s="281"/>
      <c r="C5" s="281"/>
      <c r="D5" s="281"/>
      <c r="E5" s="281"/>
      <c r="F5" s="281"/>
      <c r="G5" s="282"/>
      <c r="H5" s="283"/>
      <c r="J5" s="6"/>
      <c r="K5" s="6" t="s">
        <v>16</v>
      </c>
    </row>
    <row r="6" spans="1:16" s="4" customFormat="1" ht="15.6">
      <c r="A6" s="381" t="s">
        <v>91</v>
      </c>
      <c r="B6" s="313"/>
      <c r="C6" s="313"/>
      <c r="D6" s="314" t="s">
        <v>35</v>
      </c>
      <c r="E6" s="281"/>
      <c r="F6" s="281"/>
      <c r="G6" s="282"/>
      <c r="H6" s="283"/>
      <c r="J6" s="6"/>
      <c r="K6" s="6" t="s">
        <v>427</v>
      </c>
      <c r="L6" s="3"/>
      <c r="M6" s="3"/>
      <c r="N6" s="3"/>
    </row>
    <row r="7" spans="1:16" ht="15.75" customHeight="1">
      <c r="A7" s="842" t="s">
        <v>428</v>
      </c>
      <c r="B7" s="843"/>
      <c r="D7" s="835">
        <f>Summary!A81</f>
        <v>0</v>
      </c>
      <c r="E7" s="785"/>
      <c r="F7" s="785"/>
      <c r="G7" s="786"/>
      <c r="H7" s="383"/>
      <c r="J7" s="29"/>
      <c r="K7" s="29" t="s">
        <v>426</v>
      </c>
    </row>
    <row r="8" spans="1:16" ht="15.6" thickBot="1">
      <c r="A8" s="380"/>
      <c r="B8" s="315"/>
      <c r="C8" s="281"/>
      <c r="D8" s="281"/>
      <c r="E8" s="281"/>
      <c r="F8" s="281"/>
      <c r="G8" s="282"/>
      <c r="H8" s="283"/>
    </row>
    <row r="9" spans="1:16" ht="16.2" thickBot="1">
      <c r="A9" s="384" t="s">
        <v>126</v>
      </c>
      <c r="B9" s="145"/>
      <c r="C9" s="145"/>
      <c r="D9" s="145"/>
      <c r="E9" s="145"/>
      <c r="F9" s="146"/>
      <c r="G9" s="16"/>
      <c r="H9" s="385"/>
    </row>
    <row r="10" spans="1:16">
      <c r="A10" s="380"/>
      <c r="B10" s="316"/>
      <c r="C10" s="281"/>
      <c r="D10" s="281"/>
      <c r="E10" s="281"/>
      <c r="F10" s="281"/>
      <c r="G10" s="282"/>
      <c r="H10" s="283"/>
    </row>
    <row r="11" spans="1:16" ht="15.75" customHeight="1">
      <c r="A11" s="963" t="s">
        <v>0</v>
      </c>
      <c r="B11" s="964"/>
      <c r="C11" s="153"/>
      <c r="D11" s="985" t="s">
        <v>4</v>
      </c>
      <c r="E11" s="984" t="s">
        <v>81</v>
      </c>
      <c r="F11" s="984" t="s">
        <v>21</v>
      </c>
      <c r="G11" s="317"/>
      <c r="H11" s="386"/>
    </row>
    <row r="12" spans="1:16" ht="15.75" customHeight="1">
      <c r="A12" s="965"/>
      <c r="B12" s="966"/>
      <c r="C12" s="154"/>
      <c r="D12" s="986"/>
      <c r="E12" s="984"/>
      <c r="F12" s="984"/>
      <c r="G12" s="317"/>
      <c r="H12" s="386"/>
    </row>
    <row r="13" spans="1:16" s="29" customFormat="1" ht="15.6">
      <c r="A13" s="387" t="s">
        <v>128</v>
      </c>
      <c r="B13" s="180"/>
      <c r="C13" s="180"/>
      <c r="D13" s="180"/>
      <c r="E13" s="183"/>
      <c r="F13" s="183"/>
      <c r="G13" s="318"/>
      <c r="H13" s="388"/>
      <c r="O13" s="45"/>
      <c r="P13" s="45"/>
    </row>
    <row r="14" spans="1:16">
      <c r="A14" s="389">
        <v>1</v>
      </c>
      <c r="B14" s="987" t="s">
        <v>287</v>
      </c>
      <c r="C14" s="851"/>
      <c r="D14" s="149" t="s">
        <v>2</v>
      </c>
      <c r="E14" s="54" t="s">
        <v>50</v>
      </c>
      <c r="F14" s="30"/>
      <c r="G14" s="278"/>
      <c r="H14" s="304"/>
      <c r="I14" s="148" t="s">
        <v>143</v>
      </c>
      <c r="K14" s="152" t="str">
        <f>IF(F14&lt;65%,"Min. 65% coverage"," ")</f>
        <v>Min. 65% coverage</v>
      </c>
    </row>
    <row r="15" spans="1:16" ht="30.75" customHeight="1">
      <c r="A15" s="389">
        <v>2</v>
      </c>
      <c r="B15" s="987" t="s">
        <v>376</v>
      </c>
      <c r="C15" s="851"/>
      <c r="D15" s="150" t="s">
        <v>51</v>
      </c>
      <c r="E15" s="31" t="s">
        <v>50</v>
      </c>
      <c r="F15" s="547"/>
      <c r="G15" s="278"/>
      <c r="H15" s="283"/>
      <c r="I15" s="148" t="s">
        <v>144</v>
      </c>
      <c r="K15" s="152" t="str">
        <f>IF(F15&lt;65%,"Min. 80% coverage"," ")</f>
        <v>Min. 80% coverage</v>
      </c>
    </row>
    <row r="16" spans="1:16" ht="15" customHeight="1">
      <c r="A16" s="389">
        <v>3</v>
      </c>
      <c r="B16" s="987" t="s">
        <v>375</v>
      </c>
      <c r="C16" s="851"/>
      <c r="D16" s="150" t="s">
        <v>51</v>
      </c>
      <c r="E16" s="31" t="s">
        <v>50</v>
      </c>
      <c r="F16" s="547"/>
      <c r="G16" s="278"/>
      <c r="H16" s="386"/>
      <c r="I16" s="3" t="s">
        <v>143</v>
      </c>
      <c r="K16" s="152" t="str">
        <f>IF(F16&lt;65%,"Min. 65% coverage"," ")</f>
        <v>Min. 65% coverage</v>
      </c>
    </row>
    <row r="17" spans="1:19">
      <c r="A17" s="389">
        <v>4</v>
      </c>
      <c r="B17" s="886" t="s">
        <v>191</v>
      </c>
      <c r="C17" s="884"/>
      <c r="D17" s="147" t="s">
        <v>3</v>
      </c>
      <c r="E17" s="31" t="s">
        <v>50</v>
      </c>
      <c r="F17" s="547"/>
      <c r="G17" s="278"/>
      <c r="H17" s="386"/>
      <c r="I17" s="3" t="s">
        <v>145</v>
      </c>
      <c r="K17" s="152" t="str">
        <f>IF(F17&lt;65%,"Min. 65% coverage"," ")</f>
        <v>Min. 65% coverage</v>
      </c>
    </row>
    <row r="18" spans="1:19" s="29" customFormat="1" ht="15.6">
      <c r="A18" s="390" t="s">
        <v>127</v>
      </c>
      <c r="B18" s="180"/>
      <c r="C18" s="180"/>
      <c r="D18" s="180"/>
      <c r="E18" s="181"/>
      <c r="F18" s="182"/>
      <c r="G18" s="319"/>
      <c r="H18" s="388"/>
      <c r="K18" s="10"/>
      <c r="O18" s="45"/>
      <c r="P18" s="45"/>
    </row>
    <row r="19" spans="1:19" ht="32.25" customHeight="1">
      <c r="A19" s="391">
        <v>5</v>
      </c>
      <c r="B19" s="873" t="s">
        <v>288</v>
      </c>
      <c r="C19" s="989"/>
      <c r="D19" s="151" t="s">
        <v>3</v>
      </c>
      <c r="E19" s="536"/>
      <c r="F19" s="31">
        <f>IFERROR(E19/$F$115,0)</f>
        <v>0</v>
      </c>
      <c r="G19" s="278"/>
      <c r="H19" s="386"/>
      <c r="I19" s="3" t="s">
        <v>144</v>
      </c>
      <c r="K19" s="152" t="str">
        <f>IF($A$7=$K$2,IF(E19=0,"Please input wall length"," ")," ")</f>
        <v>Please input wall length</v>
      </c>
    </row>
    <row r="20" spans="1:19">
      <c r="A20" s="391">
        <v>6</v>
      </c>
      <c r="B20" s="987" t="s">
        <v>289</v>
      </c>
      <c r="C20" s="851"/>
      <c r="D20" s="190" t="s">
        <v>51</v>
      </c>
      <c r="E20" s="31" t="s">
        <v>50</v>
      </c>
      <c r="F20" s="30"/>
      <c r="G20" s="278"/>
      <c r="H20" s="386"/>
      <c r="I20" s="3" t="s">
        <v>144</v>
      </c>
      <c r="K20" s="152" t="str">
        <f>IF($A$7=$K$2,IF(F20&lt;65%,"Min. 65% coverage"," ")," ")</f>
        <v>Min. 65% coverage</v>
      </c>
    </row>
    <row r="21" spans="1:19">
      <c r="A21" s="391">
        <v>7</v>
      </c>
      <c r="B21" s="886" t="s">
        <v>306</v>
      </c>
      <c r="C21" s="884"/>
      <c r="D21" s="150" t="s">
        <v>51</v>
      </c>
      <c r="E21" s="31" t="s">
        <v>50</v>
      </c>
      <c r="F21" s="547"/>
      <c r="G21" s="278"/>
      <c r="H21" s="386"/>
      <c r="I21" s="3" t="s">
        <v>143</v>
      </c>
      <c r="K21" s="152" t="str">
        <f>IF($A$7=$K$2,IF(F21&lt;65%,"Min. 65% coverage"," ")," ")</f>
        <v>Min. 65% coverage</v>
      </c>
    </row>
    <row r="22" spans="1:19">
      <c r="A22" s="391" t="s">
        <v>308</v>
      </c>
      <c r="B22" s="886" t="s">
        <v>307</v>
      </c>
      <c r="C22" s="884"/>
      <c r="D22" s="150" t="s">
        <v>51</v>
      </c>
      <c r="E22" s="31" t="s">
        <v>50</v>
      </c>
      <c r="F22" s="547"/>
      <c r="G22" s="278"/>
      <c r="H22" s="386"/>
      <c r="K22" s="152"/>
    </row>
    <row r="23" spans="1:19">
      <c r="A23" s="380"/>
      <c r="B23" s="281"/>
      <c r="C23" s="281"/>
      <c r="D23" s="281"/>
      <c r="E23" s="281"/>
      <c r="F23" s="281"/>
      <c r="G23" s="282"/>
      <c r="H23" s="283"/>
      <c r="K23" s="6"/>
    </row>
    <row r="24" spans="1:19" ht="15.6">
      <c r="A24" s="392" t="s">
        <v>44</v>
      </c>
      <c r="B24" s="169"/>
      <c r="C24" s="169"/>
      <c r="D24" s="169"/>
      <c r="E24" s="169"/>
      <c r="F24" s="170" t="s">
        <v>43</v>
      </c>
      <c r="G24" s="171">
        <f>VLOOKUP($A$7,'Manpower allocation'!A4:D11,2,FALSE)*100</f>
        <v>45</v>
      </c>
      <c r="H24" s="393" t="s">
        <v>42</v>
      </c>
      <c r="J24" s="497">
        <f>VLOOKUP($A$7,'Manpower allocation'!A4:D11,2,FALSE)*100</f>
        <v>45</v>
      </c>
      <c r="K24" s="6"/>
    </row>
    <row r="25" spans="1:19" ht="15.6">
      <c r="A25" s="380"/>
      <c r="B25" s="320"/>
      <c r="C25" s="321"/>
      <c r="D25" s="281"/>
      <c r="E25" s="281"/>
      <c r="F25" s="281"/>
      <c r="G25" s="282"/>
      <c r="H25" s="283"/>
      <c r="K25" s="6"/>
    </row>
    <row r="26" spans="1:19" s="29" customFormat="1" ht="46.8">
      <c r="A26" s="394" t="s">
        <v>0</v>
      </c>
      <c r="B26" s="41"/>
      <c r="C26" s="41"/>
      <c r="D26" s="42"/>
      <c r="E26" s="43" t="s">
        <v>17</v>
      </c>
      <c r="F26" s="43" t="s">
        <v>114</v>
      </c>
      <c r="G26" s="43" t="s">
        <v>18</v>
      </c>
      <c r="H26" s="395" t="s">
        <v>53</v>
      </c>
      <c r="K26" s="44"/>
      <c r="R26" s="45"/>
      <c r="S26" s="45"/>
    </row>
    <row r="27" spans="1:19" s="29" customFormat="1" ht="15.6">
      <c r="A27" s="396" t="s">
        <v>198</v>
      </c>
      <c r="B27" s="46" t="s">
        <v>214</v>
      </c>
      <c r="C27" s="47"/>
      <c r="D27" s="47"/>
      <c r="E27" s="48"/>
      <c r="F27" s="48"/>
      <c r="G27" s="48"/>
      <c r="H27" s="397"/>
      <c r="R27" s="45"/>
      <c r="S27" s="45"/>
    </row>
    <row r="28" spans="1:19" s="29" customFormat="1" ht="15.6">
      <c r="A28" s="398">
        <v>1</v>
      </c>
      <c r="B28" s="40" t="s">
        <v>338</v>
      </c>
      <c r="C28" s="41"/>
      <c r="D28" s="49"/>
      <c r="E28" s="41"/>
      <c r="F28" s="50"/>
      <c r="G28" s="50"/>
      <c r="H28" s="399"/>
      <c r="R28" s="45"/>
      <c r="S28" s="45"/>
    </row>
    <row r="29" spans="1:19" s="29" customFormat="1">
      <c r="A29" s="980">
        <v>1.1000000000000001</v>
      </c>
      <c r="B29" s="852" t="s">
        <v>290</v>
      </c>
      <c r="C29" s="988"/>
      <c r="D29" s="988"/>
      <c r="E29" s="904">
        <f>VLOOKUP(A29,'Point Allocation'!$A$5:$J$15,MATCH(A7,'Point Allocation'!$A$5:$J$5,0),0)</f>
        <v>45</v>
      </c>
      <c r="F29" s="1014"/>
      <c r="G29" s="1015">
        <f>IFERROR(F29/$F$56,0)</f>
        <v>0</v>
      </c>
      <c r="H29" s="909">
        <f>E29*G29</f>
        <v>0</v>
      </c>
      <c r="R29" s="45"/>
      <c r="S29" s="45"/>
    </row>
    <row r="30" spans="1:19" s="29" customFormat="1" ht="15.6">
      <c r="A30" s="981"/>
      <c r="B30" s="998" t="s">
        <v>401</v>
      </c>
      <c r="C30" s="998"/>
      <c r="D30" s="998"/>
      <c r="E30" s="904"/>
      <c r="F30" s="1014"/>
      <c r="G30" s="1015">
        <f t="shared" ref="G30" si="0">IFERROR(F30/$F$56,0)</f>
        <v>0</v>
      </c>
      <c r="H30" s="909"/>
      <c r="R30" s="45"/>
      <c r="S30" s="45"/>
    </row>
    <row r="31" spans="1:19" s="29" customFormat="1" ht="15.6">
      <c r="A31" s="398">
        <v>2</v>
      </c>
      <c r="B31" s="40" t="s">
        <v>339</v>
      </c>
      <c r="C31" s="51"/>
      <c r="D31" s="49"/>
      <c r="E31" s="52"/>
      <c r="F31" s="8"/>
      <c r="G31" s="22"/>
      <c r="H31" s="400"/>
      <c r="R31" s="53"/>
      <c r="S31" s="45"/>
    </row>
    <row r="32" spans="1:19" s="29" customFormat="1">
      <c r="A32" s="401">
        <v>2.1</v>
      </c>
      <c r="B32" s="885" t="s">
        <v>203</v>
      </c>
      <c r="C32" s="886"/>
      <c r="D32" s="884"/>
      <c r="E32" s="20">
        <f>VLOOKUP(A32,'Point Allocation'!$A$5:$J$15,MATCH(A7,'Point Allocation'!$A$5:$J$5,0),0)</f>
        <v>42</v>
      </c>
      <c r="F32" s="536"/>
      <c r="G32" s="31">
        <f>IFERROR(F32/$F$56,0)</f>
        <v>0</v>
      </c>
      <c r="H32" s="405">
        <f>E32*G32</f>
        <v>0</v>
      </c>
      <c r="R32" s="53"/>
      <c r="S32" s="45"/>
    </row>
    <row r="33" spans="1:19" s="29" customFormat="1" ht="15.6">
      <c r="A33" s="398">
        <v>3</v>
      </c>
      <c r="B33" s="40" t="s">
        <v>340</v>
      </c>
      <c r="C33" s="51"/>
      <c r="D33" s="49"/>
      <c r="E33" s="52"/>
      <c r="F33" s="8"/>
      <c r="G33" s="22"/>
      <c r="H33" s="400"/>
      <c r="R33" s="53"/>
      <c r="S33" s="45"/>
    </row>
    <row r="34" spans="1:19" s="29" customFormat="1" ht="15" customHeight="1">
      <c r="A34" s="401">
        <v>3.1</v>
      </c>
      <c r="B34" s="885" t="s">
        <v>587</v>
      </c>
      <c r="C34" s="886"/>
      <c r="D34" s="884"/>
      <c r="E34" s="20">
        <f>VLOOKUP(A34,'Point Allocation'!$A$5:$J$15,MATCH(A7,'Point Allocation'!$A$5:$J$5,0),0)</f>
        <v>39</v>
      </c>
      <c r="F34" s="37"/>
      <c r="G34" s="31">
        <f>IFERROR(F34/$F$56,0)</f>
        <v>0</v>
      </c>
      <c r="H34" s="419">
        <f>E34*G34</f>
        <v>0</v>
      </c>
      <c r="R34" s="53"/>
      <c r="S34" s="45"/>
    </row>
    <row r="35" spans="1:19" s="29" customFormat="1" ht="31.5" customHeight="1">
      <c r="A35" s="967">
        <v>3.2</v>
      </c>
      <c r="B35" s="969" t="s">
        <v>330</v>
      </c>
      <c r="C35" s="970"/>
      <c r="D35" s="971"/>
      <c r="E35" s="910">
        <f>VLOOKUP(A35,'Point Allocation'!$A$5:$J$15,MATCH(A7,'Point Allocation'!$A$5:$J$5,0),0)</f>
        <v>39</v>
      </c>
      <c r="F35" s="37"/>
      <c r="G35" s="31">
        <f>IFERROR(F35/$F$56,0)</f>
        <v>0</v>
      </c>
      <c r="H35" s="945">
        <f>IF(SUM(J37:J42)&gt;=4,E35*G35,0)</f>
        <v>0</v>
      </c>
      <c r="R35" s="53"/>
      <c r="S35" s="45"/>
    </row>
    <row r="36" spans="1:19" s="29" customFormat="1" ht="31.5" customHeight="1">
      <c r="A36" s="968"/>
      <c r="B36" s="972"/>
      <c r="C36" s="973"/>
      <c r="D36" s="974"/>
      <c r="E36" s="911"/>
      <c r="F36" s="9" t="s">
        <v>130</v>
      </c>
      <c r="G36" s="54" t="s">
        <v>117</v>
      </c>
      <c r="H36" s="947"/>
      <c r="R36" s="53"/>
      <c r="S36" s="45"/>
    </row>
    <row r="37" spans="1:19" s="29" customFormat="1" ht="89.25" customHeight="1">
      <c r="A37" s="402" t="s">
        <v>192</v>
      </c>
      <c r="B37" s="1016" t="s">
        <v>359</v>
      </c>
      <c r="C37" s="1017"/>
      <c r="D37" s="1018"/>
      <c r="E37" s="958"/>
      <c r="F37" s="187" t="s">
        <v>131</v>
      </c>
      <c r="G37" s="546"/>
      <c r="H37" s="946"/>
      <c r="J37" s="55">
        <f t="shared" ref="J37:J42" si="1">IF(G37&gt;=65%,1,0)</f>
        <v>0</v>
      </c>
      <c r="R37" s="53"/>
      <c r="S37" s="45"/>
    </row>
    <row r="38" spans="1:19" s="29" customFormat="1" ht="33.75" customHeight="1">
      <c r="A38" s="402" t="s">
        <v>193</v>
      </c>
      <c r="B38" s="871" t="s">
        <v>215</v>
      </c>
      <c r="C38" s="872"/>
      <c r="D38" s="873"/>
      <c r="E38" s="958"/>
      <c r="F38" s="39" t="s">
        <v>132</v>
      </c>
      <c r="G38" s="547"/>
      <c r="H38" s="946"/>
      <c r="J38" s="55">
        <f t="shared" si="1"/>
        <v>0</v>
      </c>
      <c r="R38" s="53"/>
      <c r="S38" s="45"/>
    </row>
    <row r="39" spans="1:19" s="29" customFormat="1" ht="48.75" customHeight="1">
      <c r="A39" s="402" t="s">
        <v>201</v>
      </c>
      <c r="B39" s="871" t="s">
        <v>216</v>
      </c>
      <c r="C39" s="872"/>
      <c r="D39" s="873"/>
      <c r="E39" s="958"/>
      <c r="F39" s="39" t="s">
        <v>133</v>
      </c>
      <c r="G39" s="547"/>
      <c r="H39" s="946"/>
      <c r="J39" s="55">
        <f t="shared" si="1"/>
        <v>0</v>
      </c>
      <c r="R39" s="53"/>
      <c r="S39" s="45"/>
    </row>
    <row r="40" spans="1:19" s="29" customFormat="1" ht="45">
      <c r="A40" s="402" t="s">
        <v>194</v>
      </c>
      <c r="B40" s="871" t="s">
        <v>217</v>
      </c>
      <c r="C40" s="872"/>
      <c r="D40" s="873"/>
      <c r="E40" s="958"/>
      <c r="F40" s="39" t="s">
        <v>134</v>
      </c>
      <c r="G40" s="547"/>
      <c r="H40" s="946"/>
      <c r="J40" s="55">
        <f t="shared" si="1"/>
        <v>0</v>
      </c>
      <c r="R40" s="53"/>
      <c r="S40" s="45"/>
    </row>
    <row r="41" spans="1:19" s="29" customFormat="1" ht="48.75" customHeight="1">
      <c r="A41" s="402" t="s">
        <v>202</v>
      </c>
      <c r="B41" s="871" t="s">
        <v>218</v>
      </c>
      <c r="C41" s="872"/>
      <c r="D41" s="873"/>
      <c r="E41" s="958"/>
      <c r="F41" s="39" t="s">
        <v>135</v>
      </c>
      <c r="G41" s="547"/>
      <c r="H41" s="946"/>
      <c r="J41" s="55">
        <f t="shared" si="1"/>
        <v>0</v>
      </c>
      <c r="R41" s="53"/>
      <c r="S41" s="45"/>
    </row>
    <row r="42" spans="1:19" s="29" customFormat="1" ht="31.5" customHeight="1">
      <c r="A42" s="402" t="s">
        <v>195</v>
      </c>
      <c r="B42" s="975" t="s">
        <v>345</v>
      </c>
      <c r="C42" s="976"/>
      <c r="D42" s="977"/>
      <c r="E42" s="959"/>
      <c r="F42" s="39" t="s">
        <v>136</v>
      </c>
      <c r="G42" s="547"/>
      <c r="H42" s="947"/>
      <c r="J42" s="55">
        <f t="shared" si="1"/>
        <v>0</v>
      </c>
      <c r="R42" s="53"/>
      <c r="S42" s="45"/>
    </row>
    <row r="43" spans="1:19" s="29" customFormat="1" ht="15.6">
      <c r="A43" s="398" t="s">
        <v>196</v>
      </c>
      <c r="B43" s="40" t="s">
        <v>341</v>
      </c>
      <c r="C43" s="56"/>
      <c r="D43" s="49"/>
      <c r="E43" s="52"/>
      <c r="F43" s="36"/>
      <c r="G43" s="23"/>
      <c r="H43" s="403"/>
      <c r="R43" s="53"/>
      <c r="S43" s="45"/>
    </row>
    <row r="44" spans="1:19" s="29" customFormat="1" ht="31.5" customHeight="1">
      <c r="A44" s="404">
        <v>4.0999999999999996</v>
      </c>
      <c r="B44" s="885" t="s">
        <v>331</v>
      </c>
      <c r="C44" s="886"/>
      <c r="D44" s="884"/>
      <c r="E44" s="20">
        <f>VLOOKUP(A44,'Point Allocation'!$A$5:$J$15,MATCH(A7,'Point Allocation'!$A$5:$J$5,0),0)</f>
        <v>35</v>
      </c>
      <c r="F44" s="536"/>
      <c r="G44" s="31">
        <f>IFERROR(F44/$F$56,0)</f>
        <v>0</v>
      </c>
      <c r="H44" s="405">
        <f>E44*G44</f>
        <v>0</v>
      </c>
      <c r="R44" s="53"/>
      <c r="S44" s="45"/>
    </row>
    <row r="45" spans="1:19" s="29" customFormat="1">
      <c r="A45" s="406">
        <v>4.2</v>
      </c>
      <c r="B45" s="928" t="s">
        <v>348</v>
      </c>
      <c r="C45" s="990"/>
      <c r="D45" s="929"/>
      <c r="E45" s="20">
        <f>VLOOKUP(A45,'Point Allocation'!$A$5:$J$15,MATCH(A7,'Point Allocation'!$A$5:$J$5,0),0)</f>
        <v>35</v>
      </c>
      <c r="F45" s="536"/>
      <c r="G45" s="31">
        <f>IFERROR(F45/$F$56,0)</f>
        <v>0</v>
      </c>
      <c r="H45" s="405">
        <f>E45*G45</f>
        <v>0</v>
      </c>
      <c r="R45" s="53"/>
      <c r="S45" s="45"/>
    </row>
    <row r="46" spans="1:19" s="29" customFormat="1">
      <c r="A46" s="406">
        <v>4.3</v>
      </c>
      <c r="B46" s="960" t="s">
        <v>346</v>
      </c>
      <c r="C46" s="961"/>
      <c r="D46" s="962"/>
      <c r="E46" s="20">
        <f>VLOOKUP(A46,'Point Allocation'!$A$5:$J$15,MATCH(A7,'Point Allocation'!$A$5:$J$5,0),0)</f>
        <v>28</v>
      </c>
      <c r="F46" s="536"/>
      <c r="G46" s="31">
        <f>IFERROR(F46/$F$56,0)</f>
        <v>0</v>
      </c>
      <c r="H46" s="405">
        <f>E46*G46</f>
        <v>0</v>
      </c>
      <c r="R46" s="53"/>
      <c r="S46" s="45"/>
    </row>
    <row r="47" spans="1:19" s="29" customFormat="1">
      <c r="A47" s="404">
        <v>4.4000000000000004</v>
      </c>
      <c r="B47" s="885" t="s">
        <v>347</v>
      </c>
      <c r="C47" s="886"/>
      <c r="D47" s="884"/>
      <c r="E47" s="20">
        <f>VLOOKUP(A47,'Point Allocation'!$A$5:$J$15,MATCH(A7,'Point Allocation'!$A$5:$J$5,0),0)</f>
        <v>28</v>
      </c>
      <c r="F47" s="536"/>
      <c r="G47" s="31">
        <f>IFERROR(F47/$F$56,0)</f>
        <v>0</v>
      </c>
      <c r="H47" s="405">
        <f>E47*G47</f>
        <v>0</v>
      </c>
      <c r="R47" s="53"/>
      <c r="S47" s="45"/>
    </row>
    <row r="48" spans="1:19" s="59" customFormat="1" ht="15.6">
      <c r="A48" s="396" t="s">
        <v>197</v>
      </c>
      <c r="B48" s="46" t="s">
        <v>211</v>
      </c>
      <c r="C48" s="57"/>
      <c r="D48" s="58"/>
      <c r="E48" s="7"/>
      <c r="F48" s="7"/>
      <c r="G48" s="24"/>
      <c r="H48" s="407"/>
      <c r="J48" s="29"/>
      <c r="K48" s="29"/>
      <c r="L48" s="29"/>
      <c r="M48" s="29"/>
      <c r="N48" s="29"/>
      <c r="R48" s="60"/>
    </row>
    <row r="49" spans="1:19" s="59" customFormat="1" ht="15.6">
      <c r="A49" s="408">
        <v>5</v>
      </c>
      <c r="B49" s="40" t="s">
        <v>212</v>
      </c>
      <c r="C49" s="49"/>
      <c r="D49" s="49"/>
      <c r="E49" s="8"/>
      <c r="F49" s="8"/>
      <c r="G49" s="22"/>
      <c r="H49" s="403"/>
      <c r="J49" s="29"/>
      <c r="K49" s="29"/>
      <c r="L49" s="29"/>
      <c r="M49" s="29"/>
      <c r="N49" s="29"/>
      <c r="R49" s="60"/>
    </row>
    <row r="50" spans="1:19" s="29" customFormat="1">
      <c r="A50" s="409">
        <v>5.0999999999999996</v>
      </c>
      <c r="B50" s="844" t="s">
        <v>204</v>
      </c>
      <c r="C50" s="846"/>
      <c r="D50" s="845"/>
      <c r="E50" s="20">
        <f>VLOOKUP(A50,'Point Allocation'!$A$5:$J$15,MATCH(A7,'Point Allocation'!$A$5:$J$5,0),0)</f>
        <v>22</v>
      </c>
      <c r="F50" s="536"/>
      <c r="G50" s="31">
        <f>IFERROR(F50/$F$56,0)</f>
        <v>0</v>
      </c>
      <c r="H50" s="405">
        <f>E50*G50</f>
        <v>0</v>
      </c>
      <c r="R50" s="53"/>
      <c r="S50" s="45"/>
    </row>
    <row r="51" spans="1:19" s="29" customFormat="1">
      <c r="A51" s="409">
        <v>5.2</v>
      </c>
      <c r="B51" s="844" t="s">
        <v>151</v>
      </c>
      <c r="C51" s="846"/>
      <c r="D51" s="845"/>
      <c r="E51" s="20">
        <f>VLOOKUP(A51,'Point Allocation'!$A$5:$J$15,MATCH(A7,'Point Allocation'!$A$5:$J$5,0),0)</f>
        <v>10</v>
      </c>
      <c r="F51" s="536"/>
      <c r="G51" s="31">
        <f>IFERROR(F51/$F$56,0)</f>
        <v>0</v>
      </c>
      <c r="H51" s="405">
        <f>E51*G51</f>
        <v>0</v>
      </c>
      <c r="R51" s="53"/>
      <c r="S51" s="45"/>
    </row>
    <row r="52" spans="1:19" s="29" customFormat="1" ht="15.6">
      <c r="A52" s="410">
        <v>6</v>
      </c>
      <c r="B52" s="61" t="s">
        <v>213</v>
      </c>
      <c r="C52" s="49"/>
      <c r="D52" s="49"/>
      <c r="E52" s="8"/>
      <c r="F52" s="8"/>
      <c r="G52" s="22"/>
      <c r="H52" s="403"/>
      <c r="R52" s="53"/>
      <c r="S52" s="45"/>
    </row>
    <row r="53" spans="1:19" s="29" customFormat="1">
      <c r="A53" s="411">
        <v>6.1</v>
      </c>
      <c r="B53" s="826"/>
      <c r="C53" s="821"/>
      <c r="D53" s="847"/>
      <c r="E53" s="536"/>
      <c r="F53" s="536"/>
      <c r="G53" s="31">
        <f>IFERROR(F53/$F$56,0)</f>
        <v>0</v>
      </c>
      <c r="H53" s="405">
        <f>E53*G53</f>
        <v>0</v>
      </c>
      <c r="R53" s="53"/>
      <c r="S53" s="45"/>
    </row>
    <row r="54" spans="1:19" s="29" customFormat="1">
      <c r="A54" s="411">
        <v>6.2</v>
      </c>
      <c r="B54" s="826"/>
      <c r="C54" s="821"/>
      <c r="D54" s="847"/>
      <c r="E54" s="536"/>
      <c r="F54" s="536"/>
      <c r="G54" s="31">
        <f>IFERROR(F54/$F$56,0)</f>
        <v>0</v>
      </c>
      <c r="H54" s="405">
        <f>E54*G54</f>
        <v>0</v>
      </c>
      <c r="R54" s="53"/>
      <c r="S54" s="45"/>
    </row>
    <row r="55" spans="1:19" s="29" customFormat="1">
      <c r="A55" s="411">
        <v>6.3</v>
      </c>
      <c r="B55" s="826"/>
      <c r="C55" s="821"/>
      <c r="D55" s="847"/>
      <c r="E55" s="536"/>
      <c r="F55" s="536"/>
      <c r="G55" s="31">
        <f>IFERROR(F55/$F$56,0)</f>
        <v>0</v>
      </c>
      <c r="H55" s="405">
        <f>E55*G55</f>
        <v>0</v>
      </c>
      <c r="R55" s="53"/>
      <c r="S55" s="45"/>
    </row>
    <row r="56" spans="1:19" s="29" customFormat="1" ht="15.6">
      <c r="A56" s="412"/>
      <c r="B56" s="322"/>
      <c r="C56" s="323"/>
      <c r="D56" s="323"/>
      <c r="E56" s="324" t="s">
        <v>61</v>
      </c>
      <c r="F56" s="26">
        <f>SUM(F29,F32,F34,F35,F44,F45,F46,F47,F50,F51,F53,F54,F55)</f>
        <v>0</v>
      </c>
      <c r="G56" s="25">
        <f>SUM(G29,G32:G32,G34:G35,G44:G47,G50:G51,G53:G55)</f>
        <v>0</v>
      </c>
      <c r="H56" s="413">
        <f>IFERROR(SUM(H29:H55),0)</f>
        <v>0</v>
      </c>
      <c r="N56" s="62"/>
      <c r="R56" s="53"/>
      <c r="S56" s="45"/>
    </row>
    <row r="57" spans="1:19" s="29" customFormat="1" ht="15.6" thickBot="1">
      <c r="A57" s="491"/>
      <c r="B57" s="492"/>
      <c r="C57" s="493"/>
      <c r="D57" s="493"/>
      <c r="E57" s="493"/>
      <c r="F57" s="493"/>
      <c r="G57" s="480"/>
      <c r="H57" s="639"/>
      <c r="R57" s="53"/>
      <c r="S57" s="45"/>
    </row>
    <row r="58" spans="1:19" s="29" customFormat="1" ht="15.6">
      <c r="A58" s="954" t="s">
        <v>0</v>
      </c>
      <c r="B58" s="955"/>
      <c r="C58" s="646"/>
      <c r="D58" s="978" t="s">
        <v>4</v>
      </c>
      <c r="E58" s="952" t="s">
        <v>1</v>
      </c>
      <c r="F58" s="953"/>
      <c r="G58" s="948" t="s">
        <v>21</v>
      </c>
      <c r="H58" s="950" t="s">
        <v>63</v>
      </c>
      <c r="R58" s="53"/>
      <c r="S58" s="45"/>
    </row>
    <row r="59" spans="1:19" s="29" customFormat="1" ht="31.2">
      <c r="A59" s="956"/>
      <c r="B59" s="957"/>
      <c r="C59" s="63"/>
      <c r="D59" s="979"/>
      <c r="E59" s="43" t="s">
        <v>118</v>
      </c>
      <c r="F59" s="43" t="s">
        <v>119</v>
      </c>
      <c r="G59" s="949"/>
      <c r="H59" s="951"/>
      <c r="J59" s="64"/>
      <c r="R59" s="53"/>
      <c r="S59" s="45"/>
    </row>
    <row r="60" spans="1:19" s="29" customFormat="1" ht="15.6">
      <c r="A60" s="415" t="s">
        <v>219</v>
      </c>
      <c r="B60" s="46" t="s">
        <v>148</v>
      </c>
      <c r="C60" s="58"/>
      <c r="D60" s="65"/>
      <c r="E60" s="48"/>
      <c r="F60" s="48"/>
      <c r="G60" s="48"/>
      <c r="H60" s="416"/>
      <c r="J60" s="62"/>
      <c r="K60" s="62"/>
      <c r="L60" s="62"/>
      <c r="M60" s="62"/>
      <c r="R60" s="53"/>
      <c r="S60" s="45"/>
    </row>
    <row r="61" spans="1:19" s="29" customFormat="1" ht="15" customHeight="1">
      <c r="A61" s="417" t="s">
        <v>349</v>
      </c>
      <c r="B61" s="850" t="s">
        <v>595</v>
      </c>
      <c r="C61" s="851"/>
      <c r="D61" s="5" t="s">
        <v>51</v>
      </c>
      <c r="E61" s="9">
        <v>3</v>
      </c>
      <c r="F61" s="9">
        <v>4</v>
      </c>
      <c r="G61" s="66"/>
      <c r="H61" s="405">
        <f>IF(G61&gt;=80%,F61,IF(G61&lt;65%,0,E61))</f>
        <v>0</v>
      </c>
      <c r="R61" s="53"/>
      <c r="S61" s="45"/>
    </row>
    <row r="62" spans="1:19" s="29" customFormat="1">
      <c r="A62" s="417" t="s">
        <v>350</v>
      </c>
      <c r="B62" s="850" t="s">
        <v>596</v>
      </c>
      <c r="C62" s="851"/>
      <c r="D62" s="5" t="s">
        <v>51</v>
      </c>
      <c r="E62" s="9">
        <v>3</v>
      </c>
      <c r="F62" s="9">
        <v>4</v>
      </c>
      <c r="G62" s="66"/>
      <c r="H62" s="405">
        <f>IF(G62&gt;=80%,F62,IF(G62&lt;65%,0,E62))</f>
        <v>0</v>
      </c>
      <c r="R62" s="53"/>
      <c r="S62" s="45"/>
    </row>
    <row r="63" spans="1:19" s="29" customFormat="1">
      <c r="A63" s="418" t="s">
        <v>351</v>
      </c>
      <c r="B63" s="850" t="s">
        <v>588</v>
      </c>
      <c r="C63" s="851"/>
      <c r="D63" s="5" t="s">
        <v>51</v>
      </c>
      <c r="E63" s="9">
        <v>3</v>
      </c>
      <c r="F63" s="9">
        <v>4</v>
      </c>
      <c r="G63" s="66"/>
      <c r="H63" s="405">
        <f>IF(G63&gt;=80%,F63,IF(G63&lt;65%,0,E63))</f>
        <v>0</v>
      </c>
      <c r="R63" s="53"/>
      <c r="S63" s="45"/>
    </row>
    <row r="64" spans="1:19" s="29" customFormat="1" ht="51" customHeight="1">
      <c r="A64" s="417">
        <v>7.2</v>
      </c>
      <c r="B64" s="1019" t="s">
        <v>354</v>
      </c>
      <c r="C64" s="1019"/>
      <c r="D64" s="518" t="s">
        <v>51</v>
      </c>
      <c r="E64" s="540">
        <v>2</v>
      </c>
      <c r="F64" s="540">
        <v>2.5</v>
      </c>
      <c r="G64" s="516"/>
      <c r="H64" s="419">
        <f>IF(H35&gt;0,0,IF(G64&gt;=80%,F64,IF(G64&lt;65%,0,E64)))</f>
        <v>0</v>
      </c>
      <c r="J64" s="11"/>
      <c r="K64" s="11"/>
      <c r="L64" s="11"/>
      <c r="R64" s="53"/>
      <c r="S64" s="45"/>
    </row>
    <row r="65" spans="1:19" s="29" customFormat="1" ht="15" customHeight="1">
      <c r="A65" s="417">
        <v>7.3</v>
      </c>
      <c r="B65" s="885" t="s">
        <v>226</v>
      </c>
      <c r="C65" s="886"/>
      <c r="D65" s="375"/>
      <c r="E65" s="375"/>
      <c r="F65" s="375"/>
      <c r="G65" s="375"/>
      <c r="H65" s="420"/>
      <c r="J65" s="11"/>
      <c r="K65" s="11"/>
      <c r="L65" s="11"/>
      <c r="R65" s="53"/>
      <c r="S65" s="45"/>
    </row>
    <row r="66" spans="1:19" s="29" customFormat="1" ht="32.25" customHeight="1">
      <c r="A66" s="418" t="s">
        <v>220</v>
      </c>
      <c r="B66" s="883" t="s">
        <v>227</v>
      </c>
      <c r="C66" s="884"/>
      <c r="D66" s="856" t="s">
        <v>51</v>
      </c>
      <c r="E66" s="296">
        <v>1</v>
      </c>
      <c r="F66" s="296">
        <v>1.5</v>
      </c>
      <c r="G66" s="67"/>
      <c r="H66" s="298">
        <f>IF(H29+H35&gt;0,0.5,IF(G66&gt;=80%,F66,IF(G66&lt;65%,0,E66)))</f>
        <v>0</v>
      </c>
      <c r="K66" s="11"/>
      <c r="L66" s="11"/>
      <c r="R66" s="53"/>
      <c r="S66" s="45"/>
    </row>
    <row r="67" spans="1:19" s="29" customFormat="1" ht="47.25" customHeight="1">
      <c r="A67" s="418" t="s">
        <v>221</v>
      </c>
      <c r="B67" s="883" t="s">
        <v>228</v>
      </c>
      <c r="C67" s="884"/>
      <c r="D67" s="857"/>
      <c r="E67" s="296">
        <v>1</v>
      </c>
      <c r="F67" s="296">
        <v>1.5</v>
      </c>
      <c r="G67" s="67"/>
      <c r="H67" s="298">
        <f>IF(H29+H35&gt;0,0.5,IF(G67&gt;=80%,F67,IF(G67&lt;65%,0,E67)))</f>
        <v>0</v>
      </c>
      <c r="R67" s="53"/>
      <c r="S67" s="45"/>
    </row>
    <row r="68" spans="1:19" s="29" customFormat="1">
      <c r="A68" s="418" t="s">
        <v>235</v>
      </c>
      <c r="B68" s="883" t="s">
        <v>229</v>
      </c>
      <c r="C68" s="884"/>
      <c r="D68" s="857"/>
      <c r="E68" s="296">
        <v>1</v>
      </c>
      <c r="F68" s="296">
        <v>1.5</v>
      </c>
      <c r="G68" s="67"/>
      <c r="H68" s="298">
        <f>IF(H29+H35&gt;0,0.5,IF(G68&gt;=80%,F68,IF(G68&lt;65%,0,E68)))</f>
        <v>0</v>
      </c>
      <c r="R68" s="53"/>
      <c r="S68" s="45"/>
    </row>
    <row r="69" spans="1:19" s="29" customFormat="1" ht="46.5" customHeight="1">
      <c r="A69" s="418" t="s">
        <v>222</v>
      </c>
      <c r="B69" s="883" t="s">
        <v>230</v>
      </c>
      <c r="C69" s="884"/>
      <c r="D69" s="858"/>
      <c r="E69" s="296">
        <v>1</v>
      </c>
      <c r="F69" s="296">
        <v>1.5</v>
      </c>
      <c r="G69" s="67"/>
      <c r="H69" s="298">
        <f>IF(H29+H35&gt;0,0.5,IF(G69&gt;=80%,F69,IF(G69&lt;65%,0,E69)))</f>
        <v>0</v>
      </c>
      <c r="R69" s="53"/>
      <c r="S69" s="45"/>
    </row>
    <row r="70" spans="1:19" s="29" customFormat="1">
      <c r="A70" s="417">
        <v>7.4</v>
      </c>
      <c r="B70" s="930" t="s">
        <v>441</v>
      </c>
      <c r="C70" s="930"/>
      <c r="D70" s="350" t="s">
        <v>2</v>
      </c>
      <c r="E70" s="296">
        <v>1</v>
      </c>
      <c r="F70" s="296">
        <v>1.5</v>
      </c>
      <c r="G70" s="67"/>
      <c r="H70" s="298">
        <f>IF(G70&gt;=80%,F70,IF(G70&lt;65%,0,E70))</f>
        <v>0</v>
      </c>
      <c r="R70" s="53"/>
      <c r="S70" s="45"/>
    </row>
    <row r="71" spans="1:19" s="29" customFormat="1" ht="15" customHeight="1">
      <c r="A71" s="526">
        <v>7.5</v>
      </c>
      <c r="B71" s="932" t="s">
        <v>422</v>
      </c>
      <c r="C71" s="932"/>
      <c r="D71" s="561" t="s">
        <v>420</v>
      </c>
      <c r="E71" s="855">
        <v>2</v>
      </c>
      <c r="F71" s="855"/>
      <c r="G71" s="546"/>
      <c r="H71" s="519">
        <f>IF(G71&gt;=5%,E71,0)</f>
        <v>0</v>
      </c>
      <c r="R71" s="53"/>
      <c r="S71" s="45"/>
    </row>
    <row r="72" spans="1:19" s="29" customFormat="1" ht="15.6">
      <c r="A72" s="421" t="s">
        <v>223</v>
      </c>
      <c r="B72" s="68" t="s">
        <v>231</v>
      </c>
      <c r="C72" s="69"/>
      <c r="D72" s="70"/>
      <c r="E72" s="71"/>
      <c r="F72" s="71"/>
      <c r="G72" s="71"/>
      <c r="H72" s="422"/>
      <c r="R72" s="53"/>
      <c r="S72" s="45"/>
    </row>
    <row r="73" spans="1:19" s="29" customFormat="1">
      <c r="A73" s="417">
        <v>8.1</v>
      </c>
      <c r="B73" s="852" t="s">
        <v>232</v>
      </c>
      <c r="C73" s="852"/>
      <c r="D73" s="5" t="s">
        <v>51</v>
      </c>
      <c r="E73" s="20">
        <v>2</v>
      </c>
      <c r="F73" s="20">
        <v>2.5</v>
      </c>
      <c r="G73" s="72"/>
      <c r="H73" s="405">
        <f>IF(G73&gt;=80%,F73,IF(G73&lt;65%,0,E73))</f>
        <v>0</v>
      </c>
      <c r="J73" s="73"/>
      <c r="R73" s="53"/>
      <c r="S73" s="45"/>
    </row>
    <row r="74" spans="1:19" s="29" customFormat="1">
      <c r="A74" s="417">
        <v>8.1999999999999993</v>
      </c>
      <c r="B74" s="852" t="s">
        <v>233</v>
      </c>
      <c r="C74" s="852"/>
      <c r="D74" s="5" t="s">
        <v>51</v>
      </c>
      <c r="E74" s="20">
        <v>2</v>
      </c>
      <c r="F74" s="20">
        <v>2.5</v>
      </c>
      <c r="G74" s="72"/>
      <c r="H74" s="405">
        <f>IF(G74&gt;=80%,F74,IF(G74&lt;65%,0,E74))</f>
        <v>0</v>
      </c>
      <c r="J74" s="11"/>
      <c r="K74" s="11"/>
      <c r="L74" s="11"/>
      <c r="R74" s="53"/>
      <c r="S74" s="45"/>
    </row>
    <row r="75" spans="1:19" s="29" customFormat="1">
      <c r="A75" s="417">
        <v>8.3000000000000007</v>
      </c>
      <c r="B75" s="874" t="s">
        <v>147</v>
      </c>
      <c r="C75" s="875"/>
      <c r="D75" s="5" t="s">
        <v>2</v>
      </c>
      <c r="E75" s="20">
        <v>2</v>
      </c>
      <c r="F75" s="20">
        <v>2.5</v>
      </c>
      <c r="G75" s="66"/>
      <c r="H75" s="405">
        <f>IF(G75&gt;=80%,F75,IF(G75&lt;65%,0,E75))</f>
        <v>0</v>
      </c>
      <c r="R75" s="53"/>
      <c r="S75" s="45"/>
    </row>
    <row r="76" spans="1:19" s="29" customFormat="1" ht="15.6">
      <c r="A76" s="421" t="s">
        <v>224</v>
      </c>
      <c r="B76" s="68" t="s">
        <v>234</v>
      </c>
      <c r="C76" s="69"/>
      <c r="D76" s="70"/>
      <c r="E76" s="71"/>
      <c r="F76" s="71"/>
      <c r="G76" s="71"/>
      <c r="H76" s="422"/>
      <c r="R76" s="53"/>
      <c r="S76" s="45"/>
    </row>
    <row r="77" spans="1:19" s="29" customFormat="1" ht="31.5" customHeight="1">
      <c r="A77" s="417">
        <v>9.1</v>
      </c>
      <c r="B77" s="852" t="s">
        <v>371</v>
      </c>
      <c r="C77" s="852"/>
      <c r="D77" s="5" t="s">
        <v>51</v>
      </c>
      <c r="E77" s="20">
        <v>2</v>
      </c>
      <c r="F77" s="20">
        <v>2.5</v>
      </c>
      <c r="G77" s="72"/>
      <c r="H77" s="405">
        <f>IF(G77&gt;=80%,F77,IF(G77&lt;65%,0,E77))</f>
        <v>0</v>
      </c>
      <c r="R77" s="53"/>
      <c r="S77" s="45"/>
    </row>
    <row r="78" spans="1:19" s="29" customFormat="1" ht="15.6">
      <c r="A78" s="423" t="s">
        <v>225</v>
      </c>
      <c r="B78" s="74" t="s">
        <v>213</v>
      </c>
      <c r="C78" s="58"/>
      <c r="D78" s="58"/>
      <c r="E78" s="75"/>
      <c r="F78" s="75"/>
      <c r="G78" s="76"/>
      <c r="H78" s="424"/>
      <c r="R78" s="53"/>
      <c r="S78" s="45"/>
    </row>
    <row r="79" spans="1:19" s="29" customFormat="1">
      <c r="A79" s="417">
        <v>10.1</v>
      </c>
      <c r="B79" s="848"/>
      <c r="C79" s="848"/>
      <c r="D79" s="77"/>
      <c r="E79" s="536"/>
      <c r="F79" s="536"/>
      <c r="G79" s="547"/>
      <c r="H79" s="405">
        <f>IF(G79&gt;=80%,F79,IF(G79&lt;65%,0,E79))</f>
        <v>0</v>
      </c>
      <c r="R79" s="53"/>
      <c r="S79" s="45"/>
    </row>
    <row r="80" spans="1:19" s="29" customFormat="1">
      <c r="A80" s="417">
        <v>10.199999999999999</v>
      </c>
      <c r="B80" s="848"/>
      <c r="C80" s="848"/>
      <c r="D80" s="77"/>
      <c r="E80" s="536"/>
      <c r="F80" s="536"/>
      <c r="G80" s="547"/>
      <c r="H80" s="405">
        <f>IF(G80&gt;=80%,F80,IF(G80&lt;65%,0,E80))</f>
        <v>0</v>
      </c>
      <c r="R80" s="53"/>
      <c r="S80" s="45"/>
    </row>
    <row r="81" spans="1:19" s="29" customFormat="1">
      <c r="A81" s="417">
        <v>10.3</v>
      </c>
      <c r="B81" s="848"/>
      <c r="C81" s="848"/>
      <c r="D81" s="77"/>
      <c r="E81" s="536"/>
      <c r="F81" s="536"/>
      <c r="G81" s="547"/>
      <c r="H81" s="405">
        <f>IF(G81&gt;=80%,F81,IF(G81&lt;65%,0,E81))</f>
        <v>0</v>
      </c>
      <c r="R81" s="53"/>
      <c r="S81" s="45"/>
    </row>
    <row r="82" spans="1:19" s="29" customFormat="1" ht="15.6">
      <c r="A82" s="425"/>
      <c r="B82" s="325"/>
      <c r="C82" s="323"/>
      <c r="D82" s="323"/>
      <c r="E82" s="326"/>
      <c r="F82" s="327"/>
      <c r="G82" s="328" t="s">
        <v>418</v>
      </c>
      <c r="H82" s="426">
        <f>IFERROR((SUM(H61:H81)),0)</f>
        <v>0</v>
      </c>
      <c r="R82" s="53"/>
      <c r="S82" s="45"/>
    </row>
    <row r="83" spans="1:19" s="29" customFormat="1">
      <c r="A83" s="412"/>
      <c r="B83" s="325"/>
      <c r="C83" s="323"/>
      <c r="D83" s="323"/>
      <c r="E83" s="323"/>
      <c r="F83" s="323"/>
      <c r="G83" s="329"/>
      <c r="H83" s="388"/>
      <c r="R83" s="53"/>
      <c r="S83" s="45"/>
    </row>
    <row r="84" spans="1:19" s="29" customFormat="1" ht="15.6">
      <c r="A84" s="412"/>
      <c r="B84" s="325"/>
      <c r="C84" s="323"/>
      <c r="D84" s="323"/>
      <c r="E84" s="323"/>
      <c r="F84" s="323"/>
      <c r="G84" s="330" t="s">
        <v>129</v>
      </c>
      <c r="H84" s="427">
        <f>IFERROR(MIN(G24,H56+H82),0)</f>
        <v>0</v>
      </c>
      <c r="R84" s="53"/>
      <c r="S84" s="45"/>
    </row>
    <row r="85" spans="1:19" s="29" customFormat="1" ht="16.2" thickBot="1">
      <c r="A85" s="491"/>
      <c r="B85" s="492"/>
      <c r="C85" s="493"/>
      <c r="D85" s="493"/>
      <c r="E85" s="493"/>
      <c r="F85" s="493"/>
      <c r="G85" s="496"/>
      <c r="H85" s="495"/>
      <c r="R85" s="53"/>
      <c r="S85" s="45"/>
    </row>
    <row r="86" spans="1:19" s="29" customFormat="1" ht="15.6">
      <c r="A86" s="486" t="s">
        <v>52</v>
      </c>
      <c r="B86" s="487"/>
      <c r="C86" s="487"/>
      <c r="D86" s="487"/>
      <c r="E86" s="487"/>
      <c r="F86" s="488" t="s">
        <v>43</v>
      </c>
      <c r="G86" s="489">
        <f>VLOOKUP($A$7,'Manpower allocation'!A4:D11,3,FALSE)*100</f>
        <v>40</v>
      </c>
      <c r="H86" s="490" t="s">
        <v>42</v>
      </c>
      <c r="J86" s="79">
        <f>VLOOKUP($A$7,'Manpower allocation'!A4:D11,3,FALSE)*100</f>
        <v>40</v>
      </c>
      <c r="R86" s="53"/>
      <c r="S86" s="45"/>
    </row>
    <row r="87" spans="1:19" s="29" customFormat="1" ht="15.6">
      <c r="A87" s="412"/>
      <c r="B87" s="331"/>
      <c r="C87" s="326"/>
      <c r="D87" s="323"/>
      <c r="E87" s="323"/>
      <c r="F87" s="323"/>
      <c r="G87" s="332"/>
      <c r="H87" s="388"/>
      <c r="R87" s="53"/>
      <c r="S87" s="45"/>
    </row>
    <row r="88" spans="1:19" s="29" customFormat="1" ht="46.8">
      <c r="A88" s="549" t="s">
        <v>0</v>
      </c>
      <c r="B88" s="550"/>
      <c r="C88" s="168"/>
      <c r="D88" s="80"/>
      <c r="E88" s="81" t="s">
        <v>17</v>
      </c>
      <c r="F88" s="82" t="s">
        <v>81</v>
      </c>
      <c r="G88" s="82" t="s">
        <v>20</v>
      </c>
      <c r="H88" s="428" t="s">
        <v>53</v>
      </c>
      <c r="R88" s="53"/>
      <c r="S88" s="45"/>
    </row>
    <row r="89" spans="1:19" s="29" customFormat="1" ht="15.6">
      <c r="A89" s="429" t="s">
        <v>303</v>
      </c>
      <c r="B89" s="83" t="s">
        <v>332</v>
      </c>
      <c r="C89" s="84"/>
      <c r="D89" s="84"/>
      <c r="E89" s="85"/>
      <c r="F89" s="85"/>
      <c r="G89" s="85"/>
      <c r="H89" s="430"/>
      <c r="R89" s="53"/>
      <c r="S89" s="45"/>
    </row>
    <row r="90" spans="1:19" s="29" customFormat="1" ht="15.6">
      <c r="A90" s="431">
        <v>1</v>
      </c>
      <c r="B90" s="86" t="s">
        <v>338</v>
      </c>
      <c r="C90" s="87"/>
      <c r="D90" s="87"/>
      <c r="E90" s="88"/>
      <c r="F90" s="88"/>
      <c r="G90" s="88"/>
      <c r="H90" s="432"/>
      <c r="R90" s="53"/>
      <c r="S90" s="45"/>
    </row>
    <row r="91" spans="1:19" s="29" customFormat="1">
      <c r="A91" s="417">
        <v>1.1000000000000001</v>
      </c>
      <c r="B91" s="885" t="s">
        <v>290</v>
      </c>
      <c r="C91" s="846"/>
      <c r="D91" s="845"/>
      <c r="E91" s="89">
        <f>VLOOKUP(A91,'Point Allocation'!$A$20:$J$40,MATCH(A7,'Point Allocation'!$A$20:$J$20,0),0)</f>
        <v>30</v>
      </c>
      <c r="F91" s="90"/>
      <c r="G91" s="91">
        <f>IFERROR(F91/$F$115,0)</f>
        <v>0</v>
      </c>
      <c r="H91" s="433">
        <f>E91*G91</f>
        <v>0</v>
      </c>
      <c r="R91" s="45"/>
      <c r="S91" s="45"/>
    </row>
    <row r="92" spans="1:19" s="29" customFormat="1" ht="15.6">
      <c r="A92" s="434">
        <v>2</v>
      </c>
      <c r="B92" s="92" t="s">
        <v>339</v>
      </c>
      <c r="C92" s="93"/>
      <c r="D92" s="94"/>
      <c r="E92" s="94"/>
      <c r="F92" s="95"/>
      <c r="G92" s="96"/>
      <c r="H92" s="435"/>
      <c r="R92" s="53"/>
      <c r="S92" s="45"/>
    </row>
    <row r="93" spans="1:19" s="29" customFormat="1">
      <c r="A93" s="849">
        <v>2.1</v>
      </c>
      <c r="B93" s="844" t="s">
        <v>207</v>
      </c>
      <c r="C93" s="846"/>
      <c r="D93" s="845"/>
      <c r="E93" s="853">
        <f>VLOOKUP(A93,'Point Allocation'!$A$20:$J$40,MATCH(A7,'Point Allocation'!$A$20:$J$20,0),0)</f>
        <v>28</v>
      </c>
      <c r="F93" s="854"/>
      <c r="G93" s="914">
        <f>IFERROR(F93/$F$115,0)</f>
        <v>0</v>
      </c>
      <c r="H93" s="921">
        <f>E93*G93</f>
        <v>0</v>
      </c>
      <c r="R93" s="53"/>
      <c r="S93" s="45"/>
    </row>
    <row r="94" spans="1:19" s="29" customFormat="1" ht="15.6">
      <c r="A94" s="841"/>
      <c r="B94" s="836" t="s">
        <v>120</v>
      </c>
      <c r="C94" s="837"/>
      <c r="D94" s="838"/>
      <c r="E94" s="853"/>
      <c r="F94" s="854"/>
      <c r="G94" s="914"/>
      <c r="H94" s="921"/>
      <c r="R94" s="53"/>
      <c r="S94" s="45"/>
    </row>
    <row r="95" spans="1:19" s="29" customFormat="1">
      <c r="A95" s="849">
        <v>2.2000000000000002</v>
      </c>
      <c r="B95" s="885" t="s">
        <v>178</v>
      </c>
      <c r="C95" s="886"/>
      <c r="D95" s="884"/>
      <c r="E95" s="853">
        <f>VLOOKUP(A95,'Point Allocation'!$A$20:$J$40,MATCH(A7,'Point Allocation'!$A$20:$J$20,0),0)</f>
        <v>28</v>
      </c>
      <c r="F95" s="854"/>
      <c r="G95" s="914">
        <f>IFERROR(F95/$F$115,0)</f>
        <v>0</v>
      </c>
      <c r="H95" s="921">
        <f>E95*G95</f>
        <v>0</v>
      </c>
      <c r="R95" s="53"/>
      <c r="S95" s="45"/>
    </row>
    <row r="96" spans="1:19" s="29" customFormat="1" ht="15.6">
      <c r="A96" s="882"/>
      <c r="B96" s="836" t="s">
        <v>120</v>
      </c>
      <c r="C96" s="837"/>
      <c r="D96" s="838"/>
      <c r="E96" s="853"/>
      <c r="F96" s="854"/>
      <c r="G96" s="914"/>
      <c r="H96" s="921"/>
      <c r="R96" s="53"/>
      <c r="S96" s="45"/>
    </row>
    <row r="97" spans="1:19" s="29" customFormat="1" ht="15.6">
      <c r="A97" s="431">
        <v>3</v>
      </c>
      <c r="B97" s="86" t="s">
        <v>340</v>
      </c>
      <c r="C97" s="93"/>
      <c r="D97" s="93"/>
      <c r="E97" s="95"/>
      <c r="F97" s="95"/>
      <c r="G97" s="96"/>
      <c r="H97" s="436"/>
      <c r="R97" s="53"/>
      <c r="S97" s="45"/>
    </row>
    <row r="98" spans="1:19" s="29" customFormat="1">
      <c r="A98" s="849">
        <v>3.1</v>
      </c>
      <c r="B98" s="844" t="s">
        <v>208</v>
      </c>
      <c r="C98" s="846"/>
      <c r="D98" s="845"/>
      <c r="E98" s="853">
        <f>VLOOKUP(A98,'Point Allocation'!$A$20:$J$40,MATCH(A7,'Point Allocation'!$A$20:$J$20,0),0)</f>
        <v>27</v>
      </c>
      <c r="F98" s="854"/>
      <c r="G98" s="914">
        <f>IFERROR(F98/$F$115,0)</f>
        <v>0</v>
      </c>
      <c r="H98" s="921">
        <f>E98*G98</f>
        <v>0</v>
      </c>
      <c r="R98" s="53"/>
      <c r="S98" s="45"/>
    </row>
    <row r="99" spans="1:19" s="29" customFormat="1" ht="15.6">
      <c r="A99" s="841"/>
      <c r="B99" s="836" t="s">
        <v>286</v>
      </c>
      <c r="C99" s="837"/>
      <c r="D99" s="838"/>
      <c r="E99" s="853"/>
      <c r="F99" s="854"/>
      <c r="G99" s="914"/>
      <c r="H99" s="921"/>
      <c r="R99" s="53"/>
      <c r="S99" s="45"/>
    </row>
    <row r="100" spans="1:19" s="29" customFormat="1" ht="15.6">
      <c r="A100" s="431">
        <v>4</v>
      </c>
      <c r="B100" s="86" t="s">
        <v>341</v>
      </c>
      <c r="C100" s="93"/>
      <c r="D100" s="93"/>
      <c r="E100" s="95"/>
      <c r="F100" s="95"/>
      <c r="G100" s="96"/>
      <c r="H100" s="436"/>
      <c r="R100" s="53"/>
      <c r="S100" s="45"/>
    </row>
    <row r="101" spans="1:19" s="29" customFormat="1" ht="30" customHeight="1">
      <c r="A101" s="418" t="s">
        <v>205</v>
      </c>
      <c r="B101" s="871" t="s">
        <v>292</v>
      </c>
      <c r="C101" s="872"/>
      <c r="D101" s="873"/>
      <c r="E101" s="97">
        <f>VLOOKUP(A101,'Point Allocation'!$A$20:$J$40,MATCH(A7,'Point Allocation'!$A$20:$J$20,0),0)</f>
        <v>25</v>
      </c>
      <c r="F101" s="537"/>
      <c r="G101" s="538">
        <f>IFERROR(F101/$F$115,0)</f>
        <v>0</v>
      </c>
      <c r="H101" s="437">
        <f>E101*G101</f>
        <v>0</v>
      </c>
      <c r="R101" s="912"/>
      <c r="S101" s="45"/>
    </row>
    <row r="102" spans="1:19" s="29" customFormat="1">
      <c r="A102" s="418" t="s">
        <v>206</v>
      </c>
      <c r="B102" s="871" t="s">
        <v>293</v>
      </c>
      <c r="C102" s="872"/>
      <c r="D102" s="873"/>
      <c r="E102" s="97">
        <f>VLOOKUP(A102,'Point Allocation'!$A$20:$J$40,MATCH(A7,'Point Allocation'!$A$20:$J$20,0),0)</f>
        <v>25</v>
      </c>
      <c r="F102" s="537"/>
      <c r="G102" s="538">
        <f>IFERROR(F102/$F$115,0)</f>
        <v>0</v>
      </c>
      <c r="H102" s="437">
        <f>E102*G102</f>
        <v>0</v>
      </c>
      <c r="R102" s="912"/>
      <c r="S102" s="45"/>
    </row>
    <row r="103" spans="1:19" s="29" customFormat="1">
      <c r="A103" s="417">
        <v>4.2</v>
      </c>
      <c r="B103" s="874" t="s">
        <v>209</v>
      </c>
      <c r="C103" s="931"/>
      <c r="D103" s="875"/>
      <c r="E103" s="97">
        <f>VLOOKUP(A103,'Point Allocation'!$A$20:$J$40,MATCH(A7,'Point Allocation'!$A$20:$J$20,0),0)</f>
        <v>25</v>
      </c>
      <c r="F103" s="537"/>
      <c r="G103" s="538">
        <f>IFERROR(F103/$F$115,0)</f>
        <v>0</v>
      </c>
      <c r="H103" s="437">
        <f>E103*G103</f>
        <v>0</v>
      </c>
      <c r="R103" s="53"/>
      <c r="S103" s="45"/>
    </row>
    <row r="104" spans="1:19" s="29" customFormat="1">
      <c r="A104" s="417">
        <v>4.3</v>
      </c>
      <c r="B104" s="922" t="s">
        <v>159</v>
      </c>
      <c r="C104" s="923"/>
      <c r="D104" s="924"/>
      <c r="E104" s="97">
        <f>VLOOKUP(A104,'Point Allocation'!$A$20:$J$40,MATCH(A7,'Point Allocation'!$A$20:$J$20,0),0)</f>
        <v>25</v>
      </c>
      <c r="F104" s="537"/>
      <c r="G104" s="538">
        <f>IFERROR(F104/$F$115,0)</f>
        <v>0</v>
      </c>
      <c r="H104" s="438">
        <f>E104*G104</f>
        <v>0</v>
      </c>
      <c r="R104" s="53"/>
      <c r="S104" s="45"/>
    </row>
    <row r="105" spans="1:19" s="29" customFormat="1">
      <c r="A105" s="417">
        <v>4.4000000000000004</v>
      </c>
      <c r="B105" s="922" t="s">
        <v>355</v>
      </c>
      <c r="C105" s="923"/>
      <c r="D105" s="924"/>
      <c r="E105" s="97">
        <f>VLOOKUP(A105,'Point Allocation'!$A$20:$J$40,MATCH(A7,'Point Allocation'!$A$20:$J$20,0),0)</f>
        <v>22</v>
      </c>
      <c r="F105" s="537"/>
      <c r="G105" s="538">
        <f>IFERROR(F105/$F$115,0)</f>
        <v>0</v>
      </c>
      <c r="H105" s="438">
        <f>E105*G105</f>
        <v>0</v>
      </c>
      <c r="R105" s="53"/>
      <c r="S105" s="45"/>
    </row>
    <row r="106" spans="1:19" s="29" customFormat="1" ht="15.6">
      <c r="A106" s="439" t="s">
        <v>304</v>
      </c>
      <c r="B106" s="99" t="s">
        <v>236</v>
      </c>
      <c r="C106" s="100"/>
      <c r="D106" s="101"/>
      <c r="E106" s="102"/>
      <c r="F106" s="103"/>
      <c r="G106" s="104"/>
      <c r="H106" s="440"/>
      <c r="R106" s="53"/>
      <c r="S106" s="45"/>
    </row>
    <row r="107" spans="1:19" s="29" customFormat="1" ht="15.6">
      <c r="A107" s="431">
        <v>5</v>
      </c>
      <c r="B107" s="86" t="s">
        <v>237</v>
      </c>
      <c r="C107" s="93"/>
      <c r="D107" s="93"/>
      <c r="E107" s="95"/>
      <c r="F107" s="95"/>
      <c r="G107" s="96"/>
      <c r="H107" s="436"/>
      <c r="R107" s="53"/>
      <c r="S107" s="45"/>
    </row>
    <row r="108" spans="1:19" s="29" customFormat="1">
      <c r="A108" s="417">
        <v>5.0999999999999996</v>
      </c>
      <c r="B108" s="844" t="s">
        <v>210</v>
      </c>
      <c r="C108" s="846"/>
      <c r="D108" s="845"/>
      <c r="E108" s="105">
        <f>VLOOKUP(A108,'Point Allocation'!$A$20:$J$40,MATCH(A7,'Point Allocation'!$A$20:$J$20,0),0)</f>
        <v>16</v>
      </c>
      <c r="F108" s="156"/>
      <c r="G108" s="538">
        <f>IFERROR(F108/$F$115,0)</f>
        <v>0</v>
      </c>
      <c r="H108" s="441">
        <f>E108*G108</f>
        <v>0</v>
      </c>
      <c r="R108" s="53"/>
      <c r="S108" s="45"/>
    </row>
    <row r="109" spans="1:19" s="29" customFormat="1">
      <c r="A109" s="417">
        <v>5.2</v>
      </c>
      <c r="B109" s="844" t="s">
        <v>356</v>
      </c>
      <c r="C109" s="846"/>
      <c r="D109" s="845"/>
      <c r="E109" s="105">
        <f>VLOOKUP(A109,'Point Allocation'!$A$20:$J$40,MATCH(A7,'Point Allocation'!$A$20:$J$20,0),0)</f>
        <v>5</v>
      </c>
      <c r="F109" s="90"/>
      <c r="G109" s="538">
        <f>IFERROR(F109/$F$115,0)</f>
        <v>0</v>
      </c>
      <c r="H109" s="441">
        <f>E109*G109</f>
        <v>0</v>
      </c>
      <c r="R109" s="53"/>
      <c r="S109" s="45"/>
    </row>
    <row r="110" spans="1:19" s="29" customFormat="1">
      <c r="A110" s="417">
        <v>5.3</v>
      </c>
      <c r="B110" s="844" t="s">
        <v>357</v>
      </c>
      <c r="C110" s="846"/>
      <c r="D110" s="845"/>
      <c r="E110" s="105">
        <f>VLOOKUP(A110,'Point Allocation'!$A$20:$J$40,MATCH(A7,'Point Allocation'!$A$20:$J$20,0),0)</f>
        <v>0</v>
      </c>
      <c r="F110" s="155"/>
      <c r="G110" s="538">
        <f>IFERROR(F110/$F$115,0)</f>
        <v>0</v>
      </c>
      <c r="H110" s="442">
        <f>E110*G110</f>
        <v>0</v>
      </c>
      <c r="R110" s="53"/>
      <c r="S110" s="45"/>
    </row>
    <row r="111" spans="1:19" s="29" customFormat="1" ht="15.6">
      <c r="A111" s="443">
        <v>6</v>
      </c>
      <c r="B111" s="106" t="s">
        <v>213</v>
      </c>
      <c r="C111" s="93"/>
      <c r="D111" s="93"/>
      <c r="E111" s="95"/>
      <c r="F111" s="95"/>
      <c r="G111" s="96"/>
      <c r="H111" s="436"/>
      <c r="R111" s="53"/>
      <c r="S111" s="45"/>
    </row>
    <row r="112" spans="1:19" s="29" customFormat="1">
      <c r="A112" s="444">
        <v>6.1</v>
      </c>
      <c r="B112" s="826"/>
      <c r="C112" s="821"/>
      <c r="D112" s="847"/>
      <c r="E112" s="537"/>
      <c r="F112" s="537"/>
      <c r="G112" s="538">
        <f>IFERROR(F112/$F$115,0)</f>
        <v>0</v>
      </c>
      <c r="H112" s="442">
        <f>E112*G112</f>
        <v>0</v>
      </c>
      <c r="R112" s="53"/>
      <c r="S112" s="45"/>
    </row>
    <row r="113" spans="1:19" s="29" customFormat="1">
      <c r="A113" s="444">
        <v>6.2</v>
      </c>
      <c r="B113" s="826"/>
      <c r="C113" s="821"/>
      <c r="D113" s="847"/>
      <c r="E113" s="537"/>
      <c r="F113" s="537"/>
      <c r="G113" s="538">
        <f>IFERROR(F113/$F$115,0)</f>
        <v>0</v>
      </c>
      <c r="H113" s="442">
        <f>E113*G113</f>
        <v>0</v>
      </c>
      <c r="R113" s="53"/>
      <c r="S113" s="45"/>
    </row>
    <row r="114" spans="1:19" s="29" customFormat="1">
      <c r="A114" s="444">
        <v>6.3</v>
      </c>
      <c r="B114" s="848"/>
      <c r="C114" s="848"/>
      <c r="D114" s="848"/>
      <c r="E114" s="537"/>
      <c r="F114" s="537"/>
      <c r="G114" s="538">
        <f>IFERROR(F114/$F$115,0)</f>
        <v>0</v>
      </c>
      <c r="H114" s="442">
        <f>E114*G114</f>
        <v>0</v>
      </c>
      <c r="R114" s="53"/>
      <c r="S114" s="45"/>
    </row>
    <row r="115" spans="1:19" s="29" customFormat="1" ht="15.6">
      <c r="A115" s="425"/>
      <c r="B115" s="325"/>
      <c r="C115" s="323"/>
      <c r="D115" s="323"/>
      <c r="E115" s="330" t="s">
        <v>62</v>
      </c>
      <c r="F115" s="333">
        <f>SUM(F91:F114)+E19</f>
        <v>0</v>
      </c>
      <c r="G115" s="334">
        <f>SUM(G91:G114)+F19</f>
        <v>0</v>
      </c>
      <c r="H115" s="445">
        <f>IFERROR(SUM(H91:H114),0)</f>
        <v>0</v>
      </c>
      <c r="R115" s="53"/>
      <c r="S115" s="45"/>
    </row>
    <row r="116" spans="1:19" s="29" customFormat="1" ht="15.6" thickBot="1">
      <c r="A116" s="491"/>
      <c r="B116" s="492"/>
      <c r="C116" s="493"/>
      <c r="D116" s="493"/>
      <c r="E116" s="493"/>
      <c r="F116" s="493"/>
      <c r="G116" s="480"/>
      <c r="H116" s="639"/>
      <c r="R116" s="53"/>
      <c r="S116" s="45"/>
    </row>
    <row r="117" spans="1:19" s="29" customFormat="1" ht="31.2">
      <c r="A117" s="640" t="s">
        <v>0</v>
      </c>
      <c r="B117" s="641"/>
      <c r="C117" s="641"/>
      <c r="D117" s="642" t="s">
        <v>17</v>
      </c>
      <c r="E117" s="643" t="s">
        <v>81</v>
      </c>
      <c r="F117" s="644" t="s">
        <v>335</v>
      </c>
      <c r="G117" s="644" t="s">
        <v>336</v>
      </c>
      <c r="H117" s="645" t="s">
        <v>53</v>
      </c>
      <c r="R117" s="53"/>
      <c r="S117" s="45"/>
    </row>
    <row r="118" spans="1:19" s="29" customFormat="1" ht="15.6">
      <c r="A118" s="429" t="s">
        <v>238</v>
      </c>
      <c r="B118" s="83" t="s">
        <v>333</v>
      </c>
      <c r="C118" s="84"/>
      <c r="D118" s="85"/>
      <c r="E118" s="85"/>
      <c r="F118" s="85"/>
      <c r="G118" s="85"/>
      <c r="H118" s="430"/>
      <c r="R118" s="53"/>
      <c r="S118" s="45"/>
    </row>
    <row r="119" spans="1:19" s="29" customFormat="1" ht="15.6">
      <c r="A119" s="431">
        <v>7</v>
      </c>
      <c r="B119" s="86" t="s">
        <v>338</v>
      </c>
      <c r="C119" s="87"/>
      <c r="D119" s="88"/>
      <c r="E119" s="88"/>
      <c r="F119" s="88"/>
      <c r="G119" s="88"/>
      <c r="H119" s="432"/>
      <c r="R119" s="53"/>
      <c r="S119" s="45"/>
    </row>
    <row r="120" spans="1:19" s="29" customFormat="1" ht="15" customHeight="1">
      <c r="A120" s="404">
        <v>7.1</v>
      </c>
      <c r="B120" s="885" t="s">
        <v>290</v>
      </c>
      <c r="C120" s="884"/>
      <c r="D120" s="98">
        <f>VLOOKUP(A120,'Point Allocation'!$A$20:$J$41,MATCH(A7,'Point Allocation'!$A$20:$J$20,0),0)</f>
        <v>10</v>
      </c>
      <c r="E120" s="89">
        <f>F91</f>
        <v>0</v>
      </c>
      <c r="F120" s="89">
        <f>F29</f>
        <v>0</v>
      </c>
      <c r="G120" s="91">
        <f>IFERROR(SUM(E120:F120)/SUM($E$138:$F$138),0)</f>
        <v>0</v>
      </c>
      <c r="H120" s="433">
        <f>D120*G120</f>
        <v>0</v>
      </c>
      <c r="R120" s="53"/>
      <c r="S120" s="45"/>
    </row>
    <row r="121" spans="1:19" s="29" customFormat="1" ht="15.6">
      <c r="A121" s="434">
        <v>8</v>
      </c>
      <c r="B121" s="92" t="s">
        <v>339</v>
      </c>
      <c r="C121" s="93"/>
      <c r="D121" s="94"/>
      <c r="E121" s="95"/>
      <c r="F121" s="95"/>
      <c r="G121" s="96"/>
      <c r="H121" s="435"/>
      <c r="R121" s="53"/>
      <c r="S121" s="45"/>
    </row>
    <row r="122" spans="1:19" s="29" customFormat="1">
      <c r="A122" s="849">
        <v>8.1</v>
      </c>
      <c r="B122" s="844" t="s">
        <v>337</v>
      </c>
      <c r="C122" s="845"/>
      <c r="D122" s="925">
        <f>VLOOKUP(A122,'Point Allocation'!$A$20:$J$41,MATCH(A7,'Point Allocation'!$A$20:$J$20,0),0)</f>
        <v>8</v>
      </c>
      <c r="E122" s="927">
        <f>F93</f>
        <v>0</v>
      </c>
      <c r="F122" s="859"/>
      <c r="G122" s="860">
        <f>IFERROR(SUM(E122:F123)/SUM($E$138:$F$138),0)</f>
        <v>0</v>
      </c>
      <c r="H122" s="921">
        <f>D122*G122</f>
        <v>0</v>
      </c>
      <c r="R122" s="53"/>
      <c r="S122" s="45"/>
    </row>
    <row r="123" spans="1:19" s="29" customFormat="1" ht="15.6">
      <c r="A123" s="882"/>
      <c r="B123" s="836" t="s">
        <v>120</v>
      </c>
      <c r="C123" s="838"/>
      <c r="D123" s="926"/>
      <c r="E123" s="927"/>
      <c r="F123" s="859"/>
      <c r="G123" s="861"/>
      <c r="H123" s="921"/>
      <c r="R123" s="53"/>
      <c r="S123" s="45"/>
    </row>
    <row r="124" spans="1:19" s="29" customFormat="1">
      <c r="A124" s="404">
        <v>8.1999999999999993</v>
      </c>
      <c r="B124" s="885" t="s">
        <v>178</v>
      </c>
      <c r="C124" s="884"/>
      <c r="D124" s="98">
        <f>VLOOKUP(A124,'Point Allocation'!$A$20:$J$41,MATCH(A7,'Point Allocation'!$A$20:$J$20,0),0)</f>
        <v>8</v>
      </c>
      <c r="E124" s="189">
        <f>F95</f>
        <v>0</v>
      </c>
      <c r="F124" s="548"/>
      <c r="G124" s="91">
        <f>IFERROR(SUM(E124:F124)/SUM($E$138:$F$138),0)</f>
        <v>0</v>
      </c>
      <c r="H124" s="437">
        <f>D124*G124</f>
        <v>0</v>
      </c>
      <c r="R124" s="53"/>
      <c r="S124" s="45"/>
    </row>
    <row r="125" spans="1:19" s="29" customFormat="1" ht="15.6">
      <c r="A125" s="431">
        <v>9</v>
      </c>
      <c r="B125" s="86" t="s">
        <v>340</v>
      </c>
      <c r="C125" s="93"/>
      <c r="D125" s="95"/>
      <c r="E125" s="95"/>
      <c r="F125" s="95"/>
      <c r="G125" s="96"/>
      <c r="H125" s="436"/>
      <c r="R125" s="53"/>
      <c r="S125" s="45"/>
    </row>
    <row r="126" spans="1:19" s="29" customFormat="1">
      <c r="A126" s="849">
        <v>9.1</v>
      </c>
      <c r="B126" s="844" t="s">
        <v>381</v>
      </c>
      <c r="C126" s="845"/>
      <c r="D126" s="925">
        <f>VLOOKUP(A126,'Point Allocation'!$A$20:$J$41,MATCH(A7,'Point Allocation'!$A$20:$J$20,0),0)</f>
        <v>6</v>
      </c>
      <c r="E126" s="859"/>
      <c r="F126" s="859"/>
      <c r="G126" s="914">
        <f>IFERROR(SUM(E126:F127)/SUM($E$138:$F$138),0)</f>
        <v>0</v>
      </c>
      <c r="H126" s="921">
        <f>D126*G126</f>
        <v>0</v>
      </c>
      <c r="R126" s="53"/>
      <c r="S126" s="45"/>
    </row>
    <row r="127" spans="1:19" s="29" customFormat="1" ht="15.6">
      <c r="A127" s="882"/>
      <c r="B127" s="836" t="s">
        <v>5</v>
      </c>
      <c r="C127" s="838"/>
      <c r="D127" s="926"/>
      <c r="E127" s="859"/>
      <c r="F127" s="859"/>
      <c r="G127" s="914"/>
      <c r="H127" s="921"/>
      <c r="R127" s="53"/>
      <c r="S127" s="45"/>
    </row>
    <row r="128" spans="1:19" s="29" customFormat="1" ht="15.6">
      <c r="A128" s="431">
        <v>10</v>
      </c>
      <c r="B128" s="86" t="s">
        <v>342</v>
      </c>
      <c r="C128" s="93"/>
      <c r="D128" s="95"/>
      <c r="E128" s="95"/>
      <c r="F128" s="95"/>
      <c r="G128" s="96"/>
      <c r="H128" s="436"/>
      <c r="R128" s="53"/>
      <c r="S128" s="45"/>
    </row>
    <row r="129" spans="1:19" s="29" customFormat="1" ht="15" customHeight="1">
      <c r="A129" s="409">
        <v>10.1</v>
      </c>
      <c r="B129" s="844" t="s">
        <v>382</v>
      </c>
      <c r="C129" s="845"/>
      <c r="D129" s="98">
        <f>VLOOKUP(A129,'Point Allocation'!$A$20:$J$41,MATCH(A7,'Point Allocation'!$A$20:$J$20,0),0)</f>
        <v>4</v>
      </c>
      <c r="E129" s="548"/>
      <c r="F129" s="548"/>
      <c r="G129" s="91">
        <f>IFERROR(SUM(E129:F129)/SUM($E$138:$F$138),0)</f>
        <v>0</v>
      </c>
      <c r="H129" s="437">
        <f>D129*G129</f>
        <v>0</v>
      </c>
      <c r="R129" s="53"/>
      <c r="S129" s="45"/>
    </row>
    <row r="130" spans="1:19" s="29" customFormat="1" ht="32.25" customHeight="1">
      <c r="A130" s="406">
        <v>10.199999999999999</v>
      </c>
      <c r="B130" s="928" t="s">
        <v>353</v>
      </c>
      <c r="C130" s="929"/>
      <c r="D130" s="98">
        <f>VLOOKUP(A130,'Point Allocation'!$A$20:$J$41,MATCH(A7,'Point Allocation'!$A$20:$J$20,0),0)</f>
        <v>4</v>
      </c>
      <c r="E130" s="188"/>
      <c r="F130" s="548"/>
      <c r="G130" s="538">
        <f>IFERROR(SUM(E130:F130)/SUM($E$138:$F$138),0)</f>
        <v>0</v>
      </c>
      <c r="H130" s="437">
        <f>D130*G130</f>
        <v>0</v>
      </c>
      <c r="R130" s="53"/>
      <c r="S130" s="45"/>
    </row>
    <row r="131" spans="1:19" s="29" customFormat="1" ht="15.6">
      <c r="A131" s="439" t="s">
        <v>239</v>
      </c>
      <c r="B131" s="99" t="s">
        <v>262</v>
      </c>
      <c r="C131" s="100"/>
      <c r="D131" s="102"/>
      <c r="E131" s="103"/>
      <c r="F131" s="103"/>
      <c r="G131" s="104"/>
      <c r="H131" s="440"/>
      <c r="R131" s="53"/>
      <c r="S131" s="45"/>
    </row>
    <row r="132" spans="1:19" s="29" customFormat="1" ht="15.6">
      <c r="A132" s="431">
        <v>11</v>
      </c>
      <c r="B132" s="86" t="s">
        <v>263</v>
      </c>
      <c r="C132" s="93"/>
      <c r="D132" s="95"/>
      <c r="E132" s="95"/>
      <c r="F132" s="95"/>
      <c r="G132" s="96"/>
      <c r="H132" s="436"/>
      <c r="R132" s="53"/>
      <c r="S132" s="45"/>
    </row>
    <row r="133" spans="1:19" s="29" customFormat="1">
      <c r="A133" s="409">
        <v>11.1</v>
      </c>
      <c r="B133" s="844" t="s">
        <v>593</v>
      </c>
      <c r="C133" s="845"/>
      <c r="D133" s="98">
        <f>VLOOKUP(A133,'Point Allocation'!$A$20:$J$41,MATCH(A7,'Point Allocation'!$A$20:$J$20,0),0)</f>
        <v>2</v>
      </c>
      <c r="E133" s="548"/>
      <c r="F133" s="548"/>
      <c r="G133" s="538">
        <f>IFERROR(SUM(E133:F133)/SUM($E$138:$F$138),0)</f>
        <v>0</v>
      </c>
      <c r="H133" s="437">
        <f t="shared" ref="H133:H137" si="2">D133*G133</f>
        <v>0</v>
      </c>
      <c r="R133" s="53"/>
      <c r="S133" s="45"/>
    </row>
    <row r="134" spans="1:19" s="29" customFormat="1">
      <c r="A134" s="446">
        <v>11.2</v>
      </c>
      <c r="B134" s="874" t="s">
        <v>344</v>
      </c>
      <c r="C134" s="875"/>
      <c r="D134" s="189">
        <f>VLOOKUP(A133,'Point Allocation'!$A$20:$J$41,MATCH(A7,'Point Allocation'!$A$20:$J$20,0),0)</f>
        <v>2</v>
      </c>
      <c r="E134" s="548"/>
      <c r="F134" s="548"/>
      <c r="G134" s="538">
        <f>IFERROR(SUM(E134:F134)/SUM($E$138:$F$138),0)</f>
        <v>0</v>
      </c>
      <c r="H134" s="437">
        <f t="shared" si="2"/>
        <v>0</v>
      </c>
      <c r="R134" s="53"/>
      <c r="S134" s="45"/>
    </row>
    <row r="135" spans="1:19" s="29" customFormat="1">
      <c r="A135" s="409">
        <v>11.3</v>
      </c>
      <c r="B135" s="874" t="s">
        <v>352</v>
      </c>
      <c r="C135" s="875"/>
      <c r="D135" s="98">
        <f>VLOOKUP(A135,'Point Allocation'!$A$20:$J$41,MATCH(A7,'Point Allocation'!$A$20:$J$20,0),0)</f>
        <v>0</v>
      </c>
      <c r="E135" s="548"/>
      <c r="F135" s="548"/>
      <c r="G135" s="538">
        <f>IFERROR(SUM(E135:F135)/SUM($E$138:$F$138),0)</f>
        <v>0</v>
      </c>
      <c r="H135" s="437">
        <f t="shared" si="2"/>
        <v>0</v>
      </c>
      <c r="R135" s="53"/>
      <c r="S135" s="45"/>
    </row>
    <row r="136" spans="1:19" s="29" customFormat="1">
      <c r="A136" s="447">
        <v>11.4</v>
      </c>
      <c r="B136" s="866"/>
      <c r="C136" s="867"/>
      <c r="D136" s="537"/>
      <c r="E136" s="548"/>
      <c r="F136" s="548"/>
      <c r="G136" s="538">
        <f>IFERROR(SUM(E136:F136)/SUM($E$138:$F$138),0)</f>
        <v>0</v>
      </c>
      <c r="H136" s="437">
        <f t="shared" si="2"/>
        <v>0</v>
      </c>
      <c r="R136" s="53"/>
      <c r="S136" s="45"/>
    </row>
    <row r="137" spans="1:19" s="29" customFormat="1">
      <c r="A137" s="447">
        <v>11.5</v>
      </c>
      <c r="B137" s="866"/>
      <c r="C137" s="867"/>
      <c r="D137" s="537"/>
      <c r="E137" s="548"/>
      <c r="F137" s="548"/>
      <c r="G137" s="538">
        <f>IFERROR(SUM(E137:F137)/SUM($E$138:$F$138),0)</f>
        <v>0</v>
      </c>
      <c r="H137" s="437">
        <f t="shared" si="2"/>
        <v>0</v>
      </c>
      <c r="R137" s="53"/>
      <c r="S137" s="45"/>
    </row>
    <row r="138" spans="1:19" s="29" customFormat="1" ht="15.6">
      <c r="A138" s="412"/>
      <c r="B138" s="325"/>
      <c r="C138" s="323"/>
      <c r="D138" s="330" t="s">
        <v>140</v>
      </c>
      <c r="E138" s="333">
        <f>SUM(E120:E137)</f>
        <v>0</v>
      </c>
      <c r="F138" s="335">
        <f>SUM(F120:F137)</f>
        <v>0</v>
      </c>
      <c r="G138" s="336">
        <f>SUM(G120:G137)</f>
        <v>0</v>
      </c>
      <c r="H138" s="448">
        <f>IFERROR(SUM(H120:H137),0)</f>
        <v>0</v>
      </c>
      <c r="R138" s="53"/>
      <c r="S138" s="45"/>
    </row>
    <row r="139" spans="1:19" s="29" customFormat="1">
      <c r="A139" s="414"/>
      <c r="B139" s="325"/>
      <c r="C139" s="323"/>
      <c r="D139" s="323"/>
      <c r="E139" s="323"/>
      <c r="F139" s="323"/>
      <c r="G139" s="332"/>
      <c r="H139" s="388"/>
      <c r="R139" s="53"/>
      <c r="S139" s="45"/>
    </row>
    <row r="140" spans="1:19" s="29" customFormat="1" ht="46.8">
      <c r="A140" s="868" t="s">
        <v>0</v>
      </c>
      <c r="B140" s="869"/>
      <c r="C140" s="176"/>
      <c r="D140" s="545" t="s">
        <v>58</v>
      </c>
      <c r="E140" s="545" t="s">
        <v>59</v>
      </c>
      <c r="F140" s="870" t="s">
        <v>60</v>
      </c>
      <c r="G140" s="870"/>
      <c r="H140" s="449" t="s">
        <v>63</v>
      </c>
      <c r="K140" s="107" t="s">
        <v>72</v>
      </c>
      <c r="L140" s="107">
        <v>1</v>
      </c>
      <c r="M140" s="107">
        <v>2</v>
      </c>
      <c r="N140" s="107">
        <v>3</v>
      </c>
      <c r="O140" s="107">
        <v>4</v>
      </c>
      <c r="P140" s="107">
        <v>5</v>
      </c>
      <c r="Q140" s="107">
        <v>6</v>
      </c>
      <c r="R140" s="53"/>
      <c r="S140" s="45"/>
    </row>
    <row r="141" spans="1:19" s="29" customFormat="1" ht="15.6">
      <c r="A141" s="450" t="s">
        <v>240</v>
      </c>
      <c r="B141" s="130" t="s">
        <v>148</v>
      </c>
      <c r="C141" s="175"/>
      <c r="D141" s="57"/>
      <c r="E141" s="57"/>
      <c r="F141" s="58"/>
      <c r="G141" s="108"/>
      <c r="H141" s="451"/>
      <c r="K141" s="107" t="s">
        <v>74</v>
      </c>
      <c r="L141" s="107" t="s">
        <v>73</v>
      </c>
      <c r="M141" s="107">
        <v>1</v>
      </c>
      <c r="N141" s="107">
        <v>2</v>
      </c>
      <c r="O141" s="107">
        <v>3</v>
      </c>
      <c r="P141" s="107">
        <v>4</v>
      </c>
      <c r="Q141" s="107">
        <v>4</v>
      </c>
      <c r="R141" s="53"/>
      <c r="S141" s="45"/>
    </row>
    <row r="142" spans="1:19" s="29" customFormat="1">
      <c r="A142" s="391" t="s">
        <v>241</v>
      </c>
      <c r="B142" s="520" t="s">
        <v>442</v>
      </c>
      <c r="C142" s="177" t="s">
        <v>56</v>
      </c>
      <c r="D142" s="854"/>
      <c r="E142" s="854"/>
      <c r="F142" s="892" t="str">
        <f>IF(D142&gt;9,D142/E142," ")</f>
        <v xml:space="preserve"> </v>
      </c>
      <c r="G142" s="892"/>
      <c r="H142" s="437">
        <f>IF(D142="",0,IF(D142&lt;9,2,IF((D142/E142)=0,2,IF((D142/E142)&lt;10%,1.5,IF((D142/E142)&lt;15%,1,IF((D142/E142)&lt;20%,0.5,0))))))</f>
        <v>0</v>
      </c>
      <c r="K142" s="107" t="s">
        <v>75</v>
      </c>
      <c r="L142" s="107" t="s">
        <v>73</v>
      </c>
      <c r="M142" s="107">
        <v>5</v>
      </c>
      <c r="N142" s="107">
        <v>15</v>
      </c>
      <c r="O142" s="107">
        <v>25</v>
      </c>
      <c r="P142" s="107">
        <v>35</v>
      </c>
      <c r="Q142" s="107">
        <v>35</v>
      </c>
      <c r="R142" s="53"/>
      <c r="S142" s="45"/>
    </row>
    <row r="143" spans="1:19" s="29" customFormat="1">
      <c r="A143" s="391" t="s">
        <v>242</v>
      </c>
      <c r="B143" s="520" t="s">
        <v>443</v>
      </c>
      <c r="C143" s="177" t="s">
        <v>57</v>
      </c>
      <c r="D143" s="854"/>
      <c r="E143" s="854"/>
      <c r="F143" s="893"/>
      <c r="G143" s="893"/>
      <c r="H143" s="437">
        <f>IF(E142="",0,IF(E142&lt;15,HLOOKUP(F143,K140:Q147,4,FALSE),IF(E142&lt;45,HLOOKUP(F143,K140:Q147,5,FALSE),IF(E142&lt;90,HLOOKUP(F143,K140:Q147,6,FALSE),IF(E142&lt;135,HLOOKUP(F143,K140:Q147,7,FALSE),IF(E142&gt;=135,HLOOKUP(F143,K140:Q147,8,FALSE),3))))))</f>
        <v>0</v>
      </c>
      <c r="J143" s="55"/>
      <c r="K143" s="107" t="s">
        <v>76</v>
      </c>
      <c r="L143" s="107">
        <v>3</v>
      </c>
      <c r="M143" s="107">
        <v>3</v>
      </c>
      <c r="N143" s="107">
        <v>3</v>
      </c>
      <c r="O143" s="107">
        <v>2.5</v>
      </c>
      <c r="P143" s="107">
        <v>1.5</v>
      </c>
      <c r="Q143" s="107">
        <v>0</v>
      </c>
      <c r="R143" s="53"/>
      <c r="S143" s="45"/>
    </row>
    <row r="144" spans="1:19" s="29" customFormat="1">
      <c r="A144" s="412"/>
      <c r="B144" s="325"/>
      <c r="C144" s="332"/>
      <c r="D144" s="337"/>
      <c r="E144" s="337"/>
      <c r="F144" s="337"/>
      <c r="G144" s="337"/>
      <c r="H144" s="452"/>
      <c r="J144" s="55"/>
      <c r="K144" s="107" t="s">
        <v>77</v>
      </c>
      <c r="L144" s="107">
        <v>3</v>
      </c>
      <c r="M144" s="107">
        <v>3</v>
      </c>
      <c r="N144" s="107">
        <v>2.5</v>
      </c>
      <c r="O144" s="107">
        <v>1.5</v>
      </c>
      <c r="P144" s="107">
        <v>1</v>
      </c>
      <c r="Q144" s="107">
        <v>0</v>
      </c>
      <c r="R144" s="53"/>
      <c r="S144" s="45"/>
    </row>
    <row r="145" spans="1:19" s="29" customFormat="1" ht="15.6">
      <c r="A145" s="412"/>
      <c r="B145" s="338"/>
      <c r="C145" s="332"/>
      <c r="D145" s="332"/>
      <c r="E145" s="332"/>
      <c r="F145" s="323"/>
      <c r="G145" s="339"/>
      <c r="H145" s="453"/>
      <c r="J145" s="55"/>
      <c r="K145" s="107" t="s">
        <v>78</v>
      </c>
      <c r="L145" s="107">
        <v>3</v>
      </c>
      <c r="M145" s="107">
        <v>2.5</v>
      </c>
      <c r="N145" s="107">
        <v>1.5</v>
      </c>
      <c r="O145" s="107">
        <v>1</v>
      </c>
      <c r="P145" s="107">
        <v>0</v>
      </c>
      <c r="Q145" s="107">
        <v>0</v>
      </c>
      <c r="R145" s="53"/>
      <c r="S145" s="45"/>
    </row>
    <row r="146" spans="1:19" s="29" customFormat="1" ht="15.75" customHeight="1">
      <c r="A146" s="876" t="s">
        <v>0</v>
      </c>
      <c r="B146" s="877"/>
      <c r="C146" s="991"/>
      <c r="D146" s="880" t="s">
        <v>4</v>
      </c>
      <c r="E146" s="895" t="s">
        <v>1</v>
      </c>
      <c r="F146" s="881"/>
      <c r="G146" s="896" t="s">
        <v>21</v>
      </c>
      <c r="H146" s="890" t="s">
        <v>63</v>
      </c>
      <c r="J146" s="55"/>
      <c r="K146" s="107" t="s">
        <v>79</v>
      </c>
      <c r="L146" s="107">
        <v>3</v>
      </c>
      <c r="M146" s="107">
        <v>1.5</v>
      </c>
      <c r="N146" s="107">
        <v>1</v>
      </c>
      <c r="O146" s="107">
        <v>0</v>
      </c>
      <c r="P146" s="107">
        <v>0</v>
      </c>
      <c r="Q146" s="107">
        <v>0</v>
      </c>
      <c r="R146" s="53"/>
      <c r="S146" s="45"/>
    </row>
    <row r="147" spans="1:19" s="29" customFormat="1" ht="30" customHeight="1">
      <c r="A147" s="878"/>
      <c r="B147" s="879"/>
      <c r="C147" s="992"/>
      <c r="D147" s="881"/>
      <c r="E147" s="545" t="s">
        <v>65</v>
      </c>
      <c r="F147" s="545" t="s">
        <v>66</v>
      </c>
      <c r="G147" s="897"/>
      <c r="H147" s="891"/>
      <c r="J147" s="55"/>
      <c r="K147" s="107" t="s">
        <v>80</v>
      </c>
      <c r="L147" s="107">
        <v>3</v>
      </c>
      <c r="M147" s="107">
        <v>1</v>
      </c>
      <c r="N147" s="107">
        <v>0</v>
      </c>
      <c r="O147" s="107">
        <v>0</v>
      </c>
      <c r="P147" s="107">
        <v>0</v>
      </c>
      <c r="Q147" s="107">
        <v>0</v>
      </c>
      <c r="R147" s="53"/>
      <c r="S147" s="45"/>
    </row>
    <row r="148" spans="1:19" s="29" customFormat="1" ht="15.6">
      <c r="A148" s="454" t="s">
        <v>243</v>
      </c>
      <c r="B148" s="109" t="s">
        <v>264</v>
      </c>
      <c r="C148" s="110"/>
      <c r="D148" s="110"/>
      <c r="E148" s="110"/>
      <c r="F148" s="114"/>
      <c r="G148" s="115"/>
      <c r="H148" s="455"/>
      <c r="K148" s="107" t="s">
        <v>74</v>
      </c>
      <c r="L148" s="107" t="s">
        <v>73</v>
      </c>
      <c r="M148" s="107">
        <v>1</v>
      </c>
      <c r="N148" s="107">
        <v>2</v>
      </c>
      <c r="O148" s="107">
        <v>3</v>
      </c>
      <c r="P148" s="107">
        <v>4</v>
      </c>
      <c r="Q148" s="107">
        <v>4</v>
      </c>
      <c r="R148" s="53"/>
      <c r="S148" s="45"/>
    </row>
    <row r="149" spans="1:19" s="29" customFormat="1" ht="15.6">
      <c r="A149" s="456" t="s">
        <v>244</v>
      </c>
      <c r="B149" s="158" t="s">
        <v>231</v>
      </c>
      <c r="C149" s="159"/>
      <c r="D149" s="160"/>
      <c r="E149" s="161"/>
      <c r="F149" s="161"/>
      <c r="G149" s="162"/>
      <c r="H149" s="457"/>
      <c r="J149" s="55"/>
      <c r="R149" s="53"/>
      <c r="S149" s="45"/>
    </row>
    <row r="150" spans="1:19" s="29" customFormat="1">
      <c r="A150" s="418" t="s">
        <v>245</v>
      </c>
      <c r="B150" s="885" t="s">
        <v>424</v>
      </c>
      <c r="C150" s="884"/>
      <c r="D150" s="163" t="s">
        <v>51</v>
      </c>
      <c r="E150" s="541">
        <v>2</v>
      </c>
      <c r="F150" s="541">
        <v>3</v>
      </c>
      <c r="G150" s="27"/>
      <c r="H150" s="405">
        <f t="shared" ref="H150:H159" si="3">IF(G150&gt;=80%,F150,IF(G150&lt;65%,0,E150))</f>
        <v>0</v>
      </c>
      <c r="R150" s="53"/>
      <c r="S150" s="45"/>
    </row>
    <row r="151" spans="1:19" s="29" customFormat="1">
      <c r="A151" s="418" t="s">
        <v>246</v>
      </c>
      <c r="B151" s="844" t="s">
        <v>423</v>
      </c>
      <c r="C151" s="845"/>
      <c r="D151" s="164" t="s">
        <v>51</v>
      </c>
      <c r="E151" s="20">
        <v>2</v>
      </c>
      <c r="F151" s="20">
        <v>3</v>
      </c>
      <c r="G151" s="547"/>
      <c r="H151" s="405">
        <f>IF(G151&gt;=80%,F151,IF(G151&lt;65%,0,E151))</f>
        <v>0</v>
      </c>
      <c r="R151" s="53"/>
      <c r="S151" s="45"/>
    </row>
    <row r="152" spans="1:19" s="29" customFormat="1" ht="30">
      <c r="A152" s="839" t="s">
        <v>247</v>
      </c>
      <c r="B152" s="915" t="s">
        <v>448</v>
      </c>
      <c r="C152" s="916"/>
      <c r="D152" s="521" t="s">
        <v>446</v>
      </c>
      <c r="E152" s="907">
        <v>2.5</v>
      </c>
      <c r="F152" s="908"/>
      <c r="G152" s="940"/>
      <c r="H152" s="938">
        <f>IF(G152&gt;=35,E153,IF(G152&gt;=30,E152,0))</f>
        <v>0</v>
      </c>
      <c r="R152" s="53"/>
      <c r="S152" s="45"/>
    </row>
    <row r="153" spans="1:19" s="29" customFormat="1" ht="30">
      <c r="A153" s="841"/>
      <c r="B153" s="917"/>
      <c r="C153" s="918"/>
      <c r="D153" s="521" t="s">
        <v>447</v>
      </c>
      <c r="E153" s="907">
        <v>3</v>
      </c>
      <c r="F153" s="908"/>
      <c r="G153" s="941"/>
      <c r="H153" s="939"/>
      <c r="R153" s="53"/>
      <c r="S153" s="45"/>
    </row>
    <row r="154" spans="1:19" s="29" customFormat="1" ht="31.5" customHeight="1">
      <c r="A154" s="839" t="s">
        <v>248</v>
      </c>
      <c r="B154" s="915" t="s">
        <v>449</v>
      </c>
      <c r="C154" s="933"/>
      <c r="D154" s="165" t="s">
        <v>372</v>
      </c>
      <c r="E154" s="864">
        <v>4</v>
      </c>
      <c r="F154" s="865"/>
      <c r="G154" s="942"/>
      <c r="H154" s="945">
        <f>IF(G154&gt;=80,E154,IF(G154&gt;=70,E155,IF(G154&gt;=60,E156,IF(G154&gt;=50,E157,0))))</f>
        <v>0</v>
      </c>
      <c r="I154" s="913"/>
      <c r="R154" s="53"/>
      <c r="S154" s="45"/>
    </row>
    <row r="155" spans="1:19" s="29" customFormat="1" ht="31.5" customHeight="1">
      <c r="A155" s="840"/>
      <c r="B155" s="934"/>
      <c r="C155" s="935"/>
      <c r="D155" s="165" t="s">
        <v>373</v>
      </c>
      <c r="E155" s="864">
        <v>3</v>
      </c>
      <c r="F155" s="865"/>
      <c r="G155" s="943"/>
      <c r="H155" s="946"/>
      <c r="I155" s="913"/>
      <c r="R155" s="53"/>
      <c r="S155" s="45"/>
    </row>
    <row r="156" spans="1:19" s="29" customFormat="1" ht="31.5" customHeight="1">
      <c r="A156" s="840"/>
      <c r="B156" s="934"/>
      <c r="C156" s="935"/>
      <c r="D156" s="165" t="s">
        <v>411</v>
      </c>
      <c r="E156" s="864">
        <v>2</v>
      </c>
      <c r="F156" s="865"/>
      <c r="G156" s="943"/>
      <c r="H156" s="946"/>
      <c r="I156" s="913"/>
      <c r="R156" s="53"/>
      <c r="S156" s="45"/>
    </row>
    <row r="157" spans="1:19" s="29" customFormat="1" ht="31.5" customHeight="1">
      <c r="A157" s="841"/>
      <c r="B157" s="936"/>
      <c r="C157" s="937"/>
      <c r="D157" s="165" t="s">
        <v>412</v>
      </c>
      <c r="E157" s="864">
        <v>1</v>
      </c>
      <c r="F157" s="865"/>
      <c r="G157" s="944"/>
      <c r="H157" s="947"/>
      <c r="I157" s="913"/>
      <c r="R157" s="53"/>
      <c r="S157" s="45"/>
    </row>
    <row r="158" spans="1:19" s="29" customFormat="1" ht="31.5" customHeight="1">
      <c r="A158" s="839" t="s">
        <v>414</v>
      </c>
      <c r="B158" s="915" t="s">
        <v>444</v>
      </c>
      <c r="C158" s="933"/>
      <c r="D158" s="165" t="s">
        <v>67</v>
      </c>
      <c r="E158" s="376">
        <v>3.5</v>
      </c>
      <c r="F158" s="376">
        <v>4</v>
      </c>
      <c r="G158" s="27"/>
      <c r="H158" s="405">
        <f t="shared" si="3"/>
        <v>0</v>
      </c>
      <c r="I158" s="913"/>
      <c r="R158" s="53"/>
      <c r="S158" s="45"/>
    </row>
    <row r="159" spans="1:19" s="29" customFormat="1" ht="30">
      <c r="A159" s="841"/>
      <c r="B159" s="936"/>
      <c r="C159" s="937"/>
      <c r="D159" s="165" t="s">
        <v>68</v>
      </c>
      <c r="E159" s="376">
        <v>2.5</v>
      </c>
      <c r="F159" s="376">
        <v>3</v>
      </c>
      <c r="G159" s="27"/>
      <c r="H159" s="405">
        <f t="shared" si="3"/>
        <v>0</v>
      </c>
      <c r="R159" s="53"/>
      <c r="S159" s="45"/>
    </row>
    <row r="160" spans="1:19" s="29" customFormat="1">
      <c r="A160" s="522" t="s">
        <v>594</v>
      </c>
      <c r="B160" s="999" t="s">
        <v>421</v>
      </c>
      <c r="C160" s="1000"/>
      <c r="D160" s="523" t="s">
        <v>51</v>
      </c>
      <c r="E160" s="551">
        <v>2</v>
      </c>
      <c r="F160" s="551">
        <v>2.5</v>
      </c>
      <c r="G160" s="27"/>
      <c r="H160" s="298">
        <f>IF(G160&gt;=80%,F160,IF(G160&lt;65%,0,E160))</f>
        <v>0</v>
      </c>
      <c r="R160" s="53"/>
      <c r="S160" s="45"/>
    </row>
    <row r="161" spans="1:19" s="29" customFormat="1" ht="15.6">
      <c r="A161" s="431" t="s">
        <v>249</v>
      </c>
      <c r="B161" s="86" t="s">
        <v>299</v>
      </c>
      <c r="C161" s="93"/>
      <c r="D161" s="160"/>
      <c r="E161" s="161"/>
      <c r="F161" s="161"/>
      <c r="G161" s="162"/>
      <c r="H161" s="457"/>
      <c r="I161" s="172"/>
      <c r="R161" s="53"/>
      <c r="S161" s="45"/>
    </row>
    <row r="162" spans="1:19" s="29" customFormat="1" ht="32.25" customHeight="1">
      <c r="A162" s="418" t="s">
        <v>250</v>
      </c>
      <c r="B162" s="936" t="s">
        <v>597</v>
      </c>
      <c r="C162" s="937"/>
      <c r="D162" s="543" t="s">
        <v>51</v>
      </c>
      <c r="E162" s="541">
        <v>2</v>
      </c>
      <c r="F162" s="541">
        <v>2.5</v>
      </c>
      <c r="G162" s="27"/>
      <c r="H162" s="405">
        <f>IF(G162&gt;=80%,F162,IF(G162&lt;65%,0,E162))</f>
        <v>0</v>
      </c>
      <c r="R162" s="53"/>
      <c r="S162" s="45"/>
    </row>
    <row r="163" spans="1:19" s="29" customFormat="1" ht="29.25" customHeight="1">
      <c r="A163" s="418" t="s">
        <v>251</v>
      </c>
      <c r="B163" s="999" t="s">
        <v>445</v>
      </c>
      <c r="C163" s="1000"/>
      <c r="D163" s="543" t="s">
        <v>51</v>
      </c>
      <c r="E163" s="541">
        <v>2</v>
      </c>
      <c r="F163" s="541">
        <v>2.5</v>
      </c>
      <c r="G163" s="27"/>
      <c r="H163" s="405">
        <f>IF(G163&gt;=80%,F163,IF(G163&lt;65%,0,E163))</f>
        <v>0</v>
      </c>
      <c r="R163" s="53"/>
      <c r="S163" s="45"/>
    </row>
    <row r="164" spans="1:19" s="29" customFormat="1" ht="15.6">
      <c r="A164" s="431">
        <v>15</v>
      </c>
      <c r="B164" s="86" t="s">
        <v>278</v>
      </c>
      <c r="C164" s="93"/>
      <c r="D164" s="160"/>
      <c r="E164" s="161"/>
      <c r="F164" s="161"/>
      <c r="G164" s="162"/>
      <c r="H164" s="457"/>
      <c r="I164" s="172"/>
      <c r="R164" s="53"/>
      <c r="S164" s="45"/>
    </row>
    <row r="165" spans="1:19" s="29" customFormat="1">
      <c r="A165" s="839" t="s">
        <v>252</v>
      </c>
      <c r="B165" s="936" t="s">
        <v>297</v>
      </c>
      <c r="C165" s="937"/>
      <c r="D165" s="919" t="s">
        <v>51</v>
      </c>
      <c r="E165" s="910">
        <v>2.5</v>
      </c>
      <c r="F165" s="910">
        <v>4</v>
      </c>
      <c r="G165" s="899"/>
      <c r="H165" s="945">
        <f>IF(G165&gt;=80%,F165,IF(G165&lt;65%,0,E165))</f>
        <v>0</v>
      </c>
      <c r="I165" s="172"/>
      <c r="R165" s="53"/>
      <c r="S165" s="45"/>
    </row>
    <row r="166" spans="1:19" s="29" customFormat="1" ht="15.6">
      <c r="A166" s="841"/>
      <c r="B166" s="998" t="s">
        <v>298</v>
      </c>
      <c r="C166" s="998"/>
      <c r="D166" s="920"/>
      <c r="E166" s="911"/>
      <c r="F166" s="911"/>
      <c r="G166" s="900"/>
      <c r="H166" s="947"/>
      <c r="I166" s="172"/>
      <c r="R166" s="53"/>
      <c r="S166" s="45"/>
    </row>
    <row r="167" spans="1:19" s="29" customFormat="1">
      <c r="A167" s="839" t="s">
        <v>253</v>
      </c>
      <c r="B167" s="885" t="s">
        <v>146</v>
      </c>
      <c r="C167" s="884"/>
      <c r="D167" s="769" t="s">
        <v>51</v>
      </c>
      <c r="E167" s="906">
        <v>2.5</v>
      </c>
      <c r="F167" s="906">
        <v>4</v>
      </c>
      <c r="G167" s="905"/>
      <c r="H167" s="909">
        <f>IF(G167&gt;=80%,F167,IF(G167&lt;65%,0,E167))</f>
        <v>0</v>
      </c>
      <c r="I167" s="172"/>
      <c r="R167" s="53"/>
      <c r="S167" s="45"/>
    </row>
    <row r="168" spans="1:19" s="29" customFormat="1" ht="15.6">
      <c r="A168" s="841"/>
      <c r="B168" s="998" t="s">
        <v>120</v>
      </c>
      <c r="C168" s="998"/>
      <c r="D168" s="769"/>
      <c r="E168" s="906"/>
      <c r="F168" s="906"/>
      <c r="G168" s="905"/>
      <c r="H168" s="909"/>
      <c r="I168" s="172"/>
      <c r="R168" s="53"/>
      <c r="S168" s="45"/>
    </row>
    <row r="169" spans="1:19" s="29" customFormat="1" ht="15.6">
      <c r="A169" s="443">
        <v>16</v>
      </c>
      <c r="B169" s="106" t="s">
        <v>213</v>
      </c>
      <c r="C169" s="93"/>
      <c r="D169" s="93"/>
      <c r="E169" s="95"/>
      <c r="F169" s="95"/>
      <c r="G169" s="96"/>
      <c r="H169" s="436"/>
      <c r="R169" s="60"/>
      <c r="S169" s="45"/>
    </row>
    <row r="170" spans="1:19" s="29" customFormat="1">
      <c r="A170" s="418" t="s">
        <v>255</v>
      </c>
      <c r="B170" s="826"/>
      <c r="C170" s="821"/>
      <c r="D170" s="111"/>
      <c r="E170" s="537"/>
      <c r="F170" s="537"/>
      <c r="G170" s="67"/>
      <c r="H170" s="542">
        <f>IF(G170&gt;=80%,F170,IF(G170&lt;65%,0,E170))</f>
        <v>0</v>
      </c>
      <c r="R170" s="53"/>
      <c r="S170" s="45"/>
    </row>
    <row r="171" spans="1:19" s="29" customFormat="1">
      <c r="A171" s="418" t="s">
        <v>256</v>
      </c>
      <c r="B171" s="826"/>
      <c r="C171" s="821"/>
      <c r="D171" s="111"/>
      <c r="E171" s="537"/>
      <c r="F171" s="537"/>
      <c r="G171" s="67"/>
      <c r="H171" s="542">
        <f>IF(G171&gt;=80%,F171,IF(G171&lt;65%,0,E171))</f>
        <v>0</v>
      </c>
      <c r="R171" s="53"/>
      <c r="S171" s="45"/>
    </row>
    <row r="172" spans="1:19" s="29" customFormat="1">
      <c r="A172" s="418" t="s">
        <v>257</v>
      </c>
      <c r="B172" s="826"/>
      <c r="C172" s="821"/>
      <c r="D172" s="111"/>
      <c r="E172" s="537"/>
      <c r="F172" s="537"/>
      <c r="G172" s="67"/>
      <c r="H172" s="542">
        <f>IF(G172&gt;=80%,F172,IF(G172&lt;65%,0,E172))</f>
        <v>0</v>
      </c>
      <c r="R172" s="53"/>
      <c r="S172" s="45"/>
    </row>
    <row r="173" spans="1:19" s="29" customFormat="1" ht="15.6">
      <c r="A173" s="425"/>
      <c r="B173" s="325"/>
      <c r="C173" s="323"/>
      <c r="D173" s="323"/>
      <c r="E173" s="323"/>
      <c r="F173" s="327"/>
      <c r="G173" s="328" t="s">
        <v>419</v>
      </c>
      <c r="H173" s="458">
        <f>IFERROR((SUM(H142:H172)),0)</f>
        <v>0</v>
      </c>
      <c r="R173" s="53"/>
      <c r="S173" s="45"/>
    </row>
    <row r="174" spans="1:19" s="29" customFormat="1" ht="15.6" thickBot="1">
      <c r="A174" s="491"/>
      <c r="B174" s="492"/>
      <c r="C174" s="493"/>
      <c r="D174" s="493"/>
      <c r="E174" s="493"/>
      <c r="F174" s="493"/>
      <c r="G174" s="480"/>
      <c r="H174" s="639"/>
      <c r="R174" s="53"/>
      <c r="S174" s="45"/>
    </row>
    <row r="175" spans="1:19" s="29" customFormat="1" ht="30.75" customHeight="1">
      <c r="A175" s="995" t="s">
        <v>0</v>
      </c>
      <c r="B175" s="996"/>
      <c r="C175" s="997"/>
      <c r="D175" s="1011" t="s">
        <v>4</v>
      </c>
      <c r="E175" s="902" t="s">
        <v>1</v>
      </c>
      <c r="F175" s="903"/>
      <c r="G175" s="898" t="s">
        <v>21</v>
      </c>
      <c r="H175" s="888" t="s">
        <v>63</v>
      </c>
      <c r="R175" s="53"/>
      <c r="S175" s="45"/>
    </row>
    <row r="176" spans="1:19" s="29" customFormat="1" ht="15.6">
      <c r="A176" s="878"/>
      <c r="B176" s="879"/>
      <c r="C176" s="992"/>
      <c r="D176" s="1012"/>
      <c r="E176" s="545" t="s">
        <v>121</v>
      </c>
      <c r="F176" s="545" t="s">
        <v>122</v>
      </c>
      <c r="G176" s="870"/>
      <c r="H176" s="889"/>
      <c r="R176" s="53"/>
      <c r="S176" s="45"/>
    </row>
    <row r="177" spans="1:19" s="29" customFormat="1" ht="15.6">
      <c r="A177" s="450" t="s">
        <v>254</v>
      </c>
      <c r="B177" s="109" t="s">
        <v>258</v>
      </c>
      <c r="C177" s="110"/>
      <c r="D177" s="110"/>
      <c r="E177" s="110"/>
      <c r="F177" s="114"/>
      <c r="G177" s="115"/>
      <c r="H177" s="455"/>
      <c r="R177" s="53"/>
      <c r="S177" s="45"/>
    </row>
    <row r="178" spans="1:19" s="29" customFormat="1">
      <c r="A178" s="391" t="s">
        <v>300</v>
      </c>
      <c r="B178" s="885" t="s">
        <v>259</v>
      </c>
      <c r="C178" s="886"/>
      <c r="D178" s="5" t="s">
        <v>51</v>
      </c>
      <c r="E178" s="20">
        <v>-1</v>
      </c>
      <c r="F178" s="20">
        <v>-2</v>
      </c>
      <c r="G178" s="28"/>
      <c r="H178" s="405">
        <f>IF(G178&gt;=30%,F178,IF(G178=0%,0,E178))</f>
        <v>0</v>
      </c>
      <c r="R178" s="53"/>
      <c r="S178" s="45"/>
    </row>
    <row r="179" spans="1:19" s="29" customFormat="1">
      <c r="A179" s="391" t="s">
        <v>301</v>
      </c>
      <c r="B179" s="885" t="s">
        <v>260</v>
      </c>
      <c r="C179" s="886"/>
      <c r="D179" s="5" t="s">
        <v>51</v>
      </c>
      <c r="E179" s="20">
        <v>-1</v>
      </c>
      <c r="F179" s="20">
        <v>-1.5</v>
      </c>
      <c r="G179" s="28"/>
      <c r="H179" s="405">
        <f>IF(G179&gt;=30%,F179,IF(G179=0%,0,E179))</f>
        <v>0</v>
      </c>
      <c r="R179" s="53"/>
      <c r="S179" s="45"/>
    </row>
    <row r="180" spans="1:19" s="29" customFormat="1">
      <c r="A180" s="391" t="s">
        <v>302</v>
      </c>
      <c r="B180" s="885" t="s">
        <v>261</v>
      </c>
      <c r="C180" s="886"/>
      <c r="D180" s="5" t="s">
        <v>51</v>
      </c>
      <c r="E180" s="904">
        <v>-1</v>
      </c>
      <c r="F180" s="904"/>
      <c r="G180" s="547"/>
      <c r="H180" s="405">
        <f>IF(G180&gt;0%,E180,0)</f>
        <v>0</v>
      </c>
      <c r="R180" s="53"/>
      <c r="S180" s="45"/>
    </row>
    <row r="181" spans="1:19" s="29" customFormat="1" ht="15.6">
      <c r="A181" s="425"/>
      <c r="B181" s="325"/>
      <c r="C181" s="323"/>
      <c r="D181" s="323"/>
      <c r="E181" s="323"/>
      <c r="F181" s="327"/>
      <c r="G181" s="328" t="s">
        <v>142</v>
      </c>
      <c r="H181" s="458">
        <f>IFERROR(MAX(SUM(H178:H180),-4),0)</f>
        <v>0</v>
      </c>
      <c r="R181" s="45"/>
      <c r="S181" s="45"/>
    </row>
    <row r="182" spans="1:19" s="29" customFormat="1">
      <c r="A182" s="412"/>
      <c r="B182" s="325"/>
      <c r="C182" s="323"/>
      <c r="D182" s="323"/>
      <c r="E182" s="323"/>
      <c r="F182" s="323"/>
      <c r="G182" s="332"/>
      <c r="H182" s="388"/>
      <c r="R182" s="53"/>
      <c r="S182" s="45"/>
    </row>
    <row r="183" spans="1:19" s="29" customFormat="1" ht="15.6">
      <c r="A183" s="412"/>
      <c r="B183" s="325"/>
      <c r="C183" s="323"/>
      <c r="D183" s="323"/>
      <c r="E183" s="323"/>
      <c r="F183" s="323"/>
      <c r="G183" s="330" t="s">
        <v>141</v>
      </c>
      <c r="H183" s="459">
        <f>IFERROR(MIN(SUM(H115+H138+H173+H181),G86),0)</f>
        <v>0</v>
      </c>
      <c r="R183" s="53"/>
      <c r="S183" s="45"/>
    </row>
    <row r="184" spans="1:19" s="29" customFormat="1" ht="16.2" thickBot="1">
      <c r="A184" s="491"/>
      <c r="B184" s="492"/>
      <c r="C184" s="493"/>
      <c r="D184" s="493"/>
      <c r="E184" s="493"/>
      <c r="F184" s="493"/>
      <c r="G184" s="494"/>
      <c r="H184" s="495"/>
      <c r="R184" s="53"/>
      <c r="S184" s="45"/>
    </row>
    <row r="185" spans="1:19" s="29" customFormat="1" ht="15.6">
      <c r="A185" s="481" t="s">
        <v>64</v>
      </c>
      <c r="B185" s="482"/>
      <c r="C185" s="482"/>
      <c r="D185" s="482"/>
      <c r="E185" s="482"/>
      <c r="F185" s="483" t="s">
        <v>43</v>
      </c>
      <c r="G185" s="484">
        <f>VLOOKUP($A$7,'Manpower allocation'!A4:D11,4,FALSE)*100</f>
        <v>15</v>
      </c>
      <c r="H185" s="485" t="s">
        <v>42</v>
      </c>
      <c r="J185" s="112">
        <f>VLOOKUP($A$7,'Manpower allocation'!A4:D11,4,FALSE)*100</f>
        <v>15</v>
      </c>
      <c r="R185" s="53"/>
      <c r="S185" s="45"/>
    </row>
    <row r="186" spans="1:19" s="29" customFormat="1" ht="15.6">
      <c r="A186" s="412"/>
      <c r="B186" s="331"/>
      <c r="C186" s="323"/>
      <c r="D186" s="323"/>
      <c r="E186" s="323"/>
      <c r="F186" s="323"/>
      <c r="G186" s="332"/>
      <c r="H186" s="388"/>
      <c r="R186" s="53"/>
      <c r="S186" s="45"/>
    </row>
    <row r="187" spans="1:19" s="29" customFormat="1" ht="46.8">
      <c r="A187" s="993" t="s">
        <v>0</v>
      </c>
      <c r="B187" s="994"/>
      <c r="C187" s="113"/>
      <c r="D187" s="539" t="s">
        <v>17</v>
      </c>
      <c r="E187" s="539" t="s">
        <v>125</v>
      </c>
      <c r="F187" s="539" t="s">
        <v>109</v>
      </c>
      <c r="G187" s="539" t="s">
        <v>18</v>
      </c>
      <c r="H187" s="544" t="s">
        <v>63</v>
      </c>
      <c r="R187" s="53"/>
      <c r="S187" s="45"/>
    </row>
    <row r="188" spans="1:19" s="29" customFormat="1" ht="15.6">
      <c r="A188" s="454" t="s">
        <v>265</v>
      </c>
      <c r="B188" s="109" t="s">
        <v>358</v>
      </c>
      <c r="C188" s="110"/>
      <c r="D188" s="110"/>
      <c r="E188" s="110"/>
      <c r="F188" s="114"/>
      <c r="G188" s="115"/>
      <c r="H188" s="455"/>
      <c r="R188" s="53"/>
      <c r="S188" s="45"/>
    </row>
    <row r="189" spans="1:19" s="29" customFormat="1" ht="15.6">
      <c r="A189" s="460">
        <v>1</v>
      </c>
      <c r="B189" s="116" t="s">
        <v>338</v>
      </c>
      <c r="C189" s="117"/>
      <c r="D189" s="118"/>
      <c r="E189" s="118"/>
      <c r="F189" s="118"/>
      <c r="G189" s="118"/>
      <c r="H189" s="461"/>
      <c r="R189" s="53"/>
      <c r="S189" s="45"/>
    </row>
    <row r="190" spans="1:19" s="29" customFormat="1">
      <c r="A190" s="409">
        <v>1.1000000000000001</v>
      </c>
      <c r="B190" s="844" t="s">
        <v>290</v>
      </c>
      <c r="C190" s="845"/>
      <c r="D190" s="20">
        <f>VLOOKUP(A190,'Point Allocation'!$A$46:$J$55,MATCH(A7,'Point Allocation'!$A$46:$J$46,0),0)</f>
        <v>15</v>
      </c>
      <c r="E190" s="38"/>
      <c r="F190" s="38"/>
      <c r="G190" s="31">
        <f>MIN(IFERROR(F190/E190,0),100%)</f>
        <v>0</v>
      </c>
      <c r="H190" s="405">
        <f>D190*G190</f>
        <v>0</v>
      </c>
      <c r="R190" s="53"/>
      <c r="S190" s="45"/>
    </row>
    <row r="191" spans="1:19" s="29" customFormat="1" ht="15.6">
      <c r="A191" s="462">
        <v>2</v>
      </c>
      <c r="B191" s="119" t="s">
        <v>339</v>
      </c>
      <c r="C191" s="120"/>
      <c r="D191" s="32"/>
      <c r="E191" s="33"/>
      <c r="F191" s="33"/>
      <c r="G191" s="34"/>
      <c r="H191" s="463"/>
      <c r="R191" s="53"/>
      <c r="S191" s="45"/>
    </row>
    <row r="192" spans="1:19" s="29" customFormat="1" ht="33" customHeight="1">
      <c r="A192" s="464">
        <v>2.1</v>
      </c>
      <c r="B192" s="969" t="s">
        <v>266</v>
      </c>
      <c r="C192" s="971"/>
      <c r="D192" s="20">
        <f>VLOOKUP(A192,'Point Allocation'!$A$46:$J$55,MATCH(A7,'Point Allocation'!$A$46:$J$46,0),0)</f>
        <v>12</v>
      </c>
      <c r="E192" s="38"/>
      <c r="F192" s="38"/>
      <c r="G192" s="31">
        <f>MIN(IFERROR(F192/E192,0),100%)</f>
        <v>0</v>
      </c>
      <c r="H192" s="405">
        <f>D192*G192</f>
        <v>0</v>
      </c>
      <c r="R192" s="53"/>
      <c r="S192" s="45"/>
    </row>
    <row r="193" spans="1:19" s="29" customFormat="1" ht="15.6">
      <c r="A193" s="460">
        <v>3</v>
      </c>
      <c r="B193" s="116" t="s">
        <v>343</v>
      </c>
      <c r="C193" s="121"/>
      <c r="D193" s="35"/>
      <c r="E193" s="35"/>
      <c r="F193" s="35"/>
      <c r="G193" s="34"/>
      <c r="H193" s="465"/>
      <c r="R193" s="53"/>
      <c r="S193" s="45"/>
    </row>
    <row r="194" spans="1:19" s="29" customFormat="1">
      <c r="A194" s="466">
        <v>3.1</v>
      </c>
      <c r="B194" s="850" t="s">
        <v>451</v>
      </c>
      <c r="C194" s="851"/>
      <c r="D194" s="20">
        <f>VLOOKUP(A194,'Point Allocation'!$A$46:$J$55,MATCH(A7,'Point Allocation'!$A$46:$J$46,0),0)</f>
        <v>4</v>
      </c>
      <c r="E194" s="38"/>
      <c r="F194" s="38"/>
      <c r="G194" s="31">
        <f>MIN(IFERROR(F194/E194,0),100%)</f>
        <v>0</v>
      </c>
      <c r="H194" s="405">
        <f>D194*G194</f>
        <v>0</v>
      </c>
      <c r="R194" s="53"/>
      <c r="S194" s="45"/>
    </row>
    <row r="195" spans="1:19" s="29" customFormat="1" ht="32.25" customHeight="1">
      <c r="A195" s="466">
        <v>3.2</v>
      </c>
      <c r="B195" s="850" t="s">
        <v>452</v>
      </c>
      <c r="C195" s="851"/>
      <c r="D195" s="20">
        <f>VLOOKUP(A195,'Point Allocation'!$A$46:$J$55,MATCH(A7,'Point Allocation'!$A$46:$J$46,0),0)</f>
        <v>4</v>
      </c>
      <c r="E195" s="178"/>
      <c r="F195" s="38"/>
      <c r="G195" s="31">
        <f>MIN(IFERROR(F195/E195,0),100%)</f>
        <v>0</v>
      </c>
      <c r="H195" s="405">
        <f>D195*G195</f>
        <v>0</v>
      </c>
      <c r="R195" s="53"/>
      <c r="S195" s="45"/>
    </row>
    <row r="196" spans="1:19" s="29" customFormat="1" ht="32.25" customHeight="1">
      <c r="A196" s="404">
        <v>3.3</v>
      </c>
      <c r="B196" s="885" t="s">
        <v>170</v>
      </c>
      <c r="C196" s="886"/>
      <c r="D196" s="20">
        <f>VLOOKUP(A196,'Point Allocation'!$A$46:$J$55,MATCH(A7,'Point Allocation'!$A$46:$J$46,0),0)</f>
        <v>4</v>
      </c>
      <c r="E196" s="179"/>
      <c r="F196" s="536"/>
      <c r="G196" s="31">
        <f>MIN(IFERROR(F196/E196,0),100%)</f>
        <v>0</v>
      </c>
      <c r="H196" s="405">
        <f>D196*G196</f>
        <v>0</v>
      </c>
      <c r="R196" s="53"/>
      <c r="S196" s="45"/>
    </row>
    <row r="197" spans="1:19" s="29" customFormat="1" ht="15.6">
      <c r="A197" s="412"/>
      <c r="B197" s="325"/>
      <c r="C197" s="323"/>
      <c r="D197" s="324" t="s">
        <v>6</v>
      </c>
      <c r="E197" s="300">
        <f>MAX(SUM(E190:E196),F197)</f>
        <v>0</v>
      </c>
      <c r="F197" s="300">
        <f>SUM(F190:F196)</f>
        <v>0</v>
      </c>
      <c r="G197" s="340">
        <f>IFERROR(MIN(F197/E197,100%),0)</f>
        <v>0</v>
      </c>
      <c r="H197" s="413">
        <f>IFERROR(SUM(H190:H196),0)</f>
        <v>0</v>
      </c>
      <c r="R197" s="53"/>
      <c r="S197" s="45"/>
    </row>
    <row r="198" spans="1:19" s="29" customFormat="1" ht="15.6">
      <c r="A198" s="412"/>
      <c r="B198" s="338"/>
      <c r="C198" s="341"/>
      <c r="D198" s="342"/>
      <c r="E198" s="341"/>
      <c r="F198" s="341"/>
      <c r="G198" s="343"/>
      <c r="H198" s="467"/>
      <c r="R198" s="53"/>
      <c r="S198" s="45"/>
    </row>
    <row r="199" spans="1:19" s="29" customFormat="1" ht="15.6">
      <c r="A199" s="993" t="s">
        <v>0</v>
      </c>
      <c r="B199" s="994"/>
      <c r="C199" s="982"/>
      <c r="D199" s="901" t="s">
        <v>4</v>
      </c>
      <c r="E199" s="901" t="s">
        <v>1</v>
      </c>
      <c r="F199" s="901"/>
      <c r="G199" s="894" t="s">
        <v>21</v>
      </c>
      <c r="H199" s="887" t="s">
        <v>63</v>
      </c>
      <c r="R199" s="53"/>
      <c r="S199" s="45"/>
    </row>
    <row r="200" spans="1:19" s="29" customFormat="1" ht="30.75" customHeight="1">
      <c r="A200" s="1007"/>
      <c r="B200" s="1008"/>
      <c r="C200" s="983"/>
      <c r="D200" s="901"/>
      <c r="E200" s="539" t="s">
        <v>65</v>
      </c>
      <c r="F200" s="539" t="s">
        <v>66</v>
      </c>
      <c r="G200" s="894"/>
      <c r="H200" s="887"/>
      <c r="R200" s="53"/>
      <c r="S200" s="45"/>
    </row>
    <row r="201" spans="1:19" s="29" customFormat="1" ht="15.6">
      <c r="A201" s="415" t="s">
        <v>271</v>
      </c>
      <c r="B201" s="46" t="s">
        <v>272</v>
      </c>
      <c r="C201" s="57"/>
      <c r="D201" s="57"/>
      <c r="E201" s="57"/>
      <c r="F201" s="58"/>
      <c r="G201" s="108"/>
      <c r="H201" s="451"/>
      <c r="R201" s="53"/>
      <c r="S201" s="45"/>
    </row>
    <row r="202" spans="1:19" s="29" customFormat="1" ht="15.6">
      <c r="A202" s="468">
        <v>4</v>
      </c>
      <c r="B202" s="122" t="s">
        <v>341</v>
      </c>
      <c r="C202" s="120"/>
      <c r="D202" s="123"/>
      <c r="E202" s="124"/>
      <c r="F202" s="124"/>
      <c r="G202" s="125"/>
      <c r="H202" s="469"/>
      <c r="R202" s="53"/>
      <c r="S202" s="45"/>
    </row>
    <row r="203" spans="1:19" s="29" customFormat="1">
      <c r="A203" s="409">
        <v>4.0999999999999996</v>
      </c>
      <c r="B203" s="844" t="s">
        <v>164</v>
      </c>
      <c r="C203" s="845"/>
      <c r="D203" s="5" t="s">
        <v>51</v>
      </c>
      <c r="E203" s="20" t="s">
        <v>50</v>
      </c>
      <c r="F203" s="20">
        <f>VLOOKUP(A203,'Point Allocation'!$A$46:$J$55,MATCH(A7,'Point Allocation'!$A$46:$J$46,0),0)</f>
        <v>1.5</v>
      </c>
      <c r="G203" s="547"/>
      <c r="H203" s="405">
        <f>IF(G203&gt;=80%,F203,0)</f>
        <v>0</v>
      </c>
      <c r="R203" s="53"/>
      <c r="S203" s="45"/>
    </row>
    <row r="204" spans="1:19" s="29" customFormat="1">
      <c r="A204" s="409">
        <v>4.2</v>
      </c>
      <c r="B204" s="844" t="s">
        <v>161</v>
      </c>
      <c r="C204" s="845"/>
      <c r="D204" s="5" t="s">
        <v>51</v>
      </c>
      <c r="E204" s="20" t="s">
        <v>50</v>
      </c>
      <c r="F204" s="20">
        <f>VLOOKUP(A204,'Point Allocation'!$A$46:$J$55,MATCH(A7,'Point Allocation'!$A$46:$J$46,0),0)</f>
        <v>1.5</v>
      </c>
      <c r="G204" s="547"/>
      <c r="H204" s="405">
        <f>IF(G204&gt;=80%,F204,0)</f>
        <v>0</v>
      </c>
      <c r="R204" s="53"/>
      <c r="S204" s="45"/>
    </row>
    <row r="205" spans="1:19" s="29" customFormat="1">
      <c r="A205" s="409">
        <v>4.3</v>
      </c>
      <c r="B205" s="844" t="s">
        <v>155</v>
      </c>
      <c r="C205" s="845"/>
      <c r="D205" s="5" t="s">
        <v>3</v>
      </c>
      <c r="E205" s="20" t="s">
        <v>50</v>
      </c>
      <c r="F205" s="20">
        <f>VLOOKUP(A205,'Point Allocation'!$A$46:$J$55,MATCH(A7,'Point Allocation'!$A$46:$J$46,0),0)</f>
        <v>1.5</v>
      </c>
      <c r="G205" s="547"/>
      <c r="H205" s="405">
        <f>IF(G205&gt;=80%,F205,0)</f>
        <v>0</v>
      </c>
      <c r="R205" s="53"/>
      <c r="S205" s="45"/>
    </row>
    <row r="206" spans="1:19" s="29" customFormat="1">
      <c r="A206" s="470">
        <v>4.4000000000000004</v>
      </c>
      <c r="B206" s="874" t="s">
        <v>270</v>
      </c>
      <c r="C206" s="875"/>
      <c r="D206" s="5" t="s">
        <v>3</v>
      </c>
      <c r="E206" s="20" t="s">
        <v>50</v>
      </c>
      <c r="F206" s="20">
        <f>VLOOKUP(A206,'Point Allocation'!$A$46:$J$55,MATCH(A7,'Point Allocation'!$A$46:$J$46,0),0)</f>
        <v>1.5</v>
      </c>
      <c r="G206" s="547"/>
      <c r="H206" s="405">
        <f>IF(G206&gt;=80%,F206,0)</f>
        <v>0</v>
      </c>
      <c r="R206" s="53"/>
      <c r="S206" s="45"/>
    </row>
    <row r="207" spans="1:19" s="29" customFormat="1" ht="15.6">
      <c r="A207" s="468">
        <v>5</v>
      </c>
      <c r="B207" s="122" t="s">
        <v>213</v>
      </c>
      <c r="C207" s="120"/>
      <c r="D207" s="126"/>
      <c r="E207" s="127"/>
      <c r="F207" s="127"/>
      <c r="G207" s="128"/>
      <c r="H207" s="471"/>
      <c r="R207" s="53"/>
      <c r="S207" s="45"/>
    </row>
    <row r="208" spans="1:19" s="29" customFormat="1">
      <c r="A208" s="411">
        <v>5.0999999999999996</v>
      </c>
      <c r="B208" s="826"/>
      <c r="C208" s="847"/>
      <c r="D208" s="530"/>
      <c r="E208" s="536"/>
      <c r="F208" s="536"/>
      <c r="G208" s="547"/>
      <c r="H208" s="542">
        <f>IF(G208&gt;=80%,F208,IF(G208&lt;65%,0,E208))</f>
        <v>0</v>
      </c>
      <c r="R208" s="53"/>
      <c r="S208" s="45"/>
    </row>
    <row r="209" spans="1:19" s="29" customFormat="1">
      <c r="A209" s="411">
        <v>5.2</v>
      </c>
      <c r="B209" s="826"/>
      <c r="C209" s="847"/>
      <c r="D209" s="530"/>
      <c r="E209" s="536"/>
      <c r="F209" s="536"/>
      <c r="G209" s="547"/>
      <c r="H209" s="542">
        <f>IF(G209&gt;=80%,F209,IF(G209&lt;65%,0,E209))</f>
        <v>0</v>
      </c>
      <c r="R209" s="53"/>
      <c r="S209" s="45"/>
    </row>
    <row r="210" spans="1:19" s="29" customFormat="1">
      <c r="A210" s="411">
        <v>5.3</v>
      </c>
      <c r="B210" s="826"/>
      <c r="C210" s="847"/>
      <c r="D210" s="530"/>
      <c r="E210" s="536"/>
      <c r="F210" s="536"/>
      <c r="G210" s="547"/>
      <c r="H210" s="542">
        <f>IF(G210&gt;=80%,F210,IF(G210&lt;65%,0,E210))</f>
        <v>0</v>
      </c>
      <c r="R210" s="53"/>
      <c r="S210" s="45"/>
    </row>
    <row r="211" spans="1:19" s="29" customFormat="1" ht="15.6">
      <c r="A211" s="412"/>
      <c r="B211" s="344"/>
      <c r="C211" s="344"/>
      <c r="D211" s="332"/>
      <c r="E211" s="332"/>
      <c r="F211" s="332"/>
      <c r="G211" s="330" t="s">
        <v>7</v>
      </c>
      <c r="H211" s="445">
        <f>IFERROR(SUM(H203:H206,H208:H210),0)</f>
        <v>0</v>
      </c>
      <c r="R211" s="53"/>
      <c r="S211" s="45"/>
    </row>
    <row r="212" spans="1:19" s="29" customFormat="1">
      <c r="A212" s="412"/>
      <c r="B212" s="325"/>
      <c r="C212" s="323"/>
      <c r="D212" s="323"/>
      <c r="E212" s="323"/>
      <c r="F212" s="323"/>
      <c r="G212" s="332"/>
      <c r="H212" s="388"/>
      <c r="R212" s="53"/>
      <c r="S212" s="45"/>
    </row>
    <row r="213" spans="1:19" s="29" customFormat="1" ht="15.6">
      <c r="A213" s="993" t="s">
        <v>0</v>
      </c>
      <c r="B213" s="994"/>
      <c r="C213" s="982"/>
      <c r="D213" s="894" t="s">
        <v>4</v>
      </c>
      <c r="E213" s="901" t="s">
        <v>1</v>
      </c>
      <c r="F213" s="901"/>
      <c r="G213" s="894" t="s">
        <v>21</v>
      </c>
      <c r="H213" s="887" t="s">
        <v>63</v>
      </c>
      <c r="R213" s="53"/>
      <c r="S213" s="45"/>
    </row>
    <row r="214" spans="1:19" s="29" customFormat="1" ht="31.2">
      <c r="A214" s="1007"/>
      <c r="B214" s="1008"/>
      <c r="C214" s="983"/>
      <c r="D214" s="901"/>
      <c r="E214" s="539" t="s">
        <v>65</v>
      </c>
      <c r="F214" s="539" t="s">
        <v>66</v>
      </c>
      <c r="G214" s="894"/>
      <c r="H214" s="887"/>
      <c r="R214" s="53"/>
      <c r="S214" s="45"/>
    </row>
    <row r="215" spans="1:19" s="29" customFormat="1" ht="15.6">
      <c r="A215" s="454" t="s">
        <v>273</v>
      </c>
      <c r="B215" s="109" t="s">
        <v>234</v>
      </c>
      <c r="C215" s="129"/>
      <c r="D215" s="130"/>
      <c r="E215" s="130"/>
      <c r="F215" s="131"/>
      <c r="G215" s="132"/>
      <c r="H215" s="472"/>
      <c r="R215" s="53"/>
      <c r="S215" s="45"/>
    </row>
    <row r="216" spans="1:19" s="29" customFormat="1" ht="15.6">
      <c r="A216" s="391" t="s">
        <v>199</v>
      </c>
      <c r="B216" s="844" t="s">
        <v>274</v>
      </c>
      <c r="C216" s="845"/>
      <c r="D216" s="98" t="s">
        <v>2</v>
      </c>
      <c r="E216" s="98">
        <v>1</v>
      </c>
      <c r="F216" s="98">
        <v>2</v>
      </c>
      <c r="G216" s="67"/>
      <c r="H216" s="437">
        <f>IF(G216&gt;=80%,F216,IF(G216&lt;65%,0,E216))</f>
        <v>0</v>
      </c>
      <c r="K216" s="135"/>
      <c r="R216" s="53"/>
      <c r="S216" s="45"/>
    </row>
    <row r="217" spans="1:19" s="29" customFormat="1" ht="31.5" customHeight="1">
      <c r="A217" s="473" t="s">
        <v>200</v>
      </c>
      <c r="B217" s="960" t="s">
        <v>275</v>
      </c>
      <c r="C217" s="962"/>
      <c r="D217" s="98" t="s">
        <v>51</v>
      </c>
      <c r="E217" s="98">
        <v>0.5</v>
      </c>
      <c r="F217" s="98">
        <v>1</v>
      </c>
      <c r="G217" s="67"/>
      <c r="H217" s="437">
        <f>IF(G217&gt;=80%,F217,IF(G217&lt;65%,0,E217))</f>
        <v>0</v>
      </c>
      <c r="R217" s="53"/>
      <c r="S217" s="45"/>
    </row>
    <row r="218" spans="1:19" s="29" customFormat="1" ht="15.6">
      <c r="A218" s="412"/>
      <c r="B218" s="325"/>
      <c r="C218" s="323"/>
      <c r="D218" s="323"/>
      <c r="E218" s="323"/>
      <c r="F218" s="326"/>
      <c r="G218" s="330" t="s">
        <v>110</v>
      </c>
      <c r="H218" s="474">
        <f>IFERROR(SUM(H216:H217),0)</f>
        <v>0</v>
      </c>
      <c r="R218" s="53"/>
      <c r="S218" s="45"/>
    </row>
    <row r="219" spans="1:19" s="29" customFormat="1">
      <c r="A219" s="412"/>
      <c r="B219" s="325"/>
      <c r="C219" s="323"/>
      <c r="D219" s="323"/>
      <c r="E219" s="323"/>
      <c r="F219" s="323"/>
      <c r="G219" s="332"/>
      <c r="H219" s="388"/>
      <c r="R219" s="53"/>
      <c r="S219" s="45"/>
    </row>
    <row r="220" spans="1:19" s="29" customFormat="1" ht="15.6">
      <c r="A220" s="412"/>
      <c r="B220" s="325"/>
      <c r="C220" s="323"/>
      <c r="D220" s="323"/>
      <c r="E220" s="323"/>
      <c r="F220" s="323"/>
      <c r="G220" s="330" t="s">
        <v>111</v>
      </c>
      <c r="H220" s="474">
        <f>IFERROR(MIN(SUM(H197+H211+H218),G185),0)</f>
        <v>0</v>
      </c>
      <c r="R220" s="53"/>
      <c r="S220" s="45"/>
    </row>
    <row r="221" spans="1:19" s="29" customFormat="1" ht="16.2" thickBot="1">
      <c r="A221" s="491"/>
      <c r="B221" s="492"/>
      <c r="C221" s="493"/>
      <c r="D221" s="493"/>
      <c r="E221" s="493"/>
      <c r="F221" s="493"/>
      <c r="G221" s="496"/>
      <c r="H221" s="495"/>
      <c r="R221" s="53"/>
      <c r="S221" s="45"/>
    </row>
    <row r="222" spans="1:19" s="29" customFormat="1" ht="15.6">
      <c r="A222" s="633" t="s">
        <v>137</v>
      </c>
      <c r="B222" s="634"/>
      <c r="C222" s="634"/>
      <c r="D222" s="634"/>
      <c r="E222" s="634"/>
      <c r="F222" s="635" t="s">
        <v>43</v>
      </c>
      <c r="G222" s="636">
        <v>20</v>
      </c>
      <c r="H222" s="637" t="s">
        <v>42</v>
      </c>
      <c r="R222" s="53"/>
      <c r="S222" s="45"/>
    </row>
    <row r="223" spans="1:19" s="29" customFormat="1" ht="15.6">
      <c r="A223" s="412"/>
      <c r="B223" s="347"/>
      <c r="C223" s="323"/>
      <c r="D223" s="323"/>
      <c r="E223" s="323"/>
      <c r="F223" s="323"/>
      <c r="G223" s="332"/>
      <c r="H223" s="388"/>
      <c r="R223" s="53"/>
      <c r="S223" s="45"/>
    </row>
    <row r="224" spans="1:19" s="29" customFormat="1" ht="33" customHeight="1">
      <c r="A224" s="1009" t="s">
        <v>0</v>
      </c>
      <c r="B224" s="1010"/>
      <c r="C224" s="136"/>
      <c r="D224" s="136"/>
      <c r="E224" s="137" t="s">
        <v>4</v>
      </c>
      <c r="F224" s="137" t="s">
        <v>70</v>
      </c>
      <c r="G224" s="138" t="s">
        <v>21</v>
      </c>
      <c r="H224" s="475" t="s">
        <v>63</v>
      </c>
      <c r="R224" s="53"/>
      <c r="S224" s="45"/>
    </row>
    <row r="225" spans="1:19" s="29" customFormat="1" ht="15.6">
      <c r="A225" s="454" t="s">
        <v>276</v>
      </c>
      <c r="B225" s="109" t="s">
        <v>277</v>
      </c>
      <c r="C225" s="110"/>
      <c r="D225" s="110"/>
      <c r="E225" s="110"/>
      <c r="F225" s="58"/>
      <c r="G225" s="139"/>
      <c r="H225" s="476"/>
      <c r="J225" s="134"/>
      <c r="R225" s="53"/>
      <c r="S225" s="45"/>
    </row>
    <row r="226" spans="1:19" s="29" customFormat="1" ht="15.6">
      <c r="A226" s="411">
        <v>1.1000000000000001</v>
      </c>
      <c r="B226" s="836" t="s">
        <v>123</v>
      </c>
      <c r="C226" s="837"/>
      <c r="D226" s="838"/>
      <c r="E226" s="167"/>
      <c r="F226" s="140"/>
      <c r="G226" s="141"/>
      <c r="H226" s="441">
        <f t="shared" ref="H226:H231" si="4">F226*G226</f>
        <v>0</v>
      </c>
      <c r="R226" s="53"/>
      <c r="S226" s="45"/>
    </row>
    <row r="227" spans="1:19" s="29" customFormat="1" ht="15.6">
      <c r="A227" s="406">
        <v>1.2</v>
      </c>
      <c r="B227" s="1004" t="s">
        <v>124</v>
      </c>
      <c r="C227" s="1005"/>
      <c r="D227" s="1006"/>
      <c r="E227" s="167"/>
      <c r="F227" s="140"/>
      <c r="G227" s="141"/>
      <c r="H227" s="441">
        <f t="shared" si="4"/>
        <v>0</v>
      </c>
      <c r="R227" s="53"/>
      <c r="S227" s="45"/>
    </row>
    <row r="228" spans="1:19" s="29" customFormat="1" ht="15.6">
      <c r="A228" s="411">
        <v>1.3</v>
      </c>
      <c r="B228" s="836" t="s">
        <v>115</v>
      </c>
      <c r="C228" s="837"/>
      <c r="D228" s="838"/>
      <c r="E228" s="167"/>
      <c r="F228" s="140"/>
      <c r="G228" s="141"/>
      <c r="H228" s="441">
        <f t="shared" si="4"/>
        <v>0</v>
      </c>
      <c r="R228" s="53"/>
      <c r="S228" s="45"/>
    </row>
    <row r="229" spans="1:19" s="29" customFormat="1" ht="15.6">
      <c r="A229" s="411">
        <v>1.4</v>
      </c>
      <c r="B229" s="836" t="s">
        <v>305</v>
      </c>
      <c r="C229" s="837"/>
      <c r="D229" s="838"/>
      <c r="E229" s="167"/>
      <c r="F229" s="140"/>
      <c r="G229" s="141"/>
      <c r="H229" s="441">
        <f t="shared" si="4"/>
        <v>0</v>
      </c>
      <c r="R229" s="53"/>
      <c r="S229" s="45"/>
    </row>
    <row r="230" spans="1:19" s="29" customFormat="1" ht="15.6">
      <c r="A230" s="411">
        <v>1.5</v>
      </c>
      <c r="B230" s="836"/>
      <c r="C230" s="837"/>
      <c r="D230" s="838"/>
      <c r="E230" s="167"/>
      <c r="F230" s="140"/>
      <c r="G230" s="141"/>
      <c r="H230" s="441">
        <f t="shared" si="4"/>
        <v>0</v>
      </c>
      <c r="R230" s="53"/>
      <c r="S230" s="45"/>
    </row>
    <row r="231" spans="1:19" s="29" customFormat="1" ht="15.6">
      <c r="A231" s="411">
        <v>1.6</v>
      </c>
      <c r="B231" s="836"/>
      <c r="C231" s="837"/>
      <c r="D231" s="838"/>
      <c r="E231" s="111"/>
      <c r="F231" s="142"/>
      <c r="G231" s="67"/>
      <c r="H231" s="441">
        <f t="shared" si="4"/>
        <v>0</v>
      </c>
      <c r="R231" s="53"/>
      <c r="S231" s="45"/>
    </row>
    <row r="232" spans="1:19" s="29" customFormat="1" ht="15.6">
      <c r="A232" s="454" t="s">
        <v>279</v>
      </c>
      <c r="B232" s="109" t="s">
        <v>278</v>
      </c>
      <c r="C232" s="110"/>
      <c r="D232" s="110"/>
      <c r="E232" s="110"/>
      <c r="F232" s="58"/>
      <c r="G232" s="139"/>
      <c r="H232" s="476"/>
      <c r="R232" s="53"/>
      <c r="S232" s="45"/>
    </row>
    <row r="233" spans="1:19" s="29" customFormat="1">
      <c r="A233" s="411">
        <v>2.1</v>
      </c>
      <c r="B233" s="1001" t="s">
        <v>138</v>
      </c>
      <c r="C233" s="1002"/>
      <c r="D233" s="1003"/>
      <c r="E233" s="157" t="s">
        <v>410</v>
      </c>
      <c r="F233" s="527">
        <v>2</v>
      </c>
      <c r="G233" s="528"/>
      <c r="H233" s="441">
        <f>IFERROR(VLOOKUP(E233,K234:L237,2,FALSE),0)</f>
        <v>0</v>
      </c>
      <c r="K233" s="29" t="s">
        <v>410</v>
      </c>
      <c r="L233" s="29">
        <v>0</v>
      </c>
      <c r="R233" s="53"/>
      <c r="S233" s="45"/>
    </row>
    <row r="234" spans="1:19" s="29" customFormat="1" ht="15.6">
      <c r="A234" s="412"/>
      <c r="B234" s="322"/>
      <c r="C234" s="323"/>
      <c r="D234" s="323"/>
      <c r="E234" s="323"/>
      <c r="F234" s="323"/>
      <c r="G234" s="330" t="s">
        <v>139</v>
      </c>
      <c r="H234" s="477">
        <f>IFERROR(MIN(SUM(H226:H233),G222),0)</f>
        <v>0</v>
      </c>
      <c r="K234" s="29" t="s">
        <v>406</v>
      </c>
      <c r="L234" s="29">
        <v>2</v>
      </c>
      <c r="R234" s="45"/>
      <c r="S234" s="45"/>
    </row>
    <row r="235" spans="1:19" s="29" customFormat="1">
      <c r="A235" s="412"/>
      <c r="B235" s="325"/>
      <c r="C235" s="323"/>
      <c r="D235" s="323"/>
      <c r="E235" s="323"/>
      <c r="F235" s="323"/>
      <c r="G235" s="332"/>
      <c r="H235" s="388"/>
      <c r="K235" s="29" t="s">
        <v>407</v>
      </c>
      <c r="L235" s="29">
        <v>2</v>
      </c>
      <c r="R235" s="45"/>
      <c r="S235" s="45"/>
    </row>
    <row r="236" spans="1:19" s="29" customFormat="1" ht="15.6">
      <c r="A236" s="412"/>
      <c r="B236" s="325"/>
      <c r="C236" s="323"/>
      <c r="D236" s="323"/>
      <c r="E236" s="323"/>
      <c r="F236" s="323"/>
      <c r="G236" s="330" t="s">
        <v>69</v>
      </c>
      <c r="H236" s="445">
        <f>IFERROR(H84+H183+H220+H234,0)</f>
        <v>0</v>
      </c>
      <c r="K236" s="29" t="s">
        <v>408</v>
      </c>
      <c r="L236" s="29">
        <v>2</v>
      </c>
      <c r="R236" s="45"/>
      <c r="S236" s="45"/>
    </row>
    <row r="237" spans="1:19" s="29" customFormat="1">
      <c r="A237" s="412"/>
      <c r="B237" s="325"/>
      <c r="C237" s="323"/>
      <c r="D237" s="323"/>
      <c r="E237" s="323"/>
      <c r="F237" s="323"/>
      <c r="G237" s="332"/>
      <c r="H237" s="388"/>
      <c r="K237" s="29" t="s">
        <v>409</v>
      </c>
      <c r="L237" s="29">
        <v>2</v>
      </c>
      <c r="R237" s="53"/>
      <c r="S237" s="45"/>
    </row>
    <row r="238" spans="1:19" s="29" customFormat="1" ht="15.75" customHeight="1">
      <c r="A238" s="412"/>
      <c r="B238" s="345" t="s">
        <v>37</v>
      </c>
      <c r="C238" s="332"/>
      <c r="D238" s="1013" t="s">
        <v>415</v>
      </c>
      <c r="E238" s="1013"/>
      <c r="F238" s="1013"/>
      <c r="G238" s="332"/>
      <c r="H238" s="478"/>
      <c r="R238" s="53"/>
      <c r="S238" s="45"/>
    </row>
    <row r="239" spans="1:19" s="29" customFormat="1" ht="15.6">
      <c r="A239" s="412"/>
      <c r="B239" s="346"/>
      <c r="C239" s="332"/>
      <c r="D239" s="1013"/>
      <c r="E239" s="1013"/>
      <c r="F239" s="1013"/>
      <c r="G239" s="332"/>
      <c r="H239" s="478"/>
      <c r="R239" s="53"/>
      <c r="S239" s="45"/>
    </row>
    <row r="240" spans="1:19" s="29" customFormat="1" ht="15.6">
      <c r="A240" s="479" t="s">
        <v>280</v>
      </c>
      <c r="B240" s="346" t="s">
        <v>100</v>
      </c>
      <c r="C240" s="369">
        <f>IFERROR(SUM(G29+G32+G34+G35+G44+G47),0)</f>
        <v>0</v>
      </c>
      <c r="D240" s="332" t="s">
        <v>284</v>
      </c>
      <c r="E240" s="141"/>
      <c r="F240" s="332" t="s">
        <v>285</v>
      </c>
      <c r="G240" s="144">
        <f>MIN(IFERROR(SUM(C240+E240),0),100%)</f>
        <v>0</v>
      </c>
      <c r="H240" s="388"/>
      <c r="M240" s="53"/>
      <c r="N240" s="45"/>
    </row>
    <row r="241" spans="1:19" s="29" customFormat="1" ht="15.6">
      <c r="A241" s="479" t="s">
        <v>281</v>
      </c>
      <c r="B241" s="346" t="s">
        <v>101</v>
      </c>
      <c r="C241" s="369">
        <f>IFERROR(SUM(F19+G91+G93+G95+G98+G101+G102+G103+G104+G105),0)</f>
        <v>0</v>
      </c>
      <c r="D241" s="332" t="s">
        <v>284</v>
      </c>
      <c r="E241" s="141"/>
      <c r="F241" s="332" t="s">
        <v>285</v>
      </c>
      <c r="G241" s="144">
        <f t="shared" ref="G241:G242" si="5">MIN(IFERROR(SUM(C241+E241),0),100%)</f>
        <v>0</v>
      </c>
      <c r="H241" s="388"/>
      <c r="M241" s="53"/>
      <c r="N241" s="45"/>
    </row>
    <row r="242" spans="1:19" s="29" customFormat="1" ht="15.6">
      <c r="A242" s="479" t="s">
        <v>282</v>
      </c>
      <c r="B242" s="346" t="s">
        <v>102</v>
      </c>
      <c r="C242" s="369">
        <f>IFERROR(G197,0)</f>
        <v>0</v>
      </c>
      <c r="D242" s="332" t="s">
        <v>284</v>
      </c>
      <c r="E242" s="141"/>
      <c r="F242" s="303" t="s">
        <v>285</v>
      </c>
      <c r="G242" s="144">
        <f t="shared" si="5"/>
        <v>0</v>
      </c>
      <c r="H242" s="283"/>
      <c r="I242" s="3"/>
      <c r="J242" s="3"/>
      <c r="K242" s="3"/>
      <c r="L242" s="3"/>
      <c r="M242" s="53"/>
      <c r="N242" s="45"/>
    </row>
    <row r="243" spans="1:19" s="29" customFormat="1" ht="15.6" thickBot="1">
      <c r="A243" s="491"/>
      <c r="B243" s="492"/>
      <c r="C243" s="493"/>
      <c r="D243" s="493"/>
      <c r="E243" s="493"/>
      <c r="F243" s="493"/>
      <c r="G243" s="638"/>
      <c r="H243" s="639"/>
      <c r="K243" s="3"/>
      <c r="L243" s="3"/>
      <c r="M243" s="3"/>
      <c r="N243" s="3"/>
      <c r="O243" s="3"/>
      <c r="P243" s="3"/>
      <c r="Q243" s="3"/>
      <c r="R243" s="53"/>
      <c r="S243" s="45"/>
    </row>
    <row r="244" spans="1:19" s="29" customFormat="1">
      <c r="A244" s="174"/>
      <c r="B244" s="3"/>
      <c r="C244" s="3"/>
      <c r="D244" s="3"/>
      <c r="E244" s="3"/>
      <c r="F244" s="3"/>
      <c r="G244" s="10"/>
      <c r="H244" s="3"/>
      <c r="K244" s="3"/>
      <c r="L244" s="3"/>
      <c r="M244" s="3"/>
      <c r="N244" s="3"/>
      <c r="O244" s="3"/>
      <c r="P244" s="3"/>
      <c r="Q244" s="3"/>
      <c r="R244" s="53"/>
      <c r="S244" s="45"/>
    </row>
    <row r="245" spans="1:19" s="29" customFormat="1">
      <c r="A245" s="174"/>
      <c r="B245" s="3"/>
      <c r="C245" s="3"/>
      <c r="D245" s="3"/>
      <c r="E245" s="3"/>
      <c r="F245" s="3"/>
      <c r="G245" s="10"/>
      <c r="H245" s="3"/>
      <c r="K245" s="3"/>
      <c r="L245" s="3"/>
      <c r="M245" s="3"/>
      <c r="N245" s="3"/>
      <c r="O245" s="3"/>
      <c r="P245" s="3"/>
      <c r="Q245" s="3"/>
      <c r="R245" s="53"/>
      <c r="S245" s="45"/>
    </row>
    <row r="246" spans="1:19" s="29" customFormat="1">
      <c r="A246" s="174"/>
      <c r="B246" s="3"/>
      <c r="C246" s="3"/>
      <c r="D246" s="3"/>
      <c r="E246" s="3"/>
      <c r="F246" s="3"/>
      <c r="G246" s="10"/>
      <c r="H246" s="3"/>
      <c r="K246" s="3"/>
      <c r="L246" s="3"/>
      <c r="M246" s="3"/>
      <c r="N246" s="3"/>
      <c r="O246" s="3"/>
      <c r="P246" s="3"/>
      <c r="Q246" s="3"/>
      <c r="R246" s="53"/>
      <c r="S246" s="45"/>
    </row>
    <row r="247" spans="1:19" s="29" customFormat="1">
      <c r="A247" s="174"/>
      <c r="B247" s="3"/>
      <c r="C247" s="3"/>
      <c r="D247" s="3"/>
      <c r="E247" s="3"/>
      <c r="F247" s="3"/>
      <c r="G247" s="10"/>
      <c r="H247" s="3"/>
      <c r="K247" s="3"/>
      <c r="L247" s="3"/>
      <c r="M247" s="3"/>
      <c r="N247" s="3"/>
      <c r="O247" s="3"/>
      <c r="P247" s="3"/>
      <c r="Q247" s="3"/>
      <c r="R247" s="45"/>
      <c r="S247" s="45"/>
    </row>
    <row r="248" spans="1:19" s="29" customFormat="1">
      <c r="A248" s="174"/>
      <c r="B248" s="3"/>
      <c r="C248" s="3"/>
      <c r="D248" s="3"/>
      <c r="E248" s="3"/>
      <c r="F248" s="3"/>
      <c r="G248" s="10"/>
      <c r="H248" s="3"/>
      <c r="K248" s="3"/>
      <c r="L248" s="3"/>
      <c r="M248" s="3"/>
      <c r="N248" s="3"/>
      <c r="O248" s="3"/>
      <c r="P248" s="3"/>
      <c r="Q248" s="3"/>
      <c r="R248" s="45"/>
      <c r="S248" s="45"/>
    </row>
    <row r="249" spans="1:19" s="29" customFormat="1">
      <c r="A249" s="174"/>
      <c r="B249" s="3"/>
      <c r="C249" s="3"/>
      <c r="D249" s="3"/>
      <c r="E249" s="3"/>
      <c r="F249" s="3"/>
      <c r="G249" s="10"/>
      <c r="H249" s="3"/>
      <c r="K249" s="3"/>
      <c r="L249" s="3"/>
      <c r="M249" s="3"/>
      <c r="N249" s="3"/>
      <c r="O249" s="3"/>
      <c r="P249" s="3"/>
      <c r="Q249" s="3"/>
      <c r="R249" s="45"/>
      <c r="S249" s="45"/>
    </row>
    <row r="250" spans="1:19" s="29" customFormat="1">
      <c r="A250" s="174"/>
      <c r="B250" s="3"/>
      <c r="C250" s="3"/>
      <c r="D250" s="3"/>
      <c r="E250" s="3"/>
      <c r="F250" s="3"/>
      <c r="G250" s="10"/>
      <c r="H250" s="3"/>
      <c r="K250" s="3"/>
      <c r="L250" s="3"/>
      <c r="M250" s="3"/>
      <c r="N250" s="3"/>
      <c r="O250" s="3"/>
      <c r="P250" s="3"/>
      <c r="Q250" s="3"/>
      <c r="R250" s="45"/>
      <c r="S250" s="45"/>
    </row>
  </sheetData>
  <sheetProtection algorithmName="SHA-512" hashValue="BqQ4NZz5Trm2xgOMRTIr24KuHPuyVCzEc7FQnJTe71V6RKzol04wY1j+mcFgHRHD2mVzomKCgceAIEHbajYyGA==" saltValue="4vlKo31f4AXbMOCNIB0tzg==" spinCount="100000" sheet="1" selectLockedCells="1"/>
  <mergeCells count="228">
    <mergeCell ref="B233:D233"/>
    <mergeCell ref="D238:F239"/>
    <mergeCell ref="B178:C178"/>
    <mergeCell ref="E180:F180"/>
    <mergeCell ref="A187:B187"/>
    <mergeCell ref="B190:C190"/>
    <mergeCell ref="B192:C192"/>
    <mergeCell ref="B194:C194"/>
    <mergeCell ref="A199:B200"/>
    <mergeCell ref="C199:C200"/>
    <mergeCell ref="D199:D200"/>
    <mergeCell ref="E199:F199"/>
    <mergeCell ref="B195:C195"/>
    <mergeCell ref="B196:C196"/>
    <mergeCell ref="B179:C179"/>
    <mergeCell ref="B180:C180"/>
    <mergeCell ref="A213:B214"/>
    <mergeCell ref="C213:C214"/>
    <mergeCell ref="D213:D214"/>
    <mergeCell ref="E213:F213"/>
    <mergeCell ref="B226:D226"/>
    <mergeCell ref="A167:A168"/>
    <mergeCell ref="D167:D168"/>
    <mergeCell ref="E167:E168"/>
    <mergeCell ref="F167:F168"/>
    <mergeCell ref="G167:G168"/>
    <mergeCell ref="H167:H168"/>
    <mergeCell ref="B170:C170"/>
    <mergeCell ref="A175:B176"/>
    <mergeCell ref="C175:C176"/>
    <mergeCell ref="D175:D176"/>
    <mergeCell ref="E175:F175"/>
    <mergeCell ref="G175:G176"/>
    <mergeCell ref="H175:H176"/>
    <mergeCell ref="B167:C167"/>
    <mergeCell ref="A158:A159"/>
    <mergeCell ref="B158:C159"/>
    <mergeCell ref="B162:C162"/>
    <mergeCell ref="A165:A166"/>
    <mergeCell ref="B165:C165"/>
    <mergeCell ref="D165:D166"/>
    <mergeCell ref="E165:E166"/>
    <mergeCell ref="F165:F166"/>
    <mergeCell ref="G165:G166"/>
    <mergeCell ref="B163:C163"/>
    <mergeCell ref="B160:C160"/>
    <mergeCell ref="B166:C166"/>
    <mergeCell ref="B129:C129"/>
    <mergeCell ref="B133:C133"/>
    <mergeCell ref="A140:B140"/>
    <mergeCell ref="F140:G140"/>
    <mergeCell ref="D142:D143"/>
    <mergeCell ref="E142:E143"/>
    <mergeCell ref="F142:G142"/>
    <mergeCell ref="A146:B147"/>
    <mergeCell ref="C146:C147"/>
    <mergeCell ref="D146:D147"/>
    <mergeCell ref="E146:F146"/>
    <mergeCell ref="G146:G147"/>
    <mergeCell ref="B130:C130"/>
    <mergeCell ref="B137:C137"/>
    <mergeCell ref="F143:G143"/>
    <mergeCell ref="B134:C134"/>
    <mergeCell ref="B135:C135"/>
    <mergeCell ref="B136:C136"/>
    <mergeCell ref="A126:A127"/>
    <mergeCell ref="B126:C126"/>
    <mergeCell ref="D126:D127"/>
    <mergeCell ref="E126:E127"/>
    <mergeCell ref="F126:F127"/>
    <mergeCell ref="G126:G127"/>
    <mergeCell ref="H126:H127"/>
    <mergeCell ref="B127:C127"/>
    <mergeCell ref="A122:A123"/>
    <mergeCell ref="B124:C124"/>
    <mergeCell ref="B101:D101"/>
    <mergeCell ref="R101:R102"/>
    <mergeCell ref="B108:D108"/>
    <mergeCell ref="B122:C122"/>
    <mergeCell ref="D122:D123"/>
    <mergeCell ref="E122:E123"/>
    <mergeCell ref="F122:F123"/>
    <mergeCell ref="G122:G123"/>
    <mergeCell ref="H122:H123"/>
    <mergeCell ref="B105:D105"/>
    <mergeCell ref="B110:D110"/>
    <mergeCell ref="B114:D114"/>
    <mergeCell ref="B102:D102"/>
    <mergeCell ref="B123:C123"/>
    <mergeCell ref="B103:D103"/>
    <mergeCell ref="B104:D104"/>
    <mergeCell ref="B113:D113"/>
    <mergeCell ref="B109:D109"/>
    <mergeCell ref="B112:D112"/>
    <mergeCell ref="B120:C120"/>
    <mergeCell ref="E58:F58"/>
    <mergeCell ref="G58:G59"/>
    <mergeCell ref="H58:H59"/>
    <mergeCell ref="B64:C64"/>
    <mergeCell ref="D66:D69"/>
    <mergeCell ref="B74:C74"/>
    <mergeCell ref="B94:D94"/>
    <mergeCell ref="B95:D95"/>
    <mergeCell ref="B65:C65"/>
    <mergeCell ref="E71:F71"/>
    <mergeCell ref="B75:C75"/>
    <mergeCell ref="B80:C80"/>
    <mergeCell ref="B70:C70"/>
    <mergeCell ref="B71:C71"/>
    <mergeCell ref="B73:C73"/>
    <mergeCell ref="B77:C77"/>
    <mergeCell ref="B79:C79"/>
    <mergeCell ref="B91:D91"/>
    <mergeCell ref="B93:D93"/>
    <mergeCell ref="E93:E94"/>
    <mergeCell ref="B81:C81"/>
    <mergeCell ref="H29:H30"/>
    <mergeCell ref="B30:D30"/>
    <mergeCell ref="B32:D32"/>
    <mergeCell ref="B34:D34"/>
    <mergeCell ref="A35:A36"/>
    <mergeCell ref="B35:D36"/>
    <mergeCell ref="E35:E36"/>
    <mergeCell ref="H35:H36"/>
    <mergeCell ref="E37:E42"/>
    <mergeCell ref="H37:H42"/>
    <mergeCell ref="B42:D42"/>
    <mergeCell ref="B41:D41"/>
    <mergeCell ref="B38:D38"/>
    <mergeCell ref="B46:D46"/>
    <mergeCell ref="B54:D54"/>
    <mergeCell ref="B44:D44"/>
    <mergeCell ref="B45:D45"/>
    <mergeCell ref="B53:D53"/>
    <mergeCell ref="B39:D39"/>
    <mergeCell ref="B37:D37"/>
    <mergeCell ref="B40:D40"/>
    <mergeCell ref="B69:C69"/>
    <mergeCell ref="B61:C61"/>
    <mergeCell ref="B67:C67"/>
    <mergeCell ref="B62:C62"/>
    <mergeCell ref="B66:C66"/>
    <mergeCell ref="B68:C68"/>
    <mergeCell ref="B63:C63"/>
    <mergeCell ref="B55:D55"/>
    <mergeCell ref="A58:B59"/>
    <mergeCell ref="D58:D59"/>
    <mergeCell ref="B47:D47"/>
    <mergeCell ref="B51:D51"/>
    <mergeCell ref="B50:D50"/>
    <mergeCell ref="A4:B4"/>
    <mergeCell ref="D7:G7"/>
    <mergeCell ref="A7:B7"/>
    <mergeCell ref="B29:D29"/>
    <mergeCell ref="B20:C20"/>
    <mergeCell ref="B21:C21"/>
    <mergeCell ref="B22:C22"/>
    <mergeCell ref="D11:D12"/>
    <mergeCell ref="E11:E12"/>
    <mergeCell ref="F11:F12"/>
    <mergeCell ref="B14:C14"/>
    <mergeCell ref="B15:C15"/>
    <mergeCell ref="A29:A30"/>
    <mergeCell ref="E29:E30"/>
    <mergeCell ref="F29:F30"/>
    <mergeCell ref="G29:G30"/>
    <mergeCell ref="A11:B12"/>
    <mergeCell ref="B17:C17"/>
    <mergeCell ref="B19:C19"/>
    <mergeCell ref="B16:C16"/>
    <mergeCell ref="B96:D96"/>
    <mergeCell ref="B99:D99"/>
    <mergeCell ref="F93:F94"/>
    <mergeCell ref="G93:G94"/>
    <mergeCell ref="H93:H94"/>
    <mergeCell ref="A95:A96"/>
    <mergeCell ref="E95:E96"/>
    <mergeCell ref="F95:F96"/>
    <mergeCell ref="G95:G96"/>
    <mergeCell ref="H95:H96"/>
    <mergeCell ref="A93:A94"/>
    <mergeCell ref="A98:A99"/>
    <mergeCell ref="B98:D98"/>
    <mergeCell ref="E98:E99"/>
    <mergeCell ref="F98:F99"/>
    <mergeCell ref="G98:G99"/>
    <mergeCell ref="H98:H99"/>
    <mergeCell ref="B151:C151"/>
    <mergeCell ref="E153:F153"/>
    <mergeCell ref="E154:F154"/>
    <mergeCell ref="H146:H147"/>
    <mergeCell ref="B150:C150"/>
    <mergeCell ref="A152:A153"/>
    <mergeCell ref="B152:C153"/>
    <mergeCell ref="E152:F152"/>
    <mergeCell ref="G152:G153"/>
    <mergeCell ref="H152:H153"/>
    <mergeCell ref="A154:A157"/>
    <mergeCell ref="B154:C157"/>
    <mergeCell ref="G154:G157"/>
    <mergeCell ref="E156:F156"/>
    <mergeCell ref="E157:F157"/>
    <mergeCell ref="E155:F155"/>
    <mergeCell ref="H154:H157"/>
    <mergeCell ref="G213:G214"/>
    <mergeCell ref="H213:H214"/>
    <mergeCell ref="B217:C217"/>
    <mergeCell ref="B228:D228"/>
    <mergeCell ref="B230:D230"/>
    <mergeCell ref="B231:D231"/>
    <mergeCell ref="B229:D229"/>
    <mergeCell ref="I154:I158"/>
    <mergeCell ref="B171:C171"/>
    <mergeCell ref="B172:C172"/>
    <mergeCell ref="B168:C168"/>
    <mergeCell ref="B209:C209"/>
    <mergeCell ref="B210:C210"/>
    <mergeCell ref="B205:C205"/>
    <mergeCell ref="B206:C206"/>
    <mergeCell ref="B204:C204"/>
    <mergeCell ref="H199:H200"/>
    <mergeCell ref="B203:C203"/>
    <mergeCell ref="B208:C208"/>
    <mergeCell ref="G199:G200"/>
    <mergeCell ref="H165:H166"/>
    <mergeCell ref="B216:C216"/>
    <mergeCell ref="A224:B224"/>
    <mergeCell ref="B227:D227"/>
  </mergeCells>
  <dataValidations count="3">
    <dataValidation type="list" allowBlank="1" showInputMessage="1" showErrorMessage="1" sqref="A7" xr:uid="{C895E7E6-2E58-4856-8AAF-B329EE791C04}">
      <formula1>$K$1:$K$7</formula1>
    </dataValidation>
    <dataValidation type="list" allowBlank="1" showInputMessage="1" showErrorMessage="1" sqref="E233" xr:uid="{6F8F8A09-ED6D-4317-826F-E1C6FBEFFA7F}">
      <formula1>$K$233:$K$237</formula1>
    </dataValidation>
    <dataValidation type="list" allowBlank="1" showInputMessage="1" showErrorMessage="1" sqref="F143:G143" xr:uid="{B35B2668-C00C-49D1-A6A9-96E3B1F0198C}">
      <formula1>$L$140:$Q$140</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73"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77" t="s">
        <v>90</v>
      </c>
      <c r="B1" s="378"/>
      <c r="C1" s="378"/>
      <c r="D1" s="378"/>
      <c r="E1" s="378"/>
      <c r="F1" s="378"/>
      <c r="G1" s="378"/>
      <c r="H1" s="379"/>
      <c r="K1" s="3" t="s">
        <v>41</v>
      </c>
    </row>
    <row r="2" spans="1:16">
      <c r="A2" s="380"/>
      <c r="B2" s="281"/>
      <c r="C2" s="281"/>
      <c r="D2" s="281"/>
      <c r="E2" s="281"/>
      <c r="F2" s="281"/>
      <c r="G2" s="282"/>
      <c r="H2" s="283"/>
      <c r="J2" s="6"/>
      <c r="K2" s="6" t="s">
        <v>428</v>
      </c>
    </row>
    <row r="3" spans="1:16" ht="15.6">
      <c r="A3" s="381" t="s">
        <v>378</v>
      </c>
      <c r="B3" s="281"/>
      <c r="C3" s="281"/>
      <c r="D3" s="349" t="s">
        <v>143</v>
      </c>
      <c r="E3" s="349" t="s">
        <v>144</v>
      </c>
      <c r="F3" s="349" t="s">
        <v>145</v>
      </c>
      <c r="G3" s="306" t="s">
        <v>105</v>
      </c>
      <c r="H3" s="292" t="s">
        <v>63</v>
      </c>
      <c r="J3" s="6"/>
      <c r="K3" s="6" t="s">
        <v>45</v>
      </c>
    </row>
    <row r="4" spans="1:16" ht="15.6">
      <c r="A4" s="862">
        <f>Summary!A6</f>
        <v>0</v>
      </c>
      <c r="B4" s="863"/>
      <c r="C4" s="281"/>
      <c r="D4" s="78">
        <f>H84</f>
        <v>0</v>
      </c>
      <c r="E4" s="166">
        <f>H183</f>
        <v>0</v>
      </c>
      <c r="F4" s="133">
        <f>H220</f>
        <v>0</v>
      </c>
      <c r="G4" s="143">
        <f>H234</f>
        <v>0</v>
      </c>
      <c r="H4" s="382">
        <f>H236</f>
        <v>0</v>
      </c>
      <c r="J4" s="6"/>
      <c r="K4" s="6" t="s">
        <v>15</v>
      </c>
    </row>
    <row r="5" spans="1:16">
      <c r="A5" s="380"/>
      <c r="B5" s="281"/>
      <c r="C5" s="281"/>
      <c r="D5" s="281"/>
      <c r="E5" s="281"/>
      <c r="F5" s="281"/>
      <c r="G5" s="282"/>
      <c r="H5" s="283"/>
      <c r="J5" s="6"/>
      <c r="K5" s="6" t="s">
        <v>16</v>
      </c>
    </row>
    <row r="6" spans="1:16" s="4" customFormat="1" ht="15.6">
      <c r="A6" s="381" t="s">
        <v>91</v>
      </c>
      <c r="B6" s="313"/>
      <c r="C6" s="313"/>
      <c r="D6" s="314" t="s">
        <v>35</v>
      </c>
      <c r="E6" s="281"/>
      <c r="F6" s="281"/>
      <c r="G6" s="282"/>
      <c r="H6" s="283"/>
      <c r="J6" s="6"/>
      <c r="K6" s="6" t="s">
        <v>427</v>
      </c>
      <c r="L6" s="3"/>
      <c r="M6" s="3"/>
      <c r="N6" s="3"/>
    </row>
    <row r="7" spans="1:16" ht="15.75" customHeight="1">
      <c r="A7" s="842" t="s">
        <v>428</v>
      </c>
      <c r="B7" s="843"/>
      <c r="D7" s="835">
        <f>Summary!A82</f>
        <v>0</v>
      </c>
      <c r="E7" s="785"/>
      <c r="F7" s="785"/>
      <c r="G7" s="786"/>
      <c r="H7" s="383"/>
      <c r="J7" s="29"/>
      <c r="K7" s="29" t="s">
        <v>426</v>
      </c>
    </row>
    <row r="8" spans="1:16" ht="15.6" thickBot="1">
      <c r="A8" s="380"/>
      <c r="B8" s="315"/>
      <c r="C8" s="281"/>
      <c r="D8" s="281"/>
      <c r="E8" s="281"/>
      <c r="F8" s="281"/>
      <c r="G8" s="282"/>
      <c r="H8" s="283"/>
    </row>
    <row r="9" spans="1:16" ht="16.2" thickBot="1">
      <c r="A9" s="384" t="s">
        <v>126</v>
      </c>
      <c r="B9" s="145"/>
      <c r="C9" s="145"/>
      <c r="D9" s="145"/>
      <c r="E9" s="145"/>
      <c r="F9" s="146"/>
      <c r="G9" s="16"/>
      <c r="H9" s="385"/>
    </row>
    <row r="10" spans="1:16">
      <c r="A10" s="380"/>
      <c r="B10" s="316"/>
      <c r="C10" s="281"/>
      <c r="D10" s="281"/>
      <c r="E10" s="281"/>
      <c r="F10" s="281"/>
      <c r="G10" s="282"/>
      <c r="H10" s="283"/>
    </row>
    <row r="11" spans="1:16" ht="15.75" customHeight="1">
      <c r="A11" s="963" t="s">
        <v>0</v>
      </c>
      <c r="B11" s="964"/>
      <c r="C11" s="153"/>
      <c r="D11" s="985" t="s">
        <v>4</v>
      </c>
      <c r="E11" s="984" t="s">
        <v>81</v>
      </c>
      <c r="F11" s="984" t="s">
        <v>21</v>
      </c>
      <c r="G11" s="317"/>
      <c r="H11" s="386"/>
    </row>
    <row r="12" spans="1:16" ht="15.75" customHeight="1">
      <c r="A12" s="965"/>
      <c r="B12" s="966"/>
      <c r="C12" s="154"/>
      <c r="D12" s="986"/>
      <c r="E12" s="984"/>
      <c r="F12" s="984"/>
      <c r="G12" s="317"/>
      <c r="H12" s="386"/>
    </row>
    <row r="13" spans="1:16" s="29" customFormat="1" ht="15.6">
      <c r="A13" s="387" t="s">
        <v>128</v>
      </c>
      <c r="B13" s="180"/>
      <c r="C13" s="180"/>
      <c r="D13" s="180"/>
      <c r="E13" s="183"/>
      <c r="F13" s="183"/>
      <c r="G13" s="318"/>
      <c r="H13" s="388"/>
      <c r="O13" s="45"/>
      <c r="P13" s="45"/>
    </row>
    <row r="14" spans="1:16">
      <c r="A14" s="389">
        <v>1</v>
      </c>
      <c r="B14" s="987" t="s">
        <v>287</v>
      </c>
      <c r="C14" s="851"/>
      <c r="D14" s="149" t="s">
        <v>2</v>
      </c>
      <c r="E14" s="54" t="s">
        <v>50</v>
      </c>
      <c r="F14" s="30"/>
      <c r="G14" s="278"/>
      <c r="H14" s="304"/>
      <c r="I14" s="148" t="s">
        <v>143</v>
      </c>
      <c r="K14" s="152" t="str">
        <f>IF(F14&lt;65%,"Min. 65% coverage"," ")</f>
        <v>Min. 65% coverage</v>
      </c>
    </row>
    <row r="15" spans="1:16" ht="30.75" customHeight="1">
      <c r="A15" s="389">
        <v>2</v>
      </c>
      <c r="B15" s="987" t="s">
        <v>376</v>
      </c>
      <c r="C15" s="851"/>
      <c r="D15" s="150" t="s">
        <v>51</v>
      </c>
      <c r="E15" s="31" t="s">
        <v>50</v>
      </c>
      <c r="F15" s="547"/>
      <c r="G15" s="278"/>
      <c r="H15" s="283"/>
      <c r="I15" s="148" t="s">
        <v>144</v>
      </c>
      <c r="K15" s="152" t="str">
        <f>IF(F15&lt;65%,"Min. 80% coverage"," ")</f>
        <v>Min. 80% coverage</v>
      </c>
    </row>
    <row r="16" spans="1:16" ht="15" customHeight="1">
      <c r="A16" s="389">
        <v>3</v>
      </c>
      <c r="B16" s="987" t="s">
        <v>375</v>
      </c>
      <c r="C16" s="851"/>
      <c r="D16" s="150" t="s">
        <v>51</v>
      </c>
      <c r="E16" s="31" t="s">
        <v>50</v>
      </c>
      <c r="F16" s="547"/>
      <c r="G16" s="278"/>
      <c r="H16" s="386"/>
      <c r="I16" s="3" t="s">
        <v>143</v>
      </c>
      <c r="K16" s="152" t="str">
        <f>IF(F16&lt;65%,"Min. 65% coverage"," ")</f>
        <v>Min. 65% coverage</v>
      </c>
    </row>
    <row r="17" spans="1:19">
      <c r="A17" s="389">
        <v>4</v>
      </c>
      <c r="B17" s="886" t="s">
        <v>191</v>
      </c>
      <c r="C17" s="884"/>
      <c r="D17" s="147" t="s">
        <v>3</v>
      </c>
      <c r="E17" s="31" t="s">
        <v>50</v>
      </c>
      <c r="F17" s="547"/>
      <c r="G17" s="278"/>
      <c r="H17" s="386"/>
      <c r="I17" s="3" t="s">
        <v>145</v>
      </c>
      <c r="K17" s="152" t="str">
        <f>IF(F17&lt;65%,"Min. 65% coverage"," ")</f>
        <v>Min. 65% coverage</v>
      </c>
    </row>
    <row r="18" spans="1:19" s="29" customFormat="1" ht="15.6">
      <c r="A18" s="390" t="s">
        <v>127</v>
      </c>
      <c r="B18" s="180"/>
      <c r="C18" s="180"/>
      <c r="D18" s="180"/>
      <c r="E18" s="181"/>
      <c r="F18" s="182"/>
      <c r="G18" s="319"/>
      <c r="H18" s="388"/>
      <c r="K18" s="10"/>
      <c r="O18" s="45"/>
      <c r="P18" s="45"/>
    </row>
    <row r="19" spans="1:19" ht="32.25" customHeight="1">
      <c r="A19" s="391">
        <v>5</v>
      </c>
      <c r="B19" s="873" t="s">
        <v>288</v>
      </c>
      <c r="C19" s="989"/>
      <c r="D19" s="151" t="s">
        <v>3</v>
      </c>
      <c r="E19" s="536"/>
      <c r="F19" s="31">
        <f>IFERROR(E19/$F$115,0)</f>
        <v>0</v>
      </c>
      <c r="G19" s="278"/>
      <c r="H19" s="386"/>
      <c r="I19" s="3" t="s">
        <v>144</v>
      </c>
      <c r="K19" s="152" t="str">
        <f>IF($A$7=$K$2,IF(E19=0,"Please input wall length"," ")," ")</f>
        <v>Please input wall length</v>
      </c>
    </row>
    <row r="20" spans="1:19">
      <c r="A20" s="391">
        <v>6</v>
      </c>
      <c r="B20" s="987" t="s">
        <v>289</v>
      </c>
      <c r="C20" s="851"/>
      <c r="D20" s="190" t="s">
        <v>51</v>
      </c>
      <c r="E20" s="31" t="s">
        <v>50</v>
      </c>
      <c r="F20" s="30"/>
      <c r="G20" s="278"/>
      <c r="H20" s="386"/>
      <c r="I20" s="3" t="s">
        <v>144</v>
      </c>
      <c r="K20" s="152" t="str">
        <f>IF($A$7=$K$2,IF(F20&lt;65%,"Min. 65% coverage"," ")," ")</f>
        <v>Min. 65% coverage</v>
      </c>
    </row>
    <row r="21" spans="1:19">
      <c r="A21" s="391">
        <v>7</v>
      </c>
      <c r="B21" s="886" t="s">
        <v>306</v>
      </c>
      <c r="C21" s="884"/>
      <c r="D21" s="150" t="s">
        <v>51</v>
      </c>
      <c r="E21" s="31" t="s">
        <v>50</v>
      </c>
      <c r="F21" s="547"/>
      <c r="G21" s="278"/>
      <c r="H21" s="386"/>
      <c r="I21" s="3" t="s">
        <v>143</v>
      </c>
      <c r="K21" s="152" t="str">
        <f>IF($A$7=$K$2,IF(F21&lt;65%,"Min. 65% coverage"," ")," ")</f>
        <v>Min. 65% coverage</v>
      </c>
    </row>
    <row r="22" spans="1:19">
      <c r="A22" s="391" t="s">
        <v>308</v>
      </c>
      <c r="B22" s="886" t="s">
        <v>307</v>
      </c>
      <c r="C22" s="884"/>
      <c r="D22" s="150" t="s">
        <v>51</v>
      </c>
      <c r="E22" s="31" t="s">
        <v>50</v>
      </c>
      <c r="F22" s="547"/>
      <c r="G22" s="278"/>
      <c r="H22" s="386"/>
      <c r="K22" s="152"/>
    </row>
    <row r="23" spans="1:19">
      <c r="A23" s="380"/>
      <c r="B23" s="281"/>
      <c r="C23" s="281"/>
      <c r="D23" s="281"/>
      <c r="E23" s="281"/>
      <c r="F23" s="281"/>
      <c r="G23" s="282"/>
      <c r="H23" s="283"/>
      <c r="K23" s="6"/>
    </row>
    <row r="24" spans="1:19" ht="15.6">
      <c r="A24" s="392" t="s">
        <v>44</v>
      </c>
      <c r="B24" s="169"/>
      <c r="C24" s="169"/>
      <c r="D24" s="169"/>
      <c r="E24" s="169"/>
      <c r="F24" s="170" t="s">
        <v>43</v>
      </c>
      <c r="G24" s="171">
        <f>VLOOKUP($A$7,'Manpower allocation'!A4:D11,2,FALSE)*100</f>
        <v>45</v>
      </c>
      <c r="H24" s="393" t="s">
        <v>42</v>
      </c>
      <c r="J24" s="497">
        <f>VLOOKUP($A$7,'Manpower allocation'!A4:D11,2,FALSE)*100</f>
        <v>45</v>
      </c>
      <c r="K24" s="6"/>
    </row>
    <row r="25" spans="1:19" ht="15.6">
      <c r="A25" s="380"/>
      <c r="B25" s="320"/>
      <c r="C25" s="321"/>
      <c r="D25" s="281"/>
      <c r="E25" s="281"/>
      <c r="F25" s="281"/>
      <c r="G25" s="282"/>
      <c r="H25" s="283"/>
      <c r="K25" s="6"/>
    </row>
    <row r="26" spans="1:19" s="29" customFormat="1" ht="46.8">
      <c r="A26" s="394" t="s">
        <v>0</v>
      </c>
      <c r="B26" s="41"/>
      <c r="C26" s="41"/>
      <c r="D26" s="42"/>
      <c r="E26" s="43" t="s">
        <v>17</v>
      </c>
      <c r="F26" s="43" t="s">
        <v>114</v>
      </c>
      <c r="G26" s="43" t="s">
        <v>18</v>
      </c>
      <c r="H26" s="395" t="s">
        <v>53</v>
      </c>
      <c r="K26" s="44"/>
      <c r="R26" s="45"/>
      <c r="S26" s="45"/>
    </row>
    <row r="27" spans="1:19" s="29" customFormat="1" ht="15.6">
      <c r="A27" s="396" t="s">
        <v>198</v>
      </c>
      <c r="B27" s="46" t="s">
        <v>214</v>
      </c>
      <c r="C27" s="47"/>
      <c r="D27" s="47"/>
      <c r="E27" s="48"/>
      <c r="F27" s="48"/>
      <c r="G27" s="48"/>
      <c r="H27" s="397"/>
      <c r="R27" s="45"/>
      <c r="S27" s="45"/>
    </row>
    <row r="28" spans="1:19" s="29" customFormat="1" ht="15.6">
      <c r="A28" s="398">
        <v>1</v>
      </c>
      <c r="B28" s="40" t="s">
        <v>338</v>
      </c>
      <c r="C28" s="41"/>
      <c r="D28" s="49"/>
      <c r="E28" s="41"/>
      <c r="F28" s="50"/>
      <c r="G28" s="50"/>
      <c r="H28" s="399"/>
      <c r="R28" s="45"/>
      <c r="S28" s="45"/>
    </row>
    <row r="29" spans="1:19" s="29" customFormat="1">
      <c r="A29" s="980">
        <v>1.1000000000000001</v>
      </c>
      <c r="B29" s="852" t="s">
        <v>290</v>
      </c>
      <c r="C29" s="988"/>
      <c r="D29" s="988"/>
      <c r="E29" s="904">
        <f>VLOOKUP(A29,'Point Allocation'!$A$5:$J$15,MATCH(A7,'Point Allocation'!$A$5:$J$5,0),0)</f>
        <v>45</v>
      </c>
      <c r="F29" s="1014"/>
      <c r="G29" s="1015">
        <f>IFERROR(F29/$F$56,0)</f>
        <v>0</v>
      </c>
      <c r="H29" s="909">
        <f>E29*G29</f>
        <v>0</v>
      </c>
      <c r="R29" s="45"/>
      <c r="S29" s="45"/>
    </row>
    <row r="30" spans="1:19" s="29" customFormat="1" ht="15.6">
      <c r="A30" s="981"/>
      <c r="B30" s="998" t="s">
        <v>401</v>
      </c>
      <c r="C30" s="998"/>
      <c r="D30" s="998"/>
      <c r="E30" s="904"/>
      <c r="F30" s="1014"/>
      <c r="G30" s="1015">
        <f t="shared" ref="G30" si="0">IFERROR(F30/$F$56,0)</f>
        <v>0</v>
      </c>
      <c r="H30" s="909"/>
      <c r="R30" s="45"/>
      <c r="S30" s="45"/>
    </row>
    <row r="31" spans="1:19" s="29" customFormat="1" ht="15.6">
      <c r="A31" s="398">
        <v>2</v>
      </c>
      <c r="B31" s="40" t="s">
        <v>339</v>
      </c>
      <c r="C31" s="51"/>
      <c r="D31" s="49"/>
      <c r="E31" s="52"/>
      <c r="F31" s="8"/>
      <c r="G31" s="22"/>
      <c r="H31" s="400"/>
      <c r="R31" s="53"/>
      <c r="S31" s="45"/>
    </row>
    <row r="32" spans="1:19" s="29" customFormat="1">
      <c r="A32" s="401">
        <v>2.1</v>
      </c>
      <c r="B32" s="885" t="s">
        <v>203</v>
      </c>
      <c r="C32" s="886"/>
      <c r="D32" s="884"/>
      <c r="E32" s="20">
        <f>VLOOKUP(A32,'Point Allocation'!$A$5:$J$15,MATCH(A7,'Point Allocation'!$A$5:$J$5,0),0)</f>
        <v>42</v>
      </c>
      <c r="F32" s="536"/>
      <c r="G32" s="31">
        <f>IFERROR(F32/$F$56,0)</f>
        <v>0</v>
      </c>
      <c r="H32" s="405">
        <f>E32*G32</f>
        <v>0</v>
      </c>
      <c r="R32" s="53"/>
      <c r="S32" s="45"/>
    </row>
    <row r="33" spans="1:19" s="29" customFormat="1" ht="15.6">
      <c r="A33" s="398">
        <v>3</v>
      </c>
      <c r="B33" s="40" t="s">
        <v>340</v>
      </c>
      <c r="C33" s="51"/>
      <c r="D33" s="49"/>
      <c r="E33" s="52"/>
      <c r="F33" s="8"/>
      <c r="G33" s="22"/>
      <c r="H33" s="400"/>
      <c r="R33" s="53"/>
      <c r="S33" s="45"/>
    </row>
    <row r="34" spans="1:19" s="29" customFormat="1" ht="15" customHeight="1">
      <c r="A34" s="401">
        <v>3.1</v>
      </c>
      <c r="B34" s="885" t="s">
        <v>587</v>
      </c>
      <c r="C34" s="886"/>
      <c r="D34" s="884"/>
      <c r="E34" s="20">
        <f>VLOOKUP(A34,'Point Allocation'!$A$5:$J$15,MATCH(A7,'Point Allocation'!$A$5:$J$5,0),0)</f>
        <v>39</v>
      </c>
      <c r="F34" s="37"/>
      <c r="G34" s="31">
        <f>IFERROR(F34/$F$56,0)</f>
        <v>0</v>
      </c>
      <c r="H34" s="419">
        <f>E34*G34</f>
        <v>0</v>
      </c>
      <c r="R34" s="53"/>
      <c r="S34" s="45"/>
    </row>
    <row r="35" spans="1:19" s="29" customFormat="1" ht="31.5" customHeight="1">
      <c r="A35" s="967">
        <v>3.2</v>
      </c>
      <c r="B35" s="969" t="s">
        <v>330</v>
      </c>
      <c r="C35" s="970"/>
      <c r="D35" s="971"/>
      <c r="E35" s="910">
        <f>VLOOKUP(A35,'Point Allocation'!$A$5:$J$15,MATCH(A7,'Point Allocation'!$A$5:$J$5,0),0)</f>
        <v>39</v>
      </c>
      <c r="F35" s="37"/>
      <c r="G35" s="31">
        <f>IFERROR(F35/$F$56,0)</f>
        <v>0</v>
      </c>
      <c r="H35" s="945">
        <f>IF(SUM(J37:J42)&gt;=4,E35*G35,0)</f>
        <v>0</v>
      </c>
      <c r="R35" s="53"/>
      <c r="S35" s="45"/>
    </row>
    <row r="36" spans="1:19" s="29" customFormat="1" ht="31.5" customHeight="1">
      <c r="A36" s="968"/>
      <c r="B36" s="972"/>
      <c r="C36" s="973"/>
      <c r="D36" s="974"/>
      <c r="E36" s="911"/>
      <c r="F36" s="9" t="s">
        <v>130</v>
      </c>
      <c r="G36" s="54" t="s">
        <v>117</v>
      </c>
      <c r="H36" s="947"/>
      <c r="R36" s="53"/>
      <c r="S36" s="45"/>
    </row>
    <row r="37" spans="1:19" s="29" customFormat="1" ht="89.25" customHeight="1">
      <c r="A37" s="402" t="s">
        <v>192</v>
      </c>
      <c r="B37" s="1016" t="s">
        <v>359</v>
      </c>
      <c r="C37" s="1017"/>
      <c r="D37" s="1018"/>
      <c r="E37" s="958"/>
      <c r="F37" s="187" t="s">
        <v>131</v>
      </c>
      <c r="G37" s="546"/>
      <c r="H37" s="946"/>
      <c r="J37" s="55">
        <f t="shared" ref="J37:J42" si="1">IF(G37&gt;=65%,1,0)</f>
        <v>0</v>
      </c>
      <c r="R37" s="53"/>
      <c r="S37" s="45"/>
    </row>
    <row r="38" spans="1:19" s="29" customFormat="1" ht="33.75" customHeight="1">
      <c r="A38" s="402" t="s">
        <v>193</v>
      </c>
      <c r="B38" s="871" t="s">
        <v>215</v>
      </c>
      <c r="C38" s="872"/>
      <c r="D38" s="873"/>
      <c r="E38" s="958"/>
      <c r="F38" s="39" t="s">
        <v>132</v>
      </c>
      <c r="G38" s="547"/>
      <c r="H38" s="946"/>
      <c r="J38" s="55">
        <f t="shared" si="1"/>
        <v>0</v>
      </c>
      <c r="R38" s="53"/>
      <c r="S38" s="45"/>
    </row>
    <row r="39" spans="1:19" s="29" customFormat="1" ht="48.75" customHeight="1">
      <c r="A39" s="402" t="s">
        <v>201</v>
      </c>
      <c r="B39" s="871" t="s">
        <v>216</v>
      </c>
      <c r="C39" s="872"/>
      <c r="D39" s="873"/>
      <c r="E39" s="958"/>
      <c r="F39" s="39" t="s">
        <v>133</v>
      </c>
      <c r="G39" s="547"/>
      <c r="H39" s="946"/>
      <c r="J39" s="55">
        <f t="shared" si="1"/>
        <v>0</v>
      </c>
      <c r="R39" s="53"/>
      <c r="S39" s="45"/>
    </row>
    <row r="40" spans="1:19" s="29" customFormat="1" ht="45">
      <c r="A40" s="402" t="s">
        <v>194</v>
      </c>
      <c r="B40" s="871" t="s">
        <v>217</v>
      </c>
      <c r="C40" s="872"/>
      <c r="D40" s="873"/>
      <c r="E40" s="958"/>
      <c r="F40" s="39" t="s">
        <v>134</v>
      </c>
      <c r="G40" s="547"/>
      <c r="H40" s="946"/>
      <c r="J40" s="55">
        <f t="shared" si="1"/>
        <v>0</v>
      </c>
      <c r="R40" s="53"/>
      <c r="S40" s="45"/>
    </row>
    <row r="41" spans="1:19" s="29" customFormat="1" ht="48.75" customHeight="1">
      <c r="A41" s="402" t="s">
        <v>202</v>
      </c>
      <c r="B41" s="871" t="s">
        <v>218</v>
      </c>
      <c r="C41" s="872"/>
      <c r="D41" s="873"/>
      <c r="E41" s="958"/>
      <c r="F41" s="39" t="s">
        <v>135</v>
      </c>
      <c r="G41" s="547"/>
      <c r="H41" s="946"/>
      <c r="J41" s="55">
        <f t="shared" si="1"/>
        <v>0</v>
      </c>
      <c r="R41" s="53"/>
      <c r="S41" s="45"/>
    </row>
    <row r="42" spans="1:19" s="29" customFormat="1" ht="31.5" customHeight="1">
      <c r="A42" s="402" t="s">
        <v>195</v>
      </c>
      <c r="B42" s="975" t="s">
        <v>345</v>
      </c>
      <c r="C42" s="976"/>
      <c r="D42" s="977"/>
      <c r="E42" s="959"/>
      <c r="F42" s="39" t="s">
        <v>136</v>
      </c>
      <c r="G42" s="547"/>
      <c r="H42" s="947"/>
      <c r="J42" s="55">
        <f t="shared" si="1"/>
        <v>0</v>
      </c>
      <c r="R42" s="53"/>
      <c r="S42" s="45"/>
    </row>
    <row r="43" spans="1:19" s="29" customFormat="1" ht="15.6">
      <c r="A43" s="398" t="s">
        <v>196</v>
      </c>
      <c r="B43" s="40" t="s">
        <v>341</v>
      </c>
      <c r="C43" s="56"/>
      <c r="D43" s="49"/>
      <c r="E43" s="52"/>
      <c r="F43" s="36"/>
      <c r="G43" s="23"/>
      <c r="H43" s="403"/>
      <c r="R43" s="53"/>
      <c r="S43" s="45"/>
    </row>
    <row r="44" spans="1:19" s="29" customFormat="1" ht="31.5" customHeight="1">
      <c r="A44" s="404">
        <v>4.0999999999999996</v>
      </c>
      <c r="B44" s="885" t="s">
        <v>331</v>
      </c>
      <c r="C44" s="886"/>
      <c r="D44" s="884"/>
      <c r="E44" s="20">
        <f>VLOOKUP(A44,'Point Allocation'!$A$5:$J$15,MATCH(A7,'Point Allocation'!$A$5:$J$5,0),0)</f>
        <v>35</v>
      </c>
      <c r="F44" s="536"/>
      <c r="G44" s="31">
        <f>IFERROR(F44/$F$56,0)</f>
        <v>0</v>
      </c>
      <c r="H44" s="405">
        <f>E44*G44</f>
        <v>0</v>
      </c>
      <c r="R44" s="53"/>
      <c r="S44" s="45"/>
    </row>
    <row r="45" spans="1:19" s="29" customFormat="1">
      <c r="A45" s="406">
        <v>4.2</v>
      </c>
      <c r="B45" s="928" t="s">
        <v>348</v>
      </c>
      <c r="C45" s="990"/>
      <c r="D45" s="929"/>
      <c r="E45" s="20">
        <f>VLOOKUP(A45,'Point Allocation'!$A$5:$J$15,MATCH(A7,'Point Allocation'!$A$5:$J$5,0),0)</f>
        <v>35</v>
      </c>
      <c r="F45" s="536"/>
      <c r="G45" s="31">
        <f>IFERROR(F45/$F$56,0)</f>
        <v>0</v>
      </c>
      <c r="H45" s="405">
        <f>E45*G45</f>
        <v>0</v>
      </c>
      <c r="R45" s="53"/>
      <c r="S45" s="45"/>
    </row>
    <row r="46" spans="1:19" s="29" customFormat="1">
      <c r="A46" s="406">
        <v>4.3</v>
      </c>
      <c r="B46" s="960" t="s">
        <v>346</v>
      </c>
      <c r="C46" s="961"/>
      <c r="D46" s="962"/>
      <c r="E46" s="20">
        <f>VLOOKUP(A46,'Point Allocation'!$A$5:$J$15,MATCH(A7,'Point Allocation'!$A$5:$J$5,0),0)</f>
        <v>28</v>
      </c>
      <c r="F46" s="536"/>
      <c r="G46" s="31">
        <f>IFERROR(F46/$F$56,0)</f>
        <v>0</v>
      </c>
      <c r="H46" s="405">
        <f>E46*G46</f>
        <v>0</v>
      </c>
      <c r="R46" s="53"/>
      <c r="S46" s="45"/>
    </row>
    <row r="47" spans="1:19" s="29" customFormat="1">
      <c r="A47" s="404">
        <v>4.4000000000000004</v>
      </c>
      <c r="B47" s="885" t="s">
        <v>347</v>
      </c>
      <c r="C47" s="886"/>
      <c r="D47" s="884"/>
      <c r="E47" s="20">
        <f>VLOOKUP(A47,'Point Allocation'!$A$5:$J$15,MATCH(A7,'Point Allocation'!$A$5:$J$5,0),0)</f>
        <v>28</v>
      </c>
      <c r="F47" s="536"/>
      <c r="G47" s="31">
        <f>IFERROR(F47/$F$56,0)</f>
        <v>0</v>
      </c>
      <c r="H47" s="405">
        <f>E47*G47</f>
        <v>0</v>
      </c>
      <c r="R47" s="53"/>
      <c r="S47" s="45"/>
    </row>
    <row r="48" spans="1:19" s="59" customFormat="1" ht="15.6">
      <c r="A48" s="396" t="s">
        <v>197</v>
      </c>
      <c r="B48" s="46" t="s">
        <v>211</v>
      </c>
      <c r="C48" s="57"/>
      <c r="D48" s="58"/>
      <c r="E48" s="7"/>
      <c r="F48" s="7"/>
      <c r="G48" s="24"/>
      <c r="H48" s="407"/>
      <c r="J48" s="29"/>
      <c r="K48" s="29"/>
      <c r="L48" s="29"/>
      <c r="M48" s="29"/>
      <c r="N48" s="29"/>
      <c r="R48" s="60"/>
    </row>
    <row r="49" spans="1:19" s="59" customFormat="1" ht="15.6">
      <c r="A49" s="408">
        <v>5</v>
      </c>
      <c r="B49" s="40" t="s">
        <v>212</v>
      </c>
      <c r="C49" s="49"/>
      <c r="D49" s="49"/>
      <c r="E49" s="8"/>
      <c r="F49" s="8"/>
      <c r="G49" s="22"/>
      <c r="H49" s="403"/>
      <c r="J49" s="29"/>
      <c r="K49" s="29"/>
      <c r="L49" s="29"/>
      <c r="M49" s="29"/>
      <c r="N49" s="29"/>
      <c r="R49" s="60"/>
    </row>
    <row r="50" spans="1:19" s="29" customFormat="1">
      <c r="A50" s="409">
        <v>5.0999999999999996</v>
      </c>
      <c r="B50" s="844" t="s">
        <v>204</v>
      </c>
      <c r="C50" s="846"/>
      <c r="D50" s="845"/>
      <c r="E50" s="20">
        <f>VLOOKUP(A50,'Point Allocation'!$A$5:$J$15,MATCH(A7,'Point Allocation'!$A$5:$J$5,0),0)</f>
        <v>22</v>
      </c>
      <c r="F50" s="536"/>
      <c r="G50" s="31">
        <f>IFERROR(F50/$F$56,0)</f>
        <v>0</v>
      </c>
      <c r="H50" s="405">
        <f>E50*G50</f>
        <v>0</v>
      </c>
      <c r="R50" s="53"/>
      <c r="S50" s="45"/>
    </row>
    <row r="51" spans="1:19" s="29" customFormat="1">
      <c r="A51" s="409">
        <v>5.2</v>
      </c>
      <c r="B51" s="844" t="s">
        <v>151</v>
      </c>
      <c r="C51" s="846"/>
      <c r="D51" s="845"/>
      <c r="E51" s="20">
        <f>VLOOKUP(A51,'Point Allocation'!$A$5:$J$15,MATCH(A7,'Point Allocation'!$A$5:$J$5,0),0)</f>
        <v>10</v>
      </c>
      <c r="F51" s="536"/>
      <c r="G51" s="31">
        <f>IFERROR(F51/$F$56,0)</f>
        <v>0</v>
      </c>
      <c r="H51" s="405">
        <f>E51*G51</f>
        <v>0</v>
      </c>
      <c r="R51" s="53"/>
      <c r="S51" s="45"/>
    </row>
    <row r="52" spans="1:19" s="29" customFormat="1" ht="15.6">
      <c r="A52" s="410">
        <v>6</v>
      </c>
      <c r="B52" s="61" t="s">
        <v>213</v>
      </c>
      <c r="C52" s="49"/>
      <c r="D52" s="49"/>
      <c r="E52" s="8"/>
      <c r="F52" s="8"/>
      <c r="G52" s="22"/>
      <c r="H52" s="403"/>
      <c r="R52" s="53"/>
      <c r="S52" s="45"/>
    </row>
    <row r="53" spans="1:19" s="29" customFormat="1">
      <c r="A53" s="411">
        <v>6.1</v>
      </c>
      <c r="B53" s="826"/>
      <c r="C53" s="821"/>
      <c r="D53" s="847"/>
      <c r="E53" s="536"/>
      <c r="F53" s="536"/>
      <c r="G53" s="31">
        <f>IFERROR(F53/$F$56,0)</f>
        <v>0</v>
      </c>
      <c r="H53" s="405">
        <f>E53*G53</f>
        <v>0</v>
      </c>
      <c r="R53" s="53"/>
      <c r="S53" s="45"/>
    </row>
    <row r="54" spans="1:19" s="29" customFormat="1">
      <c r="A54" s="411">
        <v>6.2</v>
      </c>
      <c r="B54" s="826"/>
      <c r="C54" s="821"/>
      <c r="D54" s="847"/>
      <c r="E54" s="536"/>
      <c r="F54" s="536"/>
      <c r="G54" s="31">
        <f>IFERROR(F54/$F$56,0)</f>
        <v>0</v>
      </c>
      <c r="H54" s="405">
        <f>E54*G54</f>
        <v>0</v>
      </c>
      <c r="R54" s="53"/>
      <c r="S54" s="45"/>
    </row>
    <row r="55" spans="1:19" s="29" customFormat="1">
      <c r="A55" s="411">
        <v>6.3</v>
      </c>
      <c r="B55" s="826"/>
      <c r="C55" s="821"/>
      <c r="D55" s="847"/>
      <c r="E55" s="536"/>
      <c r="F55" s="536"/>
      <c r="G55" s="31">
        <f>IFERROR(F55/$F$56,0)</f>
        <v>0</v>
      </c>
      <c r="H55" s="405">
        <f>E55*G55</f>
        <v>0</v>
      </c>
      <c r="R55" s="53"/>
      <c r="S55" s="45"/>
    </row>
    <row r="56" spans="1:19" s="29" customFormat="1" ht="15.6">
      <c r="A56" s="412"/>
      <c r="B56" s="322"/>
      <c r="C56" s="323"/>
      <c r="D56" s="323"/>
      <c r="E56" s="324" t="s">
        <v>61</v>
      </c>
      <c r="F56" s="26">
        <f>SUM(F29,F32,F34,F35,F44,F45,F46,F47,F50,F51,F53,F54,F55)</f>
        <v>0</v>
      </c>
      <c r="G56" s="25">
        <f>SUM(G29,G32:G32,G34:G35,G44:G47,G50:G51,G53:G55)</f>
        <v>0</v>
      </c>
      <c r="H56" s="413">
        <f>IFERROR(SUM(H29:H55),0)</f>
        <v>0</v>
      </c>
      <c r="N56" s="62"/>
      <c r="R56" s="53"/>
      <c r="S56" s="45"/>
    </row>
    <row r="57" spans="1:19" s="29" customFormat="1" ht="15.6" thickBot="1">
      <c r="A57" s="491"/>
      <c r="B57" s="492"/>
      <c r="C57" s="493"/>
      <c r="D57" s="493"/>
      <c r="E57" s="493"/>
      <c r="F57" s="493"/>
      <c r="G57" s="480"/>
      <c r="H57" s="639"/>
      <c r="R57" s="53"/>
      <c r="S57" s="45"/>
    </row>
    <row r="58" spans="1:19" s="29" customFormat="1" ht="15.6">
      <c r="A58" s="954" t="s">
        <v>0</v>
      </c>
      <c r="B58" s="955"/>
      <c r="C58" s="646"/>
      <c r="D58" s="978" t="s">
        <v>4</v>
      </c>
      <c r="E58" s="952" t="s">
        <v>1</v>
      </c>
      <c r="F58" s="953"/>
      <c r="G58" s="948" t="s">
        <v>21</v>
      </c>
      <c r="H58" s="950" t="s">
        <v>63</v>
      </c>
      <c r="R58" s="53"/>
      <c r="S58" s="45"/>
    </row>
    <row r="59" spans="1:19" s="29" customFormat="1" ht="31.2">
      <c r="A59" s="956"/>
      <c r="B59" s="957"/>
      <c r="C59" s="63"/>
      <c r="D59" s="979"/>
      <c r="E59" s="43" t="s">
        <v>118</v>
      </c>
      <c r="F59" s="43" t="s">
        <v>119</v>
      </c>
      <c r="G59" s="949"/>
      <c r="H59" s="951"/>
      <c r="J59" s="64"/>
      <c r="R59" s="53"/>
      <c r="S59" s="45"/>
    </row>
    <row r="60" spans="1:19" s="29" customFormat="1" ht="15.6">
      <c r="A60" s="415" t="s">
        <v>219</v>
      </c>
      <c r="B60" s="46" t="s">
        <v>148</v>
      </c>
      <c r="C60" s="58"/>
      <c r="D60" s="65"/>
      <c r="E60" s="48"/>
      <c r="F60" s="48"/>
      <c r="G60" s="48"/>
      <c r="H60" s="416"/>
      <c r="J60" s="62"/>
      <c r="K60" s="62"/>
      <c r="L60" s="62"/>
      <c r="M60" s="62"/>
      <c r="R60" s="53"/>
      <c r="S60" s="45"/>
    </row>
    <row r="61" spans="1:19" s="29" customFormat="1" ht="15" customHeight="1">
      <c r="A61" s="417" t="s">
        <v>349</v>
      </c>
      <c r="B61" s="850" t="s">
        <v>595</v>
      </c>
      <c r="C61" s="851"/>
      <c r="D61" s="5" t="s">
        <v>51</v>
      </c>
      <c r="E61" s="9">
        <v>3</v>
      </c>
      <c r="F61" s="9">
        <v>4</v>
      </c>
      <c r="G61" s="66"/>
      <c r="H61" s="405">
        <f>IF(G61&gt;=80%,F61,IF(G61&lt;65%,0,E61))</f>
        <v>0</v>
      </c>
      <c r="R61" s="53"/>
      <c r="S61" s="45"/>
    </row>
    <row r="62" spans="1:19" s="29" customFormat="1">
      <c r="A62" s="417" t="s">
        <v>350</v>
      </c>
      <c r="B62" s="850" t="s">
        <v>596</v>
      </c>
      <c r="C62" s="851"/>
      <c r="D62" s="5" t="s">
        <v>51</v>
      </c>
      <c r="E62" s="9">
        <v>3</v>
      </c>
      <c r="F62" s="9">
        <v>4</v>
      </c>
      <c r="G62" s="66"/>
      <c r="H62" s="405">
        <f>IF(G62&gt;=80%,F62,IF(G62&lt;65%,0,E62))</f>
        <v>0</v>
      </c>
      <c r="R62" s="53"/>
      <c r="S62" s="45"/>
    </row>
    <row r="63" spans="1:19" s="29" customFormat="1">
      <c r="A63" s="418" t="s">
        <v>351</v>
      </c>
      <c r="B63" s="850" t="s">
        <v>588</v>
      </c>
      <c r="C63" s="851"/>
      <c r="D63" s="5" t="s">
        <v>51</v>
      </c>
      <c r="E63" s="9">
        <v>3</v>
      </c>
      <c r="F63" s="9">
        <v>4</v>
      </c>
      <c r="G63" s="66"/>
      <c r="H63" s="405">
        <f>IF(G63&gt;=80%,F63,IF(G63&lt;65%,0,E63))</f>
        <v>0</v>
      </c>
      <c r="R63" s="53"/>
      <c r="S63" s="45"/>
    </row>
    <row r="64" spans="1:19" s="29" customFormat="1" ht="51" customHeight="1">
      <c r="A64" s="417">
        <v>7.2</v>
      </c>
      <c r="B64" s="1019" t="s">
        <v>354</v>
      </c>
      <c r="C64" s="1019"/>
      <c r="D64" s="518" t="s">
        <v>51</v>
      </c>
      <c r="E64" s="540">
        <v>2</v>
      </c>
      <c r="F64" s="540">
        <v>2.5</v>
      </c>
      <c r="G64" s="516"/>
      <c r="H64" s="419">
        <f>IF(H35&gt;0,0,IF(G64&gt;=80%,F64,IF(G64&lt;65%,0,E64)))</f>
        <v>0</v>
      </c>
      <c r="J64" s="11"/>
      <c r="K64" s="11"/>
      <c r="L64" s="11"/>
      <c r="R64" s="53"/>
      <c r="S64" s="45"/>
    </row>
    <row r="65" spans="1:19" s="29" customFormat="1" ht="15" customHeight="1">
      <c r="A65" s="417">
        <v>7.3</v>
      </c>
      <c r="B65" s="885" t="s">
        <v>226</v>
      </c>
      <c r="C65" s="886"/>
      <c r="D65" s="375"/>
      <c r="E65" s="375"/>
      <c r="F65" s="375"/>
      <c r="G65" s="375"/>
      <c r="H65" s="420"/>
      <c r="J65" s="11"/>
      <c r="K65" s="11"/>
      <c r="L65" s="11"/>
      <c r="R65" s="53"/>
      <c r="S65" s="45"/>
    </row>
    <row r="66" spans="1:19" s="29" customFormat="1" ht="32.25" customHeight="1">
      <c r="A66" s="418" t="s">
        <v>220</v>
      </c>
      <c r="B66" s="883" t="s">
        <v>227</v>
      </c>
      <c r="C66" s="884"/>
      <c r="D66" s="856" t="s">
        <v>51</v>
      </c>
      <c r="E66" s="296">
        <v>1</v>
      </c>
      <c r="F66" s="296">
        <v>1.5</v>
      </c>
      <c r="G66" s="67"/>
      <c r="H66" s="298">
        <f>IF(H29+H35&gt;0,0.5,IF(G66&gt;=80%,F66,IF(G66&lt;65%,0,E66)))</f>
        <v>0</v>
      </c>
      <c r="K66" s="11"/>
      <c r="L66" s="11"/>
      <c r="R66" s="53"/>
      <c r="S66" s="45"/>
    </row>
    <row r="67" spans="1:19" s="29" customFormat="1" ht="47.25" customHeight="1">
      <c r="A67" s="418" t="s">
        <v>221</v>
      </c>
      <c r="B67" s="883" t="s">
        <v>228</v>
      </c>
      <c r="C67" s="884"/>
      <c r="D67" s="857"/>
      <c r="E67" s="296">
        <v>1</v>
      </c>
      <c r="F67" s="296">
        <v>1.5</v>
      </c>
      <c r="G67" s="67"/>
      <c r="H67" s="298">
        <f>IF(H29+H35&gt;0,0.5,IF(G67&gt;=80%,F67,IF(G67&lt;65%,0,E67)))</f>
        <v>0</v>
      </c>
      <c r="R67" s="53"/>
      <c r="S67" s="45"/>
    </row>
    <row r="68" spans="1:19" s="29" customFormat="1">
      <c r="A68" s="418" t="s">
        <v>235</v>
      </c>
      <c r="B68" s="883" t="s">
        <v>229</v>
      </c>
      <c r="C68" s="884"/>
      <c r="D68" s="857"/>
      <c r="E68" s="296">
        <v>1</v>
      </c>
      <c r="F68" s="296">
        <v>1.5</v>
      </c>
      <c r="G68" s="67"/>
      <c r="H68" s="298">
        <f>IF(H29+H35&gt;0,0.5,IF(G68&gt;=80%,F68,IF(G68&lt;65%,0,E68)))</f>
        <v>0</v>
      </c>
      <c r="R68" s="53"/>
      <c r="S68" s="45"/>
    </row>
    <row r="69" spans="1:19" s="29" customFormat="1" ht="46.5" customHeight="1">
      <c r="A69" s="418" t="s">
        <v>222</v>
      </c>
      <c r="B69" s="883" t="s">
        <v>230</v>
      </c>
      <c r="C69" s="884"/>
      <c r="D69" s="858"/>
      <c r="E69" s="296">
        <v>1</v>
      </c>
      <c r="F69" s="296">
        <v>1.5</v>
      </c>
      <c r="G69" s="67"/>
      <c r="H69" s="298">
        <f>IF(H29+H35&gt;0,0.5,IF(G69&gt;=80%,F69,IF(G69&lt;65%,0,E69)))</f>
        <v>0</v>
      </c>
      <c r="R69" s="53"/>
      <c r="S69" s="45"/>
    </row>
    <row r="70" spans="1:19" s="29" customFormat="1">
      <c r="A70" s="417">
        <v>7.4</v>
      </c>
      <c r="B70" s="930" t="s">
        <v>441</v>
      </c>
      <c r="C70" s="930"/>
      <c r="D70" s="350" t="s">
        <v>2</v>
      </c>
      <c r="E70" s="296">
        <v>1</v>
      </c>
      <c r="F70" s="296">
        <v>1.5</v>
      </c>
      <c r="G70" s="67"/>
      <c r="H70" s="298">
        <f>IF(G70&gt;=80%,F70,IF(G70&lt;65%,0,E70))</f>
        <v>0</v>
      </c>
      <c r="R70" s="53"/>
      <c r="S70" s="45"/>
    </row>
    <row r="71" spans="1:19" s="29" customFormat="1" ht="15" customHeight="1">
      <c r="A71" s="526">
        <v>7.5</v>
      </c>
      <c r="B71" s="932" t="s">
        <v>422</v>
      </c>
      <c r="C71" s="932"/>
      <c r="D71" s="561" t="s">
        <v>420</v>
      </c>
      <c r="E71" s="855">
        <v>2</v>
      </c>
      <c r="F71" s="855"/>
      <c r="G71" s="546"/>
      <c r="H71" s="519">
        <f>IF(G71&gt;=5%,E71,0)</f>
        <v>0</v>
      </c>
      <c r="R71" s="53"/>
      <c r="S71" s="45"/>
    </row>
    <row r="72" spans="1:19" s="29" customFormat="1" ht="15.6">
      <c r="A72" s="421" t="s">
        <v>223</v>
      </c>
      <c r="B72" s="68" t="s">
        <v>231</v>
      </c>
      <c r="C72" s="69"/>
      <c r="D72" s="70"/>
      <c r="E72" s="71"/>
      <c r="F72" s="71"/>
      <c r="G72" s="71"/>
      <c r="H72" s="422"/>
      <c r="R72" s="53"/>
      <c r="S72" s="45"/>
    </row>
    <row r="73" spans="1:19" s="29" customFormat="1">
      <c r="A73" s="417">
        <v>8.1</v>
      </c>
      <c r="B73" s="852" t="s">
        <v>232</v>
      </c>
      <c r="C73" s="852"/>
      <c r="D73" s="5" t="s">
        <v>51</v>
      </c>
      <c r="E73" s="20">
        <v>2</v>
      </c>
      <c r="F73" s="20">
        <v>2.5</v>
      </c>
      <c r="G73" s="72"/>
      <c r="H73" s="405">
        <f>IF(G73&gt;=80%,F73,IF(G73&lt;65%,0,E73))</f>
        <v>0</v>
      </c>
      <c r="J73" s="73"/>
      <c r="R73" s="53"/>
      <c r="S73" s="45"/>
    </row>
    <row r="74" spans="1:19" s="29" customFormat="1">
      <c r="A74" s="417">
        <v>8.1999999999999993</v>
      </c>
      <c r="B74" s="852" t="s">
        <v>233</v>
      </c>
      <c r="C74" s="852"/>
      <c r="D74" s="5" t="s">
        <v>51</v>
      </c>
      <c r="E74" s="20">
        <v>2</v>
      </c>
      <c r="F74" s="20">
        <v>2.5</v>
      </c>
      <c r="G74" s="72"/>
      <c r="H74" s="405">
        <f>IF(G74&gt;=80%,F74,IF(G74&lt;65%,0,E74))</f>
        <v>0</v>
      </c>
      <c r="J74" s="11"/>
      <c r="K74" s="11"/>
      <c r="L74" s="11"/>
      <c r="R74" s="53"/>
      <c r="S74" s="45"/>
    </row>
    <row r="75" spans="1:19" s="29" customFormat="1">
      <c r="A75" s="417">
        <v>8.3000000000000007</v>
      </c>
      <c r="B75" s="874" t="s">
        <v>147</v>
      </c>
      <c r="C75" s="875"/>
      <c r="D75" s="5" t="s">
        <v>2</v>
      </c>
      <c r="E75" s="20">
        <v>2</v>
      </c>
      <c r="F75" s="20">
        <v>2.5</v>
      </c>
      <c r="G75" s="66"/>
      <c r="H75" s="405">
        <f>IF(G75&gt;=80%,F75,IF(G75&lt;65%,0,E75))</f>
        <v>0</v>
      </c>
      <c r="R75" s="53"/>
      <c r="S75" s="45"/>
    </row>
    <row r="76" spans="1:19" s="29" customFormat="1" ht="15.6">
      <c r="A76" s="421" t="s">
        <v>224</v>
      </c>
      <c r="B76" s="68" t="s">
        <v>234</v>
      </c>
      <c r="C76" s="69"/>
      <c r="D76" s="70"/>
      <c r="E76" s="71"/>
      <c r="F76" s="71"/>
      <c r="G76" s="71"/>
      <c r="H76" s="422"/>
      <c r="R76" s="53"/>
      <c r="S76" s="45"/>
    </row>
    <row r="77" spans="1:19" s="29" customFormat="1" ht="31.5" customHeight="1">
      <c r="A77" s="417">
        <v>9.1</v>
      </c>
      <c r="B77" s="852" t="s">
        <v>371</v>
      </c>
      <c r="C77" s="852"/>
      <c r="D77" s="5" t="s">
        <v>51</v>
      </c>
      <c r="E77" s="20">
        <v>2</v>
      </c>
      <c r="F77" s="20">
        <v>2.5</v>
      </c>
      <c r="G77" s="72"/>
      <c r="H77" s="405">
        <f>IF(G77&gt;=80%,F77,IF(G77&lt;65%,0,E77))</f>
        <v>0</v>
      </c>
      <c r="R77" s="53"/>
      <c r="S77" s="45"/>
    </row>
    <row r="78" spans="1:19" s="29" customFormat="1" ht="15.6">
      <c r="A78" s="423" t="s">
        <v>225</v>
      </c>
      <c r="B78" s="74" t="s">
        <v>213</v>
      </c>
      <c r="C78" s="58"/>
      <c r="D78" s="58"/>
      <c r="E78" s="75"/>
      <c r="F78" s="75"/>
      <c r="G78" s="76"/>
      <c r="H78" s="424"/>
      <c r="R78" s="53"/>
      <c r="S78" s="45"/>
    </row>
    <row r="79" spans="1:19" s="29" customFormat="1">
      <c r="A79" s="417">
        <v>10.1</v>
      </c>
      <c r="B79" s="848"/>
      <c r="C79" s="848"/>
      <c r="D79" s="77"/>
      <c r="E79" s="536"/>
      <c r="F79" s="536"/>
      <c r="G79" s="547"/>
      <c r="H79" s="405">
        <f>IF(G79&gt;=80%,F79,IF(G79&lt;65%,0,E79))</f>
        <v>0</v>
      </c>
      <c r="R79" s="53"/>
      <c r="S79" s="45"/>
    </row>
    <row r="80" spans="1:19" s="29" customFormat="1">
      <c r="A80" s="417">
        <v>10.199999999999999</v>
      </c>
      <c r="B80" s="848"/>
      <c r="C80" s="848"/>
      <c r="D80" s="77"/>
      <c r="E80" s="536"/>
      <c r="F80" s="536"/>
      <c r="G80" s="547"/>
      <c r="H80" s="405">
        <f>IF(G80&gt;=80%,F80,IF(G80&lt;65%,0,E80))</f>
        <v>0</v>
      </c>
      <c r="R80" s="53"/>
      <c r="S80" s="45"/>
    </row>
    <row r="81" spans="1:19" s="29" customFormat="1">
      <c r="A81" s="417">
        <v>10.3</v>
      </c>
      <c r="B81" s="848"/>
      <c r="C81" s="848"/>
      <c r="D81" s="77"/>
      <c r="E81" s="536"/>
      <c r="F81" s="536"/>
      <c r="G81" s="547"/>
      <c r="H81" s="405">
        <f>IF(G81&gt;=80%,F81,IF(G81&lt;65%,0,E81))</f>
        <v>0</v>
      </c>
      <c r="R81" s="53"/>
      <c r="S81" s="45"/>
    </row>
    <row r="82" spans="1:19" s="29" customFormat="1" ht="15.6">
      <c r="A82" s="425"/>
      <c r="B82" s="325"/>
      <c r="C82" s="323"/>
      <c r="D82" s="323"/>
      <c r="E82" s="326"/>
      <c r="F82" s="327"/>
      <c r="G82" s="328" t="s">
        <v>418</v>
      </c>
      <c r="H82" s="426">
        <f>IFERROR((SUM(H61:H81)),0)</f>
        <v>0</v>
      </c>
      <c r="R82" s="53"/>
      <c r="S82" s="45"/>
    </row>
    <row r="83" spans="1:19" s="29" customFormat="1">
      <c r="A83" s="412"/>
      <c r="B83" s="325"/>
      <c r="C83" s="323"/>
      <c r="D83" s="323"/>
      <c r="E83" s="323"/>
      <c r="F83" s="323"/>
      <c r="G83" s="329"/>
      <c r="H83" s="388"/>
      <c r="R83" s="53"/>
      <c r="S83" s="45"/>
    </row>
    <row r="84" spans="1:19" s="29" customFormat="1" ht="15.6">
      <c r="A84" s="412"/>
      <c r="B84" s="325"/>
      <c r="C84" s="323"/>
      <c r="D84" s="323"/>
      <c r="E84" s="323"/>
      <c r="F84" s="323"/>
      <c r="G84" s="330" t="s">
        <v>129</v>
      </c>
      <c r="H84" s="427">
        <f>IFERROR(MIN(G24,H56+H82),0)</f>
        <v>0</v>
      </c>
      <c r="R84" s="53"/>
      <c r="S84" s="45"/>
    </row>
    <row r="85" spans="1:19" s="29" customFormat="1" ht="16.2" thickBot="1">
      <c r="A85" s="491"/>
      <c r="B85" s="492"/>
      <c r="C85" s="493"/>
      <c r="D85" s="493"/>
      <c r="E85" s="493"/>
      <c r="F85" s="493"/>
      <c r="G85" s="496"/>
      <c r="H85" s="495"/>
      <c r="R85" s="53"/>
      <c r="S85" s="45"/>
    </row>
    <row r="86" spans="1:19" s="29" customFormat="1" ht="15.6">
      <c r="A86" s="486" t="s">
        <v>52</v>
      </c>
      <c r="B86" s="487"/>
      <c r="C86" s="487"/>
      <c r="D86" s="487"/>
      <c r="E86" s="487"/>
      <c r="F86" s="488" t="s">
        <v>43</v>
      </c>
      <c r="G86" s="489">
        <f>VLOOKUP($A$7,'Manpower allocation'!A4:D11,3,FALSE)*100</f>
        <v>40</v>
      </c>
      <c r="H86" s="490" t="s">
        <v>42</v>
      </c>
      <c r="J86" s="79">
        <f>VLOOKUP($A$7,'Manpower allocation'!A4:D11,3,FALSE)*100</f>
        <v>40</v>
      </c>
      <c r="R86" s="53"/>
      <c r="S86" s="45"/>
    </row>
    <row r="87" spans="1:19" s="29" customFormat="1" ht="15.6">
      <c r="A87" s="412"/>
      <c r="B87" s="331"/>
      <c r="C87" s="326"/>
      <c r="D87" s="323"/>
      <c r="E87" s="323"/>
      <c r="F87" s="323"/>
      <c r="G87" s="332"/>
      <c r="H87" s="388"/>
      <c r="R87" s="53"/>
      <c r="S87" s="45"/>
    </row>
    <row r="88" spans="1:19" s="29" customFormat="1" ht="46.8">
      <c r="A88" s="549" t="s">
        <v>0</v>
      </c>
      <c r="B88" s="550"/>
      <c r="C88" s="168"/>
      <c r="D88" s="80"/>
      <c r="E88" s="81" t="s">
        <v>17</v>
      </c>
      <c r="F88" s="82" t="s">
        <v>81</v>
      </c>
      <c r="G88" s="82" t="s">
        <v>20</v>
      </c>
      <c r="H88" s="428" t="s">
        <v>53</v>
      </c>
      <c r="R88" s="53"/>
      <c r="S88" s="45"/>
    </row>
    <row r="89" spans="1:19" s="29" customFormat="1" ht="15.6">
      <c r="A89" s="429" t="s">
        <v>303</v>
      </c>
      <c r="B89" s="83" t="s">
        <v>332</v>
      </c>
      <c r="C89" s="84"/>
      <c r="D89" s="84"/>
      <c r="E89" s="85"/>
      <c r="F89" s="85"/>
      <c r="G89" s="85"/>
      <c r="H89" s="430"/>
      <c r="R89" s="53"/>
      <c r="S89" s="45"/>
    </row>
    <row r="90" spans="1:19" s="29" customFormat="1" ht="15.6">
      <c r="A90" s="431">
        <v>1</v>
      </c>
      <c r="B90" s="86" t="s">
        <v>338</v>
      </c>
      <c r="C90" s="87"/>
      <c r="D90" s="87"/>
      <c r="E90" s="88"/>
      <c r="F90" s="88"/>
      <c r="G90" s="88"/>
      <c r="H90" s="432"/>
      <c r="R90" s="53"/>
      <c r="S90" s="45"/>
    </row>
    <row r="91" spans="1:19" s="29" customFormat="1">
      <c r="A91" s="417">
        <v>1.1000000000000001</v>
      </c>
      <c r="B91" s="885" t="s">
        <v>290</v>
      </c>
      <c r="C91" s="846"/>
      <c r="D91" s="845"/>
      <c r="E91" s="89">
        <f>VLOOKUP(A91,'Point Allocation'!$A$20:$J$40,MATCH(A7,'Point Allocation'!$A$20:$J$20,0),0)</f>
        <v>30</v>
      </c>
      <c r="F91" s="90"/>
      <c r="G91" s="91">
        <f>IFERROR(F91/$F$115,0)</f>
        <v>0</v>
      </c>
      <c r="H91" s="433">
        <f>E91*G91</f>
        <v>0</v>
      </c>
      <c r="R91" s="45"/>
      <c r="S91" s="45"/>
    </row>
    <row r="92" spans="1:19" s="29" customFormat="1" ht="15.6">
      <c r="A92" s="434">
        <v>2</v>
      </c>
      <c r="B92" s="92" t="s">
        <v>339</v>
      </c>
      <c r="C92" s="93"/>
      <c r="D92" s="94"/>
      <c r="E92" s="94"/>
      <c r="F92" s="95"/>
      <c r="G92" s="96"/>
      <c r="H92" s="435"/>
      <c r="R92" s="53"/>
      <c r="S92" s="45"/>
    </row>
    <row r="93" spans="1:19" s="29" customFormat="1">
      <c r="A93" s="849">
        <v>2.1</v>
      </c>
      <c r="B93" s="844" t="s">
        <v>207</v>
      </c>
      <c r="C93" s="846"/>
      <c r="D93" s="845"/>
      <c r="E93" s="853">
        <f>VLOOKUP(A93,'Point Allocation'!$A$20:$J$40,MATCH(A7,'Point Allocation'!$A$20:$J$20,0),0)</f>
        <v>28</v>
      </c>
      <c r="F93" s="854"/>
      <c r="G93" s="914">
        <f>IFERROR(F93/$F$115,0)</f>
        <v>0</v>
      </c>
      <c r="H93" s="921">
        <f>E93*G93</f>
        <v>0</v>
      </c>
      <c r="R93" s="53"/>
      <c r="S93" s="45"/>
    </row>
    <row r="94" spans="1:19" s="29" customFormat="1" ht="15.6">
      <c r="A94" s="841"/>
      <c r="B94" s="836" t="s">
        <v>120</v>
      </c>
      <c r="C94" s="837"/>
      <c r="D94" s="838"/>
      <c r="E94" s="853"/>
      <c r="F94" s="854"/>
      <c r="G94" s="914"/>
      <c r="H94" s="921"/>
      <c r="R94" s="53"/>
      <c r="S94" s="45"/>
    </row>
    <row r="95" spans="1:19" s="29" customFormat="1">
      <c r="A95" s="849">
        <v>2.2000000000000002</v>
      </c>
      <c r="B95" s="885" t="s">
        <v>178</v>
      </c>
      <c r="C95" s="886"/>
      <c r="D95" s="884"/>
      <c r="E95" s="853">
        <f>VLOOKUP(A95,'Point Allocation'!$A$20:$J$40,MATCH(A7,'Point Allocation'!$A$20:$J$20,0),0)</f>
        <v>28</v>
      </c>
      <c r="F95" s="854"/>
      <c r="G95" s="914">
        <f>IFERROR(F95/$F$115,0)</f>
        <v>0</v>
      </c>
      <c r="H95" s="921">
        <f>E95*G95</f>
        <v>0</v>
      </c>
      <c r="R95" s="53"/>
      <c r="S95" s="45"/>
    </row>
    <row r="96" spans="1:19" s="29" customFormat="1" ht="15.6">
      <c r="A96" s="882"/>
      <c r="B96" s="836" t="s">
        <v>120</v>
      </c>
      <c r="C96" s="837"/>
      <c r="D96" s="838"/>
      <c r="E96" s="853"/>
      <c r="F96" s="854"/>
      <c r="G96" s="914"/>
      <c r="H96" s="921"/>
      <c r="R96" s="53"/>
      <c r="S96" s="45"/>
    </row>
    <row r="97" spans="1:19" s="29" customFormat="1" ht="15.6">
      <c r="A97" s="431">
        <v>3</v>
      </c>
      <c r="B97" s="86" t="s">
        <v>340</v>
      </c>
      <c r="C97" s="93"/>
      <c r="D97" s="93"/>
      <c r="E97" s="95"/>
      <c r="F97" s="95"/>
      <c r="G97" s="96"/>
      <c r="H97" s="436"/>
      <c r="R97" s="53"/>
      <c r="S97" s="45"/>
    </row>
    <row r="98" spans="1:19" s="29" customFormat="1">
      <c r="A98" s="849">
        <v>3.1</v>
      </c>
      <c r="B98" s="844" t="s">
        <v>208</v>
      </c>
      <c r="C98" s="846"/>
      <c r="D98" s="845"/>
      <c r="E98" s="853">
        <f>VLOOKUP(A98,'Point Allocation'!$A$20:$J$40,MATCH(A7,'Point Allocation'!$A$20:$J$20,0),0)</f>
        <v>27</v>
      </c>
      <c r="F98" s="854"/>
      <c r="G98" s="914">
        <f>IFERROR(F98/$F$115,0)</f>
        <v>0</v>
      </c>
      <c r="H98" s="921">
        <f>E98*G98</f>
        <v>0</v>
      </c>
      <c r="R98" s="53"/>
      <c r="S98" s="45"/>
    </row>
    <row r="99" spans="1:19" s="29" customFormat="1" ht="15.6">
      <c r="A99" s="841"/>
      <c r="B99" s="836" t="s">
        <v>286</v>
      </c>
      <c r="C99" s="837"/>
      <c r="D99" s="838"/>
      <c r="E99" s="853"/>
      <c r="F99" s="854"/>
      <c r="G99" s="914"/>
      <c r="H99" s="921"/>
      <c r="R99" s="53"/>
      <c r="S99" s="45"/>
    </row>
    <row r="100" spans="1:19" s="29" customFormat="1" ht="15.6">
      <c r="A100" s="431">
        <v>4</v>
      </c>
      <c r="B100" s="86" t="s">
        <v>341</v>
      </c>
      <c r="C100" s="93"/>
      <c r="D100" s="93"/>
      <c r="E100" s="95"/>
      <c r="F100" s="95"/>
      <c r="G100" s="96"/>
      <c r="H100" s="436"/>
      <c r="R100" s="53"/>
      <c r="S100" s="45"/>
    </row>
    <row r="101" spans="1:19" s="29" customFormat="1" ht="30" customHeight="1">
      <c r="A101" s="418" t="s">
        <v>205</v>
      </c>
      <c r="B101" s="871" t="s">
        <v>292</v>
      </c>
      <c r="C101" s="872"/>
      <c r="D101" s="873"/>
      <c r="E101" s="97">
        <f>VLOOKUP(A101,'Point Allocation'!$A$20:$J$40,MATCH(A7,'Point Allocation'!$A$20:$J$20,0),0)</f>
        <v>25</v>
      </c>
      <c r="F101" s="537"/>
      <c r="G101" s="538">
        <f>IFERROR(F101/$F$115,0)</f>
        <v>0</v>
      </c>
      <c r="H101" s="437">
        <f>E101*G101</f>
        <v>0</v>
      </c>
      <c r="R101" s="912"/>
      <c r="S101" s="45"/>
    </row>
    <row r="102" spans="1:19" s="29" customFormat="1">
      <c r="A102" s="418" t="s">
        <v>206</v>
      </c>
      <c r="B102" s="871" t="s">
        <v>293</v>
      </c>
      <c r="C102" s="872"/>
      <c r="D102" s="873"/>
      <c r="E102" s="97">
        <f>VLOOKUP(A102,'Point Allocation'!$A$20:$J$40,MATCH(A7,'Point Allocation'!$A$20:$J$20,0),0)</f>
        <v>25</v>
      </c>
      <c r="F102" s="537"/>
      <c r="G102" s="538">
        <f>IFERROR(F102/$F$115,0)</f>
        <v>0</v>
      </c>
      <c r="H102" s="437">
        <f>E102*G102</f>
        <v>0</v>
      </c>
      <c r="R102" s="912"/>
      <c r="S102" s="45"/>
    </row>
    <row r="103" spans="1:19" s="29" customFormat="1">
      <c r="A103" s="417">
        <v>4.2</v>
      </c>
      <c r="B103" s="874" t="s">
        <v>209</v>
      </c>
      <c r="C103" s="931"/>
      <c r="D103" s="875"/>
      <c r="E103" s="97">
        <f>VLOOKUP(A103,'Point Allocation'!$A$20:$J$40,MATCH(A7,'Point Allocation'!$A$20:$J$20,0),0)</f>
        <v>25</v>
      </c>
      <c r="F103" s="537"/>
      <c r="G103" s="538">
        <f>IFERROR(F103/$F$115,0)</f>
        <v>0</v>
      </c>
      <c r="H103" s="437">
        <f>E103*G103</f>
        <v>0</v>
      </c>
      <c r="R103" s="53"/>
      <c r="S103" s="45"/>
    </row>
    <row r="104" spans="1:19" s="29" customFormat="1">
      <c r="A104" s="417">
        <v>4.3</v>
      </c>
      <c r="B104" s="922" t="s">
        <v>159</v>
      </c>
      <c r="C104" s="923"/>
      <c r="D104" s="924"/>
      <c r="E104" s="97">
        <f>VLOOKUP(A104,'Point Allocation'!$A$20:$J$40,MATCH(A7,'Point Allocation'!$A$20:$J$20,0),0)</f>
        <v>25</v>
      </c>
      <c r="F104" s="537"/>
      <c r="G104" s="538">
        <f>IFERROR(F104/$F$115,0)</f>
        <v>0</v>
      </c>
      <c r="H104" s="438">
        <f>E104*G104</f>
        <v>0</v>
      </c>
      <c r="R104" s="53"/>
      <c r="S104" s="45"/>
    </row>
    <row r="105" spans="1:19" s="29" customFormat="1">
      <c r="A105" s="417">
        <v>4.4000000000000004</v>
      </c>
      <c r="B105" s="922" t="s">
        <v>355</v>
      </c>
      <c r="C105" s="923"/>
      <c r="D105" s="924"/>
      <c r="E105" s="97">
        <f>VLOOKUP(A105,'Point Allocation'!$A$20:$J$40,MATCH(A7,'Point Allocation'!$A$20:$J$20,0),0)</f>
        <v>22</v>
      </c>
      <c r="F105" s="537"/>
      <c r="G105" s="538">
        <f>IFERROR(F105/$F$115,0)</f>
        <v>0</v>
      </c>
      <c r="H105" s="438">
        <f>E105*G105</f>
        <v>0</v>
      </c>
      <c r="R105" s="53"/>
      <c r="S105" s="45"/>
    </row>
    <row r="106" spans="1:19" s="29" customFormat="1" ht="15.6">
      <c r="A106" s="439" t="s">
        <v>304</v>
      </c>
      <c r="B106" s="99" t="s">
        <v>236</v>
      </c>
      <c r="C106" s="100"/>
      <c r="D106" s="101"/>
      <c r="E106" s="102"/>
      <c r="F106" s="103"/>
      <c r="G106" s="104"/>
      <c r="H106" s="440"/>
      <c r="R106" s="53"/>
      <c r="S106" s="45"/>
    </row>
    <row r="107" spans="1:19" s="29" customFormat="1" ht="15.6">
      <c r="A107" s="431">
        <v>5</v>
      </c>
      <c r="B107" s="86" t="s">
        <v>237</v>
      </c>
      <c r="C107" s="93"/>
      <c r="D107" s="93"/>
      <c r="E107" s="95"/>
      <c r="F107" s="95"/>
      <c r="G107" s="96"/>
      <c r="H107" s="436"/>
      <c r="R107" s="53"/>
      <c r="S107" s="45"/>
    </row>
    <row r="108" spans="1:19" s="29" customFormat="1">
      <c r="A108" s="417">
        <v>5.0999999999999996</v>
      </c>
      <c r="B108" s="844" t="s">
        <v>210</v>
      </c>
      <c r="C108" s="846"/>
      <c r="D108" s="845"/>
      <c r="E108" s="105">
        <f>VLOOKUP(A108,'Point Allocation'!$A$20:$J$40,MATCH(A7,'Point Allocation'!$A$20:$J$20,0),0)</f>
        <v>16</v>
      </c>
      <c r="F108" s="156"/>
      <c r="G108" s="538">
        <f>IFERROR(F108/$F$115,0)</f>
        <v>0</v>
      </c>
      <c r="H108" s="441">
        <f>E108*G108</f>
        <v>0</v>
      </c>
      <c r="R108" s="53"/>
      <c r="S108" s="45"/>
    </row>
    <row r="109" spans="1:19" s="29" customFormat="1">
      <c r="A109" s="417">
        <v>5.2</v>
      </c>
      <c r="B109" s="844" t="s">
        <v>356</v>
      </c>
      <c r="C109" s="846"/>
      <c r="D109" s="845"/>
      <c r="E109" s="105">
        <f>VLOOKUP(A109,'Point Allocation'!$A$20:$J$40,MATCH(A7,'Point Allocation'!$A$20:$J$20,0),0)</f>
        <v>5</v>
      </c>
      <c r="F109" s="90"/>
      <c r="G109" s="538">
        <f>IFERROR(F109/$F$115,0)</f>
        <v>0</v>
      </c>
      <c r="H109" s="441">
        <f>E109*G109</f>
        <v>0</v>
      </c>
      <c r="R109" s="53"/>
      <c r="S109" s="45"/>
    </row>
    <row r="110" spans="1:19" s="29" customFormat="1">
      <c r="A110" s="417">
        <v>5.3</v>
      </c>
      <c r="B110" s="844" t="s">
        <v>357</v>
      </c>
      <c r="C110" s="846"/>
      <c r="D110" s="845"/>
      <c r="E110" s="105">
        <f>VLOOKUP(A110,'Point Allocation'!$A$20:$J$40,MATCH(A7,'Point Allocation'!$A$20:$J$20,0),0)</f>
        <v>0</v>
      </c>
      <c r="F110" s="155"/>
      <c r="G110" s="538">
        <f>IFERROR(F110/$F$115,0)</f>
        <v>0</v>
      </c>
      <c r="H110" s="442">
        <f>E110*G110</f>
        <v>0</v>
      </c>
      <c r="R110" s="53"/>
      <c r="S110" s="45"/>
    </row>
    <row r="111" spans="1:19" s="29" customFormat="1" ht="15.6">
      <c r="A111" s="443">
        <v>6</v>
      </c>
      <c r="B111" s="106" t="s">
        <v>213</v>
      </c>
      <c r="C111" s="93"/>
      <c r="D111" s="93"/>
      <c r="E111" s="95"/>
      <c r="F111" s="95"/>
      <c r="G111" s="96"/>
      <c r="H111" s="436"/>
      <c r="R111" s="53"/>
      <c r="S111" s="45"/>
    </row>
    <row r="112" spans="1:19" s="29" customFormat="1">
      <c r="A112" s="444">
        <v>6.1</v>
      </c>
      <c r="B112" s="826"/>
      <c r="C112" s="821"/>
      <c r="D112" s="847"/>
      <c r="E112" s="537"/>
      <c r="F112" s="537"/>
      <c r="G112" s="538">
        <f>IFERROR(F112/$F$115,0)</f>
        <v>0</v>
      </c>
      <c r="H112" s="442">
        <f>E112*G112</f>
        <v>0</v>
      </c>
      <c r="R112" s="53"/>
      <c r="S112" s="45"/>
    </row>
    <row r="113" spans="1:19" s="29" customFormat="1">
      <c r="A113" s="444">
        <v>6.2</v>
      </c>
      <c r="B113" s="826"/>
      <c r="C113" s="821"/>
      <c r="D113" s="847"/>
      <c r="E113" s="537"/>
      <c r="F113" s="537"/>
      <c r="G113" s="538">
        <f>IFERROR(F113/$F$115,0)</f>
        <v>0</v>
      </c>
      <c r="H113" s="442">
        <f>E113*G113</f>
        <v>0</v>
      </c>
      <c r="R113" s="53"/>
      <c r="S113" s="45"/>
    </row>
    <row r="114" spans="1:19" s="29" customFormat="1">
      <c r="A114" s="444">
        <v>6.3</v>
      </c>
      <c r="B114" s="848"/>
      <c r="C114" s="848"/>
      <c r="D114" s="848"/>
      <c r="E114" s="537"/>
      <c r="F114" s="537"/>
      <c r="G114" s="538">
        <f>IFERROR(F114/$F$115,0)</f>
        <v>0</v>
      </c>
      <c r="H114" s="442">
        <f>E114*G114</f>
        <v>0</v>
      </c>
      <c r="R114" s="53"/>
      <c r="S114" s="45"/>
    </row>
    <row r="115" spans="1:19" s="29" customFormat="1" ht="15.6">
      <c r="A115" s="425"/>
      <c r="B115" s="325"/>
      <c r="C115" s="323"/>
      <c r="D115" s="323"/>
      <c r="E115" s="330" t="s">
        <v>62</v>
      </c>
      <c r="F115" s="333">
        <f>SUM(F91:F114)+E19</f>
        <v>0</v>
      </c>
      <c r="G115" s="334">
        <f>SUM(G91:G114)+F19</f>
        <v>0</v>
      </c>
      <c r="H115" s="445">
        <f>IFERROR(SUM(H91:H114),0)</f>
        <v>0</v>
      </c>
      <c r="R115" s="53"/>
      <c r="S115" s="45"/>
    </row>
    <row r="116" spans="1:19" s="29" customFormat="1" ht="15.6" thickBot="1">
      <c r="A116" s="491"/>
      <c r="B116" s="492"/>
      <c r="C116" s="493"/>
      <c r="D116" s="493"/>
      <c r="E116" s="493"/>
      <c r="F116" s="493"/>
      <c r="G116" s="480"/>
      <c r="H116" s="639"/>
      <c r="R116" s="53"/>
      <c r="S116" s="45"/>
    </row>
    <row r="117" spans="1:19" s="29" customFormat="1" ht="31.2">
      <c r="A117" s="640" t="s">
        <v>0</v>
      </c>
      <c r="B117" s="641"/>
      <c r="C117" s="641"/>
      <c r="D117" s="642" t="s">
        <v>17</v>
      </c>
      <c r="E117" s="643" t="s">
        <v>81</v>
      </c>
      <c r="F117" s="644" t="s">
        <v>335</v>
      </c>
      <c r="G117" s="644" t="s">
        <v>336</v>
      </c>
      <c r="H117" s="645" t="s">
        <v>53</v>
      </c>
      <c r="R117" s="53"/>
      <c r="S117" s="45"/>
    </row>
    <row r="118" spans="1:19" s="29" customFormat="1" ht="15.6">
      <c r="A118" s="429" t="s">
        <v>238</v>
      </c>
      <c r="B118" s="83" t="s">
        <v>333</v>
      </c>
      <c r="C118" s="84"/>
      <c r="D118" s="85"/>
      <c r="E118" s="85"/>
      <c r="F118" s="85"/>
      <c r="G118" s="85"/>
      <c r="H118" s="430"/>
      <c r="R118" s="53"/>
      <c r="S118" s="45"/>
    </row>
    <row r="119" spans="1:19" s="29" customFormat="1" ht="15.6">
      <c r="A119" s="431">
        <v>7</v>
      </c>
      <c r="B119" s="86" t="s">
        <v>338</v>
      </c>
      <c r="C119" s="87"/>
      <c r="D119" s="88"/>
      <c r="E119" s="88"/>
      <c r="F119" s="88"/>
      <c r="G119" s="88"/>
      <c r="H119" s="432"/>
      <c r="R119" s="53"/>
      <c r="S119" s="45"/>
    </row>
    <row r="120" spans="1:19" s="29" customFormat="1" ht="15" customHeight="1">
      <c r="A120" s="404">
        <v>7.1</v>
      </c>
      <c r="B120" s="885" t="s">
        <v>290</v>
      </c>
      <c r="C120" s="884"/>
      <c r="D120" s="98">
        <f>VLOOKUP(A120,'Point Allocation'!$A$20:$J$41,MATCH(A7,'Point Allocation'!$A$20:$J$20,0),0)</f>
        <v>10</v>
      </c>
      <c r="E120" s="89">
        <f>F91</f>
        <v>0</v>
      </c>
      <c r="F120" s="89">
        <f>F29</f>
        <v>0</v>
      </c>
      <c r="G120" s="91">
        <f>IFERROR(SUM(E120:F120)/SUM($E$138:$F$138),0)</f>
        <v>0</v>
      </c>
      <c r="H120" s="433">
        <f>D120*G120</f>
        <v>0</v>
      </c>
      <c r="R120" s="53"/>
      <c r="S120" s="45"/>
    </row>
    <row r="121" spans="1:19" s="29" customFormat="1" ht="15.6">
      <c r="A121" s="434">
        <v>8</v>
      </c>
      <c r="B121" s="92" t="s">
        <v>339</v>
      </c>
      <c r="C121" s="93"/>
      <c r="D121" s="94"/>
      <c r="E121" s="95"/>
      <c r="F121" s="95"/>
      <c r="G121" s="96"/>
      <c r="H121" s="435"/>
      <c r="R121" s="53"/>
      <c r="S121" s="45"/>
    </row>
    <row r="122" spans="1:19" s="29" customFormat="1">
      <c r="A122" s="849">
        <v>8.1</v>
      </c>
      <c r="B122" s="844" t="s">
        <v>337</v>
      </c>
      <c r="C122" s="845"/>
      <c r="D122" s="925">
        <f>VLOOKUP(A122,'Point Allocation'!$A$20:$J$41,MATCH(A7,'Point Allocation'!$A$20:$J$20,0),0)</f>
        <v>8</v>
      </c>
      <c r="E122" s="927">
        <f>F93</f>
        <v>0</v>
      </c>
      <c r="F122" s="859"/>
      <c r="G122" s="860">
        <f>IFERROR(SUM(E122:F123)/SUM($E$138:$F$138),0)</f>
        <v>0</v>
      </c>
      <c r="H122" s="921">
        <f>D122*G122</f>
        <v>0</v>
      </c>
      <c r="R122" s="53"/>
      <c r="S122" s="45"/>
    </row>
    <row r="123" spans="1:19" s="29" customFormat="1" ht="15.6">
      <c r="A123" s="882"/>
      <c r="B123" s="836" t="s">
        <v>120</v>
      </c>
      <c r="C123" s="838"/>
      <c r="D123" s="926"/>
      <c r="E123" s="927"/>
      <c r="F123" s="859"/>
      <c r="G123" s="861"/>
      <c r="H123" s="921"/>
      <c r="R123" s="53"/>
      <c r="S123" s="45"/>
    </row>
    <row r="124" spans="1:19" s="29" customFormat="1">
      <c r="A124" s="404">
        <v>8.1999999999999993</v>
      </c>
      <c r="B124" s="885" t="s">
        <v>178</v>
      </c>
      <c r="C124" s="884"/>
      <c r="D124" s="98">
        <f>VLOOKUP(A124,'Point Allocation'!$A$20:$J$41,MATCH(A7,'Point Allocation'!$A$20:$J$20,0),0)</f>
        <v>8</v>
      </c>
      <c r="E124" s="189">
        <f>F95</f>
        <v>0</v>
      </c>
      <c r="F124" s="548"/>
      <c r="G124" s="91">
        <f>IFERROR(SUM(E124:F124)/SUM($E$138:$F$138),0)</f>
        <v>0</v>
      </c>
      <c r="H124" s="437">
        <f>D124*G124</f>
        <v>0</v>
      </c>
      <c r="R124" s="53"/>
      <c r="S124" s="45"/>
    </row>
    <row r="125" spans="1:19" s="29" customFormat="1" ht="15.6">
      <c r="A125" s="431">
        <v>9</v>
      </c>
      <c r="B125" s="86" t="s">
        <v>340</v>
      </c>
      <c r="C125" s="93"/>
      <c r="D125" s="95"/>
      <c r="E125" s="95"/>
      <c r="F125" s="95"/>
      <c r="G125" s="96"/>
      <c r="H125" s="436"/>
      <c r="R125" s="53"/>
      <c r="S125" s="45"/>
    </row>
    <row r="126" spans="1:19" s="29" customFormat="1">
      <c r="A126" s="849">
        <v>9.1</v>
      </c>
      <c r="B126" s="844" t="s">
        <v>381</v>
      </c>
      <c r="C126" s="845"/>
      <c r="D126" s="925">
        <f>VLOOKUP(A126,'Point Allocation'!$A$20:$J$41,MATCH(A7,'Point Allocation'!$A$20:$J$20,0),0)</f>
        <v>6</v>
      </c>
      <c r="E126" s="859"/>
      <c r="F126" s="859"/>
      <c r="G126" s="914">
        <f>IFERROR(SUM(E126:F127)/SUM($E$138:$F$138),0)</f>
        <v>0</v>
      </c>
      <c r="H126" s="921">
        <f>D126*G126</f>
        <v>0</v>
      </c>
      <c r="R126" s="53"/>
      <c r="S126" s="45"/>
    </row>
    <row r="127" spans="1:19" s="29" customFormat="1" ht="15.6">
      <c r="A127" s="882"/>
      <c r="B127" s="836" t="s">
        <v>5</v>
      </c>
      <c r="C127" s="838"/>
      <c r="D127" s="926"/>
      <c r="E127" s="859"/>
      <c r="F127" s="859"/>
      <c r="G127" s="914"/>
      <c r="H127" s="921"/>
      <c r="R127" s="53"/>
      <c r="S127" s="45"/>
    </row>
    <row r="128" spans="1:19" s="29" customFormat="1" ht="15.6">
      <c r="A128" s="431">
        <v>10</v>
      </c>
      <c r="B128" s="86" t="s">
        <v>342</v>
      </c>
      <c r="C128" s="93"/>
      <c r="D128" s="95"/>
      <c r="E128" s="95"/>
      <c r="F128" s="95"/>
      <c r="G128" s="96"/>
      <c r="H128" s="436"/>
      <c r="R128" s="53"/>
      <c r="S128" s="45"/>
    </row>
    <row r="129" spans="1:19" s="29" customFormat="1" ht="15" customHeight="1">
      <c r="A129" s="409">
        <v>10.1</v>
      </c>
      <c r="B129" s="844" t="s">
        <v>382</v>
      </c>
      <c r="C129" s="845"/>
      <c r="D129" s="98">
        <f>VLOOKUP(A129,'Point Allocation'!$A$20:$J$41,MATCH(A7,'Point Allocation'!$A$20:$J$20,0),0)</f>
        <v>4</v>
      </c>
      <c r="E129" s="548"/>
      <c r="F129" s="548"/>
      <c r="G129" s="91">
        <f>IFERROR(SUM(E129:F129)/SUM($E$138:$F$138),0)</f>
        <v>0</v>
      </c>
      <c r="H129" s="437">
        <f>D129*G129</f>
        <v>0</v>
      </c>
      <c r="R129" s="53"/>
      <c r="S129" s="45"/>
    </row>
    <row r="130" spans="1:19" s="29" customFormat="1" ht="32.25" customHeight="1">
      <c r="A130" s="406">
        <v>10.199999999999999</v>
      </c>
      <c r="B130" s="928" t="s">
        <v>353</v>
      </c>
      <c r="C130" s="929"/>
      <c r="D130" s="98">
        <f>VLOOKUP(A130,'Point Allocation'!$A$20:$J$41,MATCH(A7,'Point Allocation'!$A$20:$J$20,0),0)</f>
        <v>4</v>
      </c>
      <c r="E130" s="188"/>
      <c r="F130" s="548"/>
      <c r="G130" s="538">
        <f>IFERROR(SUM(E130:F130)/SUM($E$138:$F$138),0)</f>
        <v>0</v>
      </c>
      <c r="H130" s="437">
        <f>D130*G130</f>
        <v>0</v>
      </c>
      <c r="R130" s="53"/>
      <c r="S130" s="45"/>
    </row>
    <row r="131" spans="1:19" s="29" customFormat="1" ht="15.6">
      <c r="A131" s="439" t="s">
        <v>239</v>
      </c>
      <c r="B131" s="99" t="s">
        <v>262</v>
      </c>
      <c r="C131" s="100"/>
      <c r="D131" s="102"/>
      <c r="E131" s="103"/>
      <c r="F131" s="103"/>
      <c r="G131" s="104"/>
      <c r="H131" s="440"/>
      <c r="R131" s="53"/>
      <c r="S131" s="45"/>
    </row>
    <row r="132" spans="1:19" s="29" customFormat="1" ht="15.6">
      <c r="A132" s="431">
        <v>11</v>
      </c>
      <c r="B132" s="86" t="s">
        <v>263</v>
      </c>
      <c r="C132" s="93"/>
      <c r="D132" s="95"/>
      <c r="E132" s="95"/>
      <c r="F132" s="95"/>
      <c r="G132" s="96"/>
      <c r="H132" s="436"/>
      <c r="R132" s="53"/>
      <c r="S132" s="45"/>
    </row>
    <row r="133" spans="1:19" s="29" customFormat="1">
      <c r="A133" s="409">
        <v>11.1</v>
      </c>
      <c r="B133" s="844" t="s">
        <v>593</v>
      </c>
      <c r="C133" s="845"/>
      <c r="D133" s="98">
        <f>VLOOKUP(A133,'Point Allocation'!$A$20:$J$41,MATCH(A7,'Point Allocation'!$A$20:$J$20,0),0)</f>
        <v>2</v>
      </c>
      <c r="E133" s="548"/>
      <c r="F133" s="548"/>
      <c r="G133" s="538">
        <f>IFERROR(SUM(E133:F133)/SUM($E$138:$F$138),0)</f>
        <v>0</v>
      </c>
      <c r="H133" s="437">
        <f t="shared" ref="H133:H137" si="2">D133*G133</f>
        <v>0</v>
      </c>
      <c r="R133" s="53"/>
      <c r="S133" s="45"/>
    </row>
    <row r="134" spans="1:19" s="29" customFormat="1">
      <c r="A134" s="446">
        <v>11.2</v>
      </c>
      <c r="B134" s="874" t="s">
        <v>344</v>
      </c>
      <c r="C134" s="875"/>
      <c r="D134" s="189">
        <f>VLOOKUP(A133,'Point Allocation'!$A$20:$J$41,MATCH(A7,'Point Allocation'!$A$20:$J$20,0),0)</f>
        <v>2</v>
      </c>
      <c r="E134" s="548"/>
      <c r="F134" s="548"/>
      <c r="G134" s="538">
        <f>IFERROR(SUM(E134:F134)/SUM($E$138:$F$138),0)</f>
        <v>0</v>
      </c>
      <c r="H134" s="437">
        <f t="shared" si="2"/>
        <v>0</v>
      </c>
      <c r="R134" s="53"/>
      <c r="S134" s="45"/>
    </row>
    <row r="135" spans="1:19" s="29" customFormat="1">
      <c r="A135" s="409">
        <v>11.3</v>
      </c>
      <c r="B135" s="874" t="s">
        <v>352</v>
      </c>
      <c r="C135" s="875"/>
      <c r="D135" s="98">
        <f>VLOOKUP(A135,'Point Allocation'!$A$20:$J$41,MATCH(A7,'Point Allocation'!$A$20:$J$20,0),0)</f>
        <v>0</v>
      </c>
      <c r="E135" s="548"/>
      <c r="F135" s="548"/>
      <c r="G135" s="538">
        <f>IFERROR(SUM(E135:F135)/SUM($E$138:$F$138),0)</f>
        <v>0</v>
      </c>
      <c r="H135" s="437">
        <f t="shared" si="2"/>
        <v>0</v>
      </c>
      <c r="R135" s="53"/>
      <c r="S135" s="45"/>
    </row>
    <row r="136" spans="1:19" s="29" customFormat="1">
      <c r="A136" s="447">
        <v>11.4</v>
      </c>
      <c r="B136" s="866"/>
      <c r="C136" s="867"/>
      <c r="D136" s="537"/>
      <c r="E136" s="548"/>
      <c r="F136" s="548"/>
      <c r="G136" s="538">
        <f>IFERROR(SUM(E136:F136)/SUM($E$138:$F$138),0)</f>
        <v>0</v>
      </c>
      <c r="H136" s="437">
        <f t="shared" si="2"/>
        <v>0</v>
      </c>
      <c r="R136" s="53"/>
      <c r="S136" s="45"/>
    </row>
    <row r="137" spans="1:19" s="29" customFormat="1">
      <c r="A137" s="447">
        <v>11.5</v>
      </c>
      <c r="B137" s="866"/>
      <c r="C137" s="867"/>
      <c r="D137" s="537"/>
      <c r="E137" s="548"/>
      <c r="F137" s="548"/>
      <c r="G137" s="538">
        <f>IFERROR(SUM(E137:F137)/SUM($E$138:$F$138),0)</f>
        <v>0</v>
      </c>
      <c r="H137" s="437">
        <f t="shared" si="2"/>
        <v>0</v>
      </c>
      <c r="R137" s="53"/>
      <c r="S137" s="45"/>
    </row>
    <row r="138" spans="1:19" s="29" customFormat="1" ht="15.6">
      <c r="A138" s="412"/>
      <c r="B138" s="325"/>
      <c r="C138" s="323"/>
      <c r="D138" s="330" t="s">
        <v>140</v>
      </c>
      <c r="E138" s="333">
        <f>SUM(E120:E137)</f>
        <v>0</v>
      </c>
      <c r="F138" s="335">
        <f>SUM(F120:F137)</f>
        <v>0</v>
      </c>
      <c r="G138" s="336">
        <f>SUM(G120:G137)</f>
        <v>0</v>
      </c>
      <c r="H138" s="448">
        <f>IFERROR(SUM(H120:H137),0)</f>
        <v>0</v>
      </c>
      <c r="R138" s="53"/>
      <c r="S138" s="45"/>
    </row>
    <row r="139" spans="1:19" s="29" customFormat="1">
      <c r="A139" s="414"/>
      <c r="B139" s="325"/>
      <c r="C139" s="323"/>
      <c r="D139" s="323"/>
      <c r="E139" s="323"/>
      <c r="F139" s="323"/>
      <c r="G139" s="332"/>
      <c r="H139" s="388"/>
      <c r="R139" s="53"/>
      <c r="S139" s="45"/>
    </row>
    <row r="140" spans="1:19" s="29" customFormat="1" ht="46.8">
      <c r="A140" s="868" t="s">
        <v>0</v>
      </c>
      <c r="B140" s="869"/>
      <c r="C140" s="176"/>
      <c r="D140" s="545" t="s">
        <v>58</v>
      </c>
      <c r="E140" s="545" t="s">
        <v>59</v>
      </c>
      <c r="F140" s="870" t="s">
        <v>60</v>
      </c>
      <c r="G140" s="870"/>
      <c r="H140" s="449" t="s">
        <v>63</v>
      </c>
      <c r="K140" s="107" t="s">
        <v>72</v>
      </c>
      <c r="L140" s="107">
        <v>1</v>
      </c>
      <c r="M140" s="107">
        <v>2</v>
      </c>
      <c r="N140" s="107">
        <v>3</v>
      </c>
      <c r="O140" s="107">
        <v>4</v>
      </c>
      <c r="P140" s="107">
        <v>5</v>
      </c>
      <c r="Q140" s="107">
        <v>6</v>
      </c>
      <c r="R140" s="53"/>
      <c r="S140" s="45"/>
    </row>
    <row r="141" spans="1:19" s="29" customFormat="1" ht="15.6">
      <c r="A141" s="450" t="s">
        <v>240</v>
      </c>
      <c r="B141" s="130" t="s">
        <v>148</v>
      </c>
      <c r="C141" s="175"/>
      <c r="D141" s="57"/>
      <c r="E141" s="57"/>
      <c r="F141" s="58"/>
      <c r="G141" s="108"/>
      <c r="H141" s="451"/>
      <c r="K141" s="107" t="s">
        <v>74</v>
      </c>
      <c r="L141" s="107" t="s">
        <v>73</v>
      </c>
      <c r="M141" s="107">
        <v>1</v>
      </c>
      <c r="N141" s="107">
        <v>2</v>
      </c>
      <c r="O141" s="107">
        <v>3</v>
      </c>
      <c r="P141" s="107">
        <v>4</v>
      </c>
      <c r="Q141" s="107">
        <v>4</v>
      </c>
      <c r="R141" s="53"/>
      <c r="S141" s="45"/>
    </row>
    <row r="142" spans="1:19" s="29" customFormat="1">
      <c r="A142" s="391" t="s">
        <v>241</v>
      </c>
      <c r="B142" s="520" t="s">
        <v>442</v>
      </c>
      <c r="C142" s="177" t="s">
        <v>56</v>
      </c>
      <c r="D142" s="854"/>
      <c r="E142" s="854"/>
      <c r="F142" s="892" t="str">
        <f>IF(D142&gt;9,D142/E142," ")</f>
        <v xml:space="preserve"> </v>
      </c>
      <c r="G142" s="892"/>
      <c r="H142" s="437">
        <f>IF(D142="",0,IF(D142&lt;9,2,IF((D142/E142)=0,2,IF((D142/E142)&lt;10%,1.5,IF((D142/E142)&lt;15%,1,IF((D142/E142)&lt;20%,0.5,0))))))</f>
        <v>0</v>
      </c>
      <c r="K142" s="107" t="s">
        <v>75</v>
      </c>
      <c r="L142" s="107" t="s">
        <v>73</v>
      </c>
      <c r="M142" s="107">
        <v>5</v>
      </c>
      <c r="N142" s="107">
        <v>15</v>
      </c>
      <c r="O142" s="107">
        <v>25</v>
      </c>
      <c r="P142" s="107">
        <v>35</v>
      </c>
      <c r="Q142" s="107">
        <v>35</v>
      </c>
      <c r="R142" s="53"/>
      <c r="S142" s="45"/>
    </row>
    <row r="143" spans="1:19" s="29" customFormat="1">
      <c r="A143" s="391" t="s">
        <v>242</v>
      </c>
      <c r="B143" s="520" t="s">
        <v>443</v>
      </c>
      <c r="C143" s="177" t="s">
        <v>57</v>
      </c>
      <c r="D143" s="854"/>
      <c r="E143" s="854"/>
      <c r="F143" s="893"/>
      <c r="G143" s="893"/>
      <c r="H143" s="437">
        <f>IF(E142="",0,IF(E142&lt;15,HLOOKUP(F143,K140:Q147,4,FALSE),IF(E142&lt;45,HLOOKUP(F143,K140:Q147,5,FALSE),IF(E142&lt;90,HLOOKUP(F143,K140:Q147,6,FALSE),IF(E142&lt;135,HLOOKUP(F143,K140:Q147,7,FALSE),IF(E142&gt;=135,HLOOKUP(F143,K140:Q147,8,FALSE),3))))))</f>
        <v>0</v>
      </c>
      <c r="J143" s="55"/>
      <c r="K143" s="107" t="s">
        <v>76</v>
      </c>
      <c r="L143" s="107">
        <v>3</v>
      </c>
      <c r="M143" s="107">
        <v>3</v>
      </c>
      <c r="N143" s="107">
        <v>3</v>
      </c>
      <c r="O143" s="107">
        <v>2.5</v>
      </c>
      <c r="P143" s="107">
        <v>1.5</v>
      </c>
      <c r="Q143" s="107">
        <v>0</v>
      </c>
      <c r="R143" s="53"/>
      <c r="S143" s="45"/>
    </row>
    <row r="144" spans="1:19" s="29" customFormat="1">
      <c r="A144" s="412"/>
      <c r="B144" s="325"/>
      <c r="C144" s="332"/>
      <c r="D144" s="337"/>
      <c r="E144" s="337"/>
      <c r="F144" s="337"/>
      <c r="G144" s="337"/>
      <c r="H144" s="452"/>
      <c r="J144" s="55"/>
      <c r="K144" s="107" t="s">
        <v>77</v>
      </c>
      <c r="L144" s="107">
        <v>3</v>
      </c>
      <c r="M144" s="107">
        <v>3</v>
      </c>
      <c r="N144" s="107">
        <v>2.5</v>
      </c>
      <c r="O144" s="107">
        <v>1.5</v>
      </c>
      <c r="P144" s="107">
        <v>1</v>
      </c>
      <c r="Q144" s="107">
        <v>0</v>
      </c>
      <c r="R144" s="53"/>
      <c r="S144" s="45"/>
    </row>
    <row r="145" spans="1:19" s="29" customFormat="1" ht="15.6">
      <c r="A145" s="412"/>
      <c r="B145" s="338"/>
      <c r="C145" s="332"/>
      <c r="D145" s="332"/>
      <c r="E145" s="332"/>
      <c r="F145" s="323"/>
      <c r="G145" s="339"/>
      <c r="H145" s="453"/>
      <c r="J145" s="55"/>
      <c r="K145" s="107" t="s">
        <v>78</v>
      </c>
      <c r="L145" s="107">
        <v>3</v>
      </c>
      <c r="M145" s="107">
        <v>2.5</v>
      </c>
      <c r="N145" s="107">
        <v>1.5</v>
      </c>
      <c r="O145" s="107">
        <v>1</v>
      </c>
      <c r="P145" s="107">
        <v>0</v>
      </c>
      <c r="Q145" s="107">
        <v>0</v>
      </c>
      <c r="R145" s="53"/>
      <c r="S145" s="45"/>
    </row>
    <row r="146" spans="1:19" s="29" customFormat="1" ht="15.75" customHeight="1">
      <c r="A146" s="876" t="s">
        <v>0</v>
      </c>
      <c r="B146" s="877"/>
      <c r="C146" s="991"/>
      <c r="D146" s="880" t="s">
        <v>4</v>
      </c>
      <c r="E146" s="895" t="s">
        <v>1</v>
      </c>
      <c r="F146" s="881"/>
      <c r="G146" s="896" t="s">
        <v>21</v>
      </c>
      <c r="H146" s="890" t="s">
        <v>63</v>
      </c>
      <c r="J146" s="55"/>
      <c r="K146" s="107" t="s">
        <v>79</v>
      </c>
      <c r="L146" s="107">
        <v>3</v>
      </c>
      <c r="M146" s="107">
        <v>1.5</v>
      </c>
      <c r="N146" s="107">
        <v>1</v>
      </c>
      <c r="O146" s="107">
        <v>0</v>
      </c>
      <c r="P146" s="107">
        <v>0</v>
      </c>
      <c r="Q146" s="107">
        <v>0</v>
      </c>
      <c r="R146" s="53"/>
      <c r="S146" s="45"/>
    </row>
    <row r="147" spans="1:19" s="29" customFormat="1" ht="30" customHeight="1">
      <c r="A147" s="878"/>
      <c r="B147" s="879"/>
      <c r="C147" s="992"/>
      <c r="D147" s="881"/>
      <c r="E147" s="545" t="s">
        <v>65</v>
      </c>
      <c r="F147" s="545" t="s">
        <v>66</v>
      </c>
      <c r="G147" s="897"/>
      <c r="H147" s="891"/>
      <c r="J147" s="55"/>
      <c r="K147" s="107" t="s">
        <v>80</v>
      </c>
      <c r="L147" s="107">
        <v>3</v>
      </c>
      <c r="M147" s="107">
        <v>1</v>
      </c>
      <c r="N147" s="107">
        <v>0</v>
      </c>
      <c r="O147" s="107">
        <v>0</v>
      </c>
      <c r="P147" s="107">
        <v>0</v>
      </c>
      <c r="Q147" s="107">
        <v>0</v>
      </c>
      <c r="R147" s="53"/>
      <c r="S147" s="45"/>
    </row>
    <row r="148" spans="1:19" s="29" customFormat="1" ht="15.6">
      <c r="A148" s="454" t="s">
        <v>243</v>
      </c>
      <c r="B148" s="109" t="s">
        <v>264</v>
      </c>
      <c r="C148" s="110"/>
      <c r="D148" s="110"/>
      <c r="E148" s="110"/>
      <c r="F148" s="114"/>
      <c r="G148" s="115"/>
      <c r="H148" s="455"/>
      <c r="K148" s="107" t="s">
        <v>74</v>
      </c>
      <c r="L148" s="107" t="s">
        <v>73</v>
      </c>
      <c r="M148" s="107">
        <v>1</v>
      </c>
      <c r="N148" s="107">
        <v>2</v>
      </c>
      <c r="O148" s="107">
        <v>3</v>
      </c>
      <c r="P148" s="107">
        <v>4</v>
      </c>
      <c r="Q148" s="107">
        <v>4</v>
      </c>
      <c r="R148" s="53"/>
      <c r="S148" s="45"/>
    </row>
    <row r="149" spans="1:19" s="29" customFormat="1" ht="15.6">
      <c r="A149" s="456" t="s">
        <v>244</v>
      </c>
      <c r="B149" s="158" t="s">
        <v>231</v>
      </c>
      <c r="C149" s="159"/>
      <c r="D149" s="160"/>
      <c r="E149" s="161"/>
      <c r="F149" s="161"/>
      <c r="G149" s="162"/>
      <c r="H149" s="457"/>
      <c r="J149" s="55"/>
      <c r="R149" s="53"/>
      <c r="S149" s="45"/>
    </row>
    <row r="150" spans="1:19" s="29" customFormat="1">
      <c r="A150" s="418" t="s">
        <v>245</v>
      </c>
      <c r="B150" s="885" t="s">
        <v>424</v>
      </c>
      <c r="C150" s="884"/>
      <c r="D150" s="163" t="s">
        <v>51</v>
      </c>
      <c r="E150" s="541">
        <v>2</v>
      </c>
      <c r="F150" s="541">
        <v>3</v>
      </c>
      <c r="G150" s="27"/>
      <c r="H150" s="405">
        <f t="shared" ref="H150:H159" si="3">IF(G150&gt;=80%,F150,IF(G150&lt;65%,0,E150))</f>
        <v>0</v>
      </c>
      <c r="R150" s="53"/>
      <c r="S150" s="45"/>
    </row>
    <row r="151" spans="1:19" s="29" customFormat="1">
      <c r="A151" s="418" t="s">
        <v>246</v>
      </c>
      <c r="B151" s="844" t="s">
        <v>423</v>
      </c>
      <c r="C151" s="845"/>
      <c r="D151" s="164" t="s">
        <v>51</v>
      </c>
      <c r="E151" s="20">
        <v>2</v>
      </c>
      <c r="F151" s="20">
        <v>3</v>
      </c>
      <c r="G151" s="547"/>
      <c r="H151" s="405">
        <f>IF(G151&gt;=80%,F151,IF(G151&lt;65%,0,E151))</f>
        <v>0</v>
      </c>
      <c r="R151" s="53"/>
      <c r="S151" s="45"/>
    </row>
    <row r="152" spans="1:19" s="29" customFormat="1" ht="30">
      <c r="A152" s="839" t="s">
        <v>247</v>
      </c>
      <c r="B152" s="915" t="s">
        <v>448</v>
      </c>
      <c r="C152" s="916"/>
      <c r="D152" s="521" t="s">
        <v>446</v>
      </c>
      <c r="E152" s="907">
        <v>2.5</v>
      </c>
      <c r="F152" s="908"/>
      <c r="G152" s="940"/>
      <c r="H152" s="938">
        <f>IF(G152&gt;=35,E153,IF(G152&gt;=30,E152,0))</f>
        <v>0</v>
      </c>
      <c r="R152" s="53"/>
      <c r="S152" s="45"/>
    </row>
    <row r="153" spans="1:19" s="29" customFormat="1" ht="30">
      <c r="A153" s="841"/>
      <c r="B153" s="917"/>
      <c r="C153" s="918"/>
      <c r="D153" s="521" t="s">
        <v>447</v>
      </c>
      <c r="E153" s="907">
        <v>3</v>
      </c>
      <c r="F153" s="908"/>
      <c r="G153" s="941"/>
      <c r="H153" s="939"/>
      <c r="R153" s="53"/>
      <c r="S153" s="45"/>
    </row>
    <row r="154" spans="1:19" s="29" customFormat="1" ht="31.5" customHeight="1">
      <c r="A154" s="839" t="s">
        <v>248</v>
      </c>
      <c r="B154" s="915" t="s">
        <v>449</v>
      </c>
      <c r="C154" s="933"/>
      <c r="D154" s="165" t="s">
        <v>372</v>
      </c>
      <c r="E154" s="864">
        <v>4</v>
      </c>
      <c r="F154" s="865"/>
      <c r="G154" s="942"/>
      <c r="H154" s="945">
        <f>IF(G154&gt;=80,E154,IF(G154&gt;=70,E155,IF(G154&gt;=60,E156,IF(G154&gt;=50,E157,0))))</f>
        <v>0</v>
      </c>
      <c r="I154" s="913"/>
      <c r="R154" s="53"/>
      <c r="S154" s="45"/>
    </row>
    <row r="155" spans="1:19" s="29" customFormat="1" ht="31.5" customHeight="1">
      <c r="A155" s="840"/>
      <c r="B155" s="934"/>
      <c r="C155" s="935"/>
      <c r="D155" s="165" t="s">
        <v>373</v>
      </c>
      <c r="E155" s="864">
        <v>3</v>
      </c>
      <c r="F155" s="865"/>
      <c r="G155" s="943"/>
      <c r="H155" s="946"/>
      <c r="I155" s="913"/>
      <c r="R155" s="53"/>
      <c r="S155" s="45"/>
    </row>
    <row r="156" spans="1:19" s="29" customFormat="1" ht="31.5" customHeight="1">
      <c r="A156" s="840"/>
      <c r="B156" s="934"/>
      <c r="C156" s="935"/>
      <c r="D156" s="165" t="s">
        <v>411</v>
      </c>
      <c r="E156" s="864">
        <v>2</v>
      </c>
      <c r="F156" s="865"/>
      <c r="G156" s="943"/>
      <c r="H156" s="946"/>
      <c r="I156" s="913"/>
      <c r="R156" s="53"/>
      <c r="S156" s="45"/>
    </row>
    <row r="157" spans="1:19" s="29" customFormat="1" ht="31.5" customHeight="1">
      <c r="A157" s="841"/>
      <c r="B157" s="936"/>
      <c r="C157" s="937"/>
      <c r="D157" s="165" t="s">
        <v>412</v>
      </c>
      <c r="E157" s="864">
        <v>1</v>
      </c>
      <c r="F157" s="865"/>
      <c r="G157" s="944"/>
      <c r="H157" s="947"/>
      <c r="I157" s="913"/>
      <c r="R157" s="53"/>
      <c r="S157" s="45"/>
    </row>
    <row r="158" spans="1:19" s="29" customFormat="1" ht="31.5" customHeight="1">
      <c r="A158" s="839" t="s">
        <v>414</v>
      </c>
      <c r="B158" s="915" t="s">
        <v>444</v>
      </c>
      <c r="C158" s="933"/>
      <c r="D158" s="165" t="s">
        <v>67</v>
      </c>
      <c r="E158" s="376">
        <v>3.5</v>
      </c>
      <c r="F158" s="376">
        <v>4</v>
      </c>
      <c r="G158" s="27"/>
      <c r="H158" s="405">
        <f t="shared" si="3"/>
        <v>0</v>
      </c>
      <c r="I158" s="913"/>
      <c r="R158" s="53"/>
      <c r="S158" s="45"/>
    </row>
    <row r="159" spans="1:19" s="29" customFormat="1" ht="30">
      <c r="A159" s="841"/>
      <c r="B159" s="936"/>
      <c r="C159" s="937"/>
      <c r="D159" s="165" t="s">
        <v>68</v>
      </c>
      <c r="E159" s="376">
        <v>2.5</v>
      </c>
      <c r="F159" s="376">
        <v>3</v>
      </c>
      <c r="G159" s="27"/>
      <c r="H159" s="405">
        <f t="shared" si="3"/>
        <v>0</v>
      </c>
      <c r="R159" s="53"/>
      <c r="S159" s="45"/>
    </row>
    <row r="160" spans="1:19" s="29" customFormat="1">
      <c r="A160" s="522" t="s">
        <v>594</v>
      </c>
      <c r="B160" s="999" t="s">
        <v>421</v>
      </c>
      <c r="C160" s="1000"/>
      <c r="D160" s="523" t="s">
        <v>51</v>
      </c>
      <c r="E160" s="551">
        <v>2</v>
      </c>
      <c r="F160" s="551">
        <v>2.5</v>
      </c>
      <c r="G160" s="27"/>
      <c r="H160" s="298">
        <f>IF(G160&gt;=80%,F160,IF(G160&lt;65%,0,E160))</f>
        <v>0</v>
      </c>
      <c r="R160" s="53"/>
      <c r="S160" s="45"/>
    </row>
    <row r="161" spans="1:19" s="29" customFormat="1" ht="15.6">
      <c r="A161" s="431" t="s">
        <v>249</v>
      </c>
      <c r="B161" s="86" t="s">
        <v>299</v>
      </c>
      <c r="C161" s="93"/>
      <c r="D161" s="160"/>
      <c r="E161" s="161"/>
      <c r="F161" s="161"/>
      <c r="G161" s="162"/>
      <c r="H161" s="457"/>
      <c r="I161" s="172"/>
      <c r="R161" s="53"/>
      <c r="S161" s="45"/>
    </row>
    <row r="162" spans="1:19" s="29" customFormat="1" ht="32.25" customHeight="1">
      <c r="A162" s="418" t="s">
        <v>250</v>
      </c>
      <c r="B162" s="936" t="s">
        <v>597</v>
      </c>
      <c r="C162" s="937"/>
      <c r="D162" s="543" t="s">
        <v>51</v>
      </c>
      <c r="E162" s="541">
        <v>2</v>
      </c>
      <c r="F162" s="541">
        <v>2.5</v>
      </c>
      <c r="G162" s="27"/>
      <c r="H162" s="405">
        <f>IF(G162&gt;=80%,F162,IF(G162&lt;65%,0,E162))</f>
        <v>0</v>
      </c>
      <c r="R162" s="53"/>
      <c r="S162" s="45"/>
    </row>
    <row r="163" spans="1:19" s="29" customFormat="1" ht="29.25" customHeight="1">
      <c r="A163" s="418" t="s">
        <v>251</v>
      </c>
      <c r="B163" s="999" t="s">
        <v>445</v>
      </c>
      <c r="C163" s="1000"/>
      <c r="D163" s="543" t="s">
        <v>51</v>
      </c>
      <c r="E163" s="541">
        <v>2</v>
      </c>
      <c r="F163" s="541">
        <v>2.5</v>
      </c>
      <c r="G163" s="27"/>
      <c r="H163" s="405">
        <f>IF(G163&gt;=80%,F163,IF(G163&lt;65%,0,E163))</f>
        <v>0</v>
      </c>
      <c r="R163" s="53"/>
      <c r="S163" s="45"/>
    </row>
    <row r="164" spans="1:19" s="29" customFormat="1" ht="15.6">
      <c r="A164" s="431">
        <v>15</v>
      </c>
      <c r="B164" s="86" t="s">
        <v>278</v>
      </c>
      <c r="C164" s="93"/>
      <c r="D164" s="160"/>
      <c r="E164" s="161"/>
      <c r="F164" s="161"/>
      <c r="G164" s="162"/>
      <c r="H164" s="457"/>
      <c r="I164" s="172"/>
      <c r="R164" s="53"/>
      <c r="S164" s="45"/>
    </row>
    <row r="165" spans="1:19" s="29" customFormat="1">
      <c r="A165" s="839" t="s">
        <v>252</v>
      </c>
      <c r="B165" s="936" t="s">
        <v>297</v>
      </c>
      <c r="C165" s="937"/>
      <c r="D165" s="919" t="s">
        <v>51</v>
      </c>
      <c r="E165" s="910">
        <v>2.5</v>
      </c>
      <c r="F165" s="910">
        <v>4</v>
      </c>
      <c r="G165" s="899"/>
      <c r="H165" s="945">
        <f>IF(G165&gt;=80%,F165,IF(G165&lt;65%,0,E165))</f>
        <v>0</v>
      </c>
      <c r="I165" s="172"/>
      <c r="R165" s="53"/>
      <c r="S165" s="45"/>
    </row>
    <row r="166" spans="1:19" s="29" customFormat="1" ht="15.6">
      <c r="A166" s="841"/>
      <c r="B166" s="998" t="s">
        <v>298</v>
      </c>
      <c r="C166" s="998"/>
      <c r="D166" s="920"/>
      <c r="E166" s="911"/>
      <c r="F166" s="911"/>
      <c r="G166" s="900"/>
      <c r="H166" s="947"/>
      <c r="I166" s="172"/>
      <c r="R166" s="53"/>
      <c r="S166" s="45"/>
    </row>
    <row r="167" spans="1:19" s="29" customFormat="1">
      <c r="A167" s="839" t="s">
        <v>253</v>
      </c>
      <c r="B167" s="885" t="s">
        <v>146</v>
      </c>
      <c r="C167" s="884"/>
      <c r="D167" s="769" t="s">
        <v>51</v>
      </c>
      <c r="E167" s="906">
        <v>2.5</v>
      </c>
      <c r="F167" s="906">
        <v>4</v>
      </c>
      <c r="G167" s="905"/>
      <c r="H167" s="909">
        <f>IF(G167&gt;=80%,F167,IF(G167&lt;65%,0,E167))</f>
        <v>0</v>
      </c>
      <c r="I167" s="172"/>
      <c r="R167" s="53"/>
      <c r="S167" s="45"/>
    </row>
    <row r="168" spans="1:19" s="29" customFormat="1" ht="15.6">
      <c r="A168" s="841"/>
      <c r="B168" s="998" t="s">
        <v>120</v>
      </c>
      <c r="C168" s="998"/>
      <c r="D168" s="769"/>
      <c r="E168" s="906"/>
      <c r="F168" s="906"/>
      <c r="G168" s="905"/>
      <c r="H168" s="909"/>
      <c r="I168" s="172"/>
      <c r="R168" s="53"/>
      <c r="S168" s="45"/>
    </row>
    <row r="169" spans="1:19" s="29" customFormat="1" ht="15.6">
      <c r="A169" s="443">
        <v>16</v>
      </c>
      <c r="B169" s="106" t="s">
        <v>213</v>
      </c>
      <c r="C169" s="93"/>
      <c r="D169" s="93"/>
      <c r="E169" s="95"/>
      <c r="F169" s="95"/>
      <c r="G169" s="96"/>
      <c r="H169" s="436"/>
      <c r="R169" s="60"/>
      <c r="S169" s="45"/>
    </row>
    <row r="170" spans="1:19" s="29" customFormat="1">
      <c r="A170" s="418" t="s">
        <v>255</v>
      </c>
      <c r="B170" s="826"/>
      <c r="C170" s="821"/>
      <c r="D170" s="111"/>
      <c r="E170" s="537"/>
      <c r="F170" s="537"/>
      <c r="G170" s="67"/>
      <c r="H170" s="542">
        <f>IF(G170&gt;=80%,F170,IF(G170&lt;65%,0,E170))</f>
        <v>0</v>
      </c>
      <c r="R170" s="53"/>
      <c r="S170" s="45"/>
    </row>
    <row r="171" spans="1:19" s="29" customFormat="1">
      <c r="A171" s="418" t="s">
        <v>256</v>
      </c>
      <c r="B171" s="826"/>
      <c r="C171" s="821"/>
      <c r="D171" s="111"/>
      <c r="E171" s="537"/>
      <c r="F171" s="537"/>
      <c r="G171" s="67"/>
      <c r="H171" s="542">
        <f>IF(G171&gt;=80%,F171,IF(G171&lt;65%,0,E171))</f>
        <v>0</v>
      </c>
      <c r="R171" s="53"/>
      <c r="S171" s="45"/>
    </row>
    <row r="172" spans="1:19" s="29" customFormat="1">
      <c r="A172" s="418" t="s">
        <v>257</v>
      </c>
      <c r="B172" s="826"/>
      <c r="C172" s="821"/>
      <c r="D172" s="111"/>
      <c r="E172" s="537"/>
      <c r="F172" s="537"/>
      <c r="G172" s="67"/>
      <c r="H172" s="542">
        <f>IF(G172&gt;=80%,F172,IF(G172&lt;65%,0,E172))</f>
        <v>0</v>
      </c>
      <c r="R172" s="53"/>
      <c r="S172" s="45"/>
    </row>
    <row r="173" spans="1:19" s="29" customFormat="1" ht="15.6">
      <c r="A173" s="425"/>
      <c r="B173" s="325"/>
      <c r="C173" s="323"/>
      <c r="D173" s="323"/>
      <c r="E173" s="323"/>
      <c r="F173" s="327"/>
      <c r="G173" s="328" t="s">
        <v>419</v>
      </c>
      <c r="H173" s="458">
        <f>IFERROR((SUM(H142:H172)),0)</f>
        <v>0</v>
      </c>
      <c r="R173" s="53"/>
      <c r="S173" s="45"/>
    </row>
    <row r="174" spans="1:19" s="29" customFormat="1" ht="15.6" thickBot="1">
      <c r="A174" s="491"/>
      <c r="B174" s="492"/>
      <c r="C174" s="493"/>
      <c r="D174" s="493"/>
      <c r="E174" s="493"/>
      <c r="F174" s="493"/>
      <c r="G174" s="480"/>
      <c r="H174" s="639"/>
      <c r="R174" s="53"/>
      <c r="S174" s="45"/>
    </row>
    <row r="175" spans="1:19" s="29" customFormat="1" ht="30.75" customHeight="1">
      <c r="A175" s="995" t="s">
        <v>0</v>
      </c>
      <c r="B175" s="996"/>
      <c r="C175" s="997"/>
      <c r="D175" s="1011" t="s">
        <v>4</v>
      </c>
      <c r="E175" s="902" t="s">
        <v>1</v>
      </c>
      <c r="F175" s="903"/>
      <c r="G175" s="898" t="s">
        <v>21</v>
      </c>
      <c r="H175" s="888" t="s">
        <v>63</v>
      </c>
      <c r="R175" s="53"/>
      <c r="S175" s="45"/>
    </row>
    <row r="176" spans="1:19" s="29" customFormat="1" ht="15.6">
      <c r="A176" s="878"/>
      <c r="B176" s="879"/>
      <c r="C176" s="992"/>
      <c r="D176" s="1012"/>
      <c r="E176" s="545" t="s">
        <v>121</v>
      </c>
      <c r="F176" s="545" t="s">
        <v>122</v>
      </c>
      <c r="G176" s="870"/>
      <c r="H176" s="889"/>
      <c r="R176" s="53"/>
      <c r="S176" s="45"/>
    </row>
    <row r="177" spans="1:19" s="29" customFormat="1" ht="15.6">
      <c r="A177" s="450" t="s">
        <v>254</v>
      </c>
      <c r="B177" s="109" t="s">
        <v>258</v>
      </c>
      <c r="C177" s="110"/>
      <c r="D177" s="110"/>
      <c r="E177" s="110"/>
      <c r="F177" s="114"/>
      <c r="G177" s="115"/>
      <c r="H177" s="455"/>
      <c r="R177" s="53"/>
      <c r="S177" s="45"/>
    </row>
    <row r="178" spans="1:19" s="29" customFormat="1">
      <c r="A178" s="391" t="s">
        <v>300</v>
      </c>
      <c r="B178" s="885" t="s">
        <v>259</v>
      </c>
      <c r="C178" s="886"/>
      <c r="D178" s="5" t="s">
        <v>51</v>
      </c>
      <c r="E178" s="20">
        <v>-1</v>
      </c>
      <c r="F178" s="20">
        <v>-2</v>
      </c>
      <c r="G178" s="28"/>
      <c r="H178" s="405">
        <f>IF(G178&gt;=30%,F178,IF(G178=0%,0,E178))</f>
        <v>0</v>
      </c>
      <c r="R178" s="53"/>
      <c r="S178" s="45"/>
    </row>
    <row r="179" spans="1:19" s="29" customFormat="1">
      <c r="A179" s="391" t="s">
        <v>301</v>
      </c>
      <c r="B179" s="885" t="s">
        <v>260</v>
      </c>
      <c r="C179" s="886"/>
      <c r="D179" s="5" t="s">
        <v>51</v>
      </c>
      <c r="E179" s="20">
        <v>-1</v>
      </c>
      <c r="F179" s="20">
        <v>-1.5</v>
      </c>
      <c r="G179" s="28"/>
      <c r="H179" s="405">
        <f>IF(G179&gt;=30%,F179,IF(G179=0%,0,E179))</f>
        <v>0</v>
      </c>
      <c r="R179" s="53"/>
      <c r="S179" s="45"/>
    </row>
    <row r="180" spans="1:19" s="29" customFormat="1">
      <c r="A180" s="391" t="s">
        <v>302</v>
      </c>
      <c r="B180" s="885" t="s">
        <v>261</v>
      </c>
      <c r="C180" s="886"/>
      <c r="D180" s="5" t="s">
        <v>51</v>
      </c>
      <c r="E180" s="904">
        <v>-1</v>
      </c>
      <c r="F180" s="904"/>
      <c r="G180" s="547"/>
      <c r="H180" s="405">
        <f>IF(G180&gt;0%,E180,0)</f>
        <v>0</v>
      </c>
      <c r="R180" s="53"/>
      <c r="S180" s="45"/>
    </row>
    <row r="181" spans="1:19" s="29" customFormat="1" ht="15.6">
      <c r="A181" s="425"/>
      <c r="B181" s="325"/>
      <c r="C181" s="323"/>
      <c r="D181" s="323"/>
      <c r="E181" s="323"/>
      <c r="F181" s="327"/>
      <c r="G181" s="328" t="s">
        <v>142</v>
      </c>
      <c r="H181" s="458">
        <f>IFERROR(MAX(SUM(H178:H180),-4),0)</f>
        <v>0</v>
      </c>
      <c r="R181" s="45"/>
      <c r="S181" s="45"/>
    </row>
    <row r="182" spans="1:19" s="29" customFormat="1">
      <c r="A182" s="412"/>
      <c r="B182" s="325"/>
      <c r="C182" s="323"/>
      <c r="D182" s="323"/>
      <c r="E182" s="323"/>
      <c r="F182" s="323"/>
      <c r="G182" s="332"/>
      <c r="H182" s="388"/>
      <c r="R182" s="53"/>
      <c r="S182" s="45"/>
    </row>
    <row r="183" spans="1:19" s="29" customFormat="1" ht="15.6">
      <c r="A183" s="412"/>
      <c r="B183" s="325"/>
      <c r="C183" s="323"/>
      <c r="D183" s="323"/>
      <c r="E183" s="323"/>
      <c r="F183" s="323"/>
      <c r="G183" s="330" t="s">
        <v>141</v>
      </c>
      <c r="H183" s="459">
        <f>IFERROR(MIN(SUM(H115+H138+H173+H181),G86),0)</f>
        <v>0</v>
      </c>
      <c r="R183" s="53"/>
      <c r="S183" s="45"/>
    </row>
    <row r="184" spans="1:19" s="29" customFormat="1" ht="16.2" thickBot="1">
      <c r="A184" s="491"/>
      <c r="B184" s="492"/>
      <c r="C184" s="493"/>
      <c r="D184" s="493"/>
      <c r="E184" s="493"/>
      <c r="F184" s="493"/>
      <c r="G184" s="494"/>
      <c r="H184" s="495"/>
      <c r="R184" s="53"/>
      <c r="S184" s="45"/>
    </row>
    <row r="185" spans="1:19" s="29" customFormat="1" ht="15.6">
      <c r="A185" s="481" t="s">
        <v>64</v>
      </c>
      <c r="B185" s="482"/>
      <c r="C185" s="482"/>
      <c r="D185" s="482"/>
      <c r="E185" s="482"/>
      <c r="F185" s="483" t="s">
        <v>43</v>
      </c>
      <c r="G185" s="484">
        <f>VLOOKUP($A$7,'Manpower allocation'!A4:D11,4,FALSE)*100</f>
        <v>15</v>
      </c>
      <c r="H185" s="485" t="s">
        <v>42</v>
      </c>
      <c r="J185" s="112">
        <f>VLOOKUP($A$7,'Manpower allocation'!A4:D11,4,FALSE)*100</f>
        <v>15</v>
      </c>
      <c r="R185" s="53"/>
      <c r="S185" s="45"/>
    </row>
    <row r="186" spans="1:19" s="29" customFormat="1" ht="15.6">
      <c r="A186" s="412"/>
      <c r="B186" s="331"/>
      <c r="C186" s="323"/>
      <c r="D186" s="323"/>
      <c r="E186" s="323"/>
      <c r="F186" s="323"/>
      <c r="G186" s="332"/>
      <c r="H186" s="388"/>
      <c r="R186" s="53"/>
      <c r="S186" s="45"/>
    </row>
    <row r="187" spans="1:19" s="29" customFormat="1" ht="46.8">
      <c r="A187" s="993" t="s">
        <v>0</v>
      </c>
      <c r="B187" s="994"/>
      <c r="C187" s="113"/>
      <c r="D187" s="539" t="s">
        <v>17</v>
      </c>
      <c r="E187" s="539" t="s">
        <v>125</v>
      </c>
      <c r="F187" s="539" t="s">
        <v>109</v>
      </c>
      <c r="G187" s="539" t="s">
        <v>18</v>
      </c>
      <c r="H187" s="544" t="s">
        <v>63</v>
      </c>
      <c r="R187" s="53"/>
      <c r="S187" s="45"/>
    </row>
    <row r="188" spans="1:19" s="29" customFormat="1" ht="15.6">
      <c r="A188" s="454" t="s">
        <v>265</v>
      </c>
      <c r="B188" s="109" t="s">
        <v>358</v>
      </c>
      <c r="C188" s="110"/>
      <c r="D188" s="110"/>
      <c r="E188" s="110"/>
      <c r="F188" s="114"/>
      <c r="G188" s="115"/>
      <c r="H188" s="455"/>
      <c r="R188" s="53"/>
      <c r="S188" s="45"/>
    </row>
    <row r="189" spans="1:19" s="29" customFormat="1" ht="15.6">
      <c r="A189" s="460">
        <v>1</v>
      </c>
      <c r="B189" s="116" t="s">
        <v>338</v>
      </c>
      <c r="C189" s="117"/>
      <c r="D189" s="118"/>
      <c r="E189" s="118"/>
      <c r="F189" s="118"/>
      <c r="G189" s="118"/>
      <c r="H189" s="461"/>
      <c r="R189" s="53"/>
      <c r="S189" s="45"/>
    </row>
    <row r="190" spans="1:19" s="29" customFormat="1">
      <c r="A190" s="409">
        <v>1.1000000000000001</v>
      </c>
      <c r="B190" s="844" t="s">
        <v>290</v>
      </c>
      <c r="C190" s="845"/>
      <c r="D190" s="20">
        <f>VLOOKUP(A190,'Point Allocation'!$A$46:$J$55,MATCH(A7,'Point Allocation'!$A$46:$J$46,0),0)</f>
        <v>15</v>
      </c>
      <c r="E190" s="38"/>
      <c r="F190" s="38"/>
      <c r="G190" s="31">
        <f>MIN(IFERROR(F190/E190,0),100%)</f>
        <v>0</v>
      </c>
      <c r="H190" s="405">
        <f>D190*G190</f>
        <v>0</v>
      </c>
      <c r="R190" s="53"/>
      <c r="S190" s="45"/>
    </row>
    <row r="191" spans="1:19" s="29" customFormat="1" ht="15.6">
      <c r="A191" s="462">
        <v>2</v>
      </c>
      <c r="B191" s="119" t="s">
        <v>339</v>
      </c>
      <c r="C191" s="120"/>
      <c r="D191" s="32"/>
      <c r="E191" s="33"/>
      <c r="F191" s="33"/>
      <c r="G191" s="34"/>
      <c r="H191" s="463"/>
      <c r="R191" s="53"/>
      <c r="S191" s="45"/>
    </row>
    <row r="192" spans="1:19" s="29" customFormat="1" ht="33" customHeight="1">
      <c r="A192" s="464">
        <v>2.1</v>
      </c>
      <c r="B192" s="969" t="s">
        <v>266</v>
      </c>
      <c r="C192" s="971"/>
      <c r="D192" s="20">
        <f>VLOOKUP(A192,'Point Allocation'!$A$46:$J$55,MATCH(A7,'Point Allocation'!$A$46:$J$46,0),0)</f>
        <v>12</v>
      </c>
      <c r="E192" s="38"/>
      <c r="F192" s="38"/>
      <c r="G192" s="31">
        <f>MIN(IFERROR(F192/E192,0),100%)</f>
        <v>0</v>
      </c>
      <c r="H192" s="405">
        <f>D192*G192</f>
        <v>0</v>
      </c>
      <c r="R192" s="53"/>
      <c r="S192" s="45"/>
    </row>
    <row r="193" spans="1:19" s="29" customFormat="1" ht="15.6">
      <c r="A193" s="460">
        <v>3</v>
      </c>
      <c r="B193" s="116" t="s">
        <v>343</v>
      </c>
      <c r="C193" s="121"/>
      <c r="D193" s="35"/>
      <c r="E193" s="35"/>
      <c r="F193" s="35"/>
      <c r="G193" s="34"/>
      <c r="H193" s="465"/>
      <c r="R193" s="53"/>
      <c r="S193" s="45"/>
    </row>
    <row r="194" spans="1:19" s="29" customFormat="1">
      <c r="A194" s="466">
        <v>3.1</v>
      </c>
      <c r="B194" s="850" t="s">
        <v>451</v>
      </c>
      <c r="C194" s="851"/>
      <c r="D194" s="20">
        <f>VLOOKUP(A194,'Point Allocation'!$A$46:$J$55,MATCH(A7,'Point Allocation'!$A$46:$J$46,0),0)</f>
        <v>4</v>
      </c>
      <c r="E194" s="38"/>
      <c r="F194" s="38"/>
      <c r="G194" s="31">
        <f>MIN(IFERROR(F194/E194,0),100%)</f>
        <v>0</v>
      </c>
      <c r="H194" s="405">
        <f>D194*G194</f>
        <v>0</v>
      </c>
      <c r="R194" s="53"/>
      <c r="S194" s="45"/>
    </row>
    <row r="195" spans="1:19" s="29" customFormat="1" ht="32.25" customHeight="1">
      <c r="A195" s="466">
        <v>3.2</v>
      </c>
      <c r="B195" s="850" t="s">
        <v>452</v>
      </c>
      <c r="C195" s="851"/>
      <c r="D195" s="20">
        <f>VLOOKUP(A195,'Point Allocation'!$A$46:$J$55,MATCH(A7,'Point Allocation'!$A$46:$J$46,0),0)</f>
        <v>4</v>
      </c>
      <c r="E195" s="178"/>
      <c r="F195" s="38"/>
      <c r="G195" s="31">
        <f>MIN(IFERROR(F195/E195,0),100%)</f>
        <v>0</v>
      </c>
      <c r="H195" s="405">
        <f>D195*G195</f>
        <v>0</v>
      </c>
      <c r="R195" s="53"/>
      <c r="S195" s="45"/>
    </row>
    <row r="196" spans="1:19" s="29" customFormat="1" ht="32.25" customHeight="1">
      <c r="A196" s="404">
        <v>3.3</v>
      </c>
      <c r="B196" s="885" t="s">
        <v>170</v>
      </c>
      <c r="C196" s="886"/>
      <c r="D196" s="20">
        <f>VLOOKUP(A196,'Point Allocation'!$A$46:$J$55,MATCH(A7,'Point Allocation'!$A$46:$J$46,0),0)</f>
        <v>4</v>
      </c>
      <c r="E196" s="179"/>
      <c r="F196" s="536"/>
      <c r="G196" s="31">
        <f>MIN(IFERROR(F196/E196,0),100%)</f>
        <v>0</v>
      </c>
      <c r="H196" s="405">
        <f>D196*G196</f>
        <v>0</v>
      </c>
      <c r="R196" s="53"/>
      <c r="S196" s="45"/>
    </row>
    <row r="197" spans="1:19" s="29" customFormat="1" ht="15.6">
      <c r="A197" s="412"/>
      <c r="B197" s="325"/>
      <c r="C197" s="323"/>
      <c r="D197" s="324" t="s">
        <v>6</v>
      </c>
      <c r="E197" s="300">
        <f>MAX(SUM(E190:E196),F197)</f>
        <v>0</v>
      </c>
      <c r="F197" s="300">
        <f>SUM(F190:F196)</f>
        <v>0</v>
      </c>
      <c r="G197" s="340">
        <f>IFERROR(MIN(F197/E197,100%),0)</f>
        <v>0</v>
      </c>
      <c r="H197" s="413">
        <f>IFERROR(SUM(H190:H196),0)</f>
        <v>0</v>
      </c>
      <c r="R197" s="53"/>
      <c r="S197" s="45"/>
    </row>
    <row r="198" spans="1:19" s="29" customFormat="1" ht="15.6">
      <c r="A198" s="412"/>
      <c r="B198" s="338"/>
      <c r="C198" s="341"/>
      <c r="D198" s="342"/>
      <c r="E198" s="341"/>
      <c r="F198" s="341"/>
      <c r="G198" s="343"/>
      <c r="H198" s="467"/>
      <c r="R198" s="53"/>
      <c r="S198" s="45"/>
    </row>
    <row r="199" spans="1:19" s="29" customFormat="1" ht="15.6">
      <c r="A199" s="993" t="s">
        <v>0</v>
      </c>
      <c r="B199" s="994"/>
      <c r="C199" s="982"/>
      <c r="D199" s="901" t="s">
        <v>4</v>
      </c>
      <c r="E199" s="901" t="s">
        <v>1</v>
      </c>
      <c r="F199" s="901"/>
      <c r="G199" s="894" t="s">
        <v>21</v>
      </c>
      <c r="H199" s="887" t="s">
        <v>63</v>
      </c>
      <c r="R199" s="53"/>
      <c r="S199" s="45"/>
    </row>
    <row r="200" spans="1:19" s="29" customFormat="1" ht="30.75" customHeight="1">
      <c r="A200" s="1007"/>
      <c r="B200" s="1008"/>
      <c r="C200" s="983"/>
      <c r="D200" s="901"/>
      <c r="E200" s="539" t="s">
        <v>65</v>
      </c>
      <c r="F200" s="539" t="s">
        <v>66</v>
      </c>
      <c r="G200" s="894"/>
      <c r="H200" s="887"/>
      <c r="R200" s="53"/>
      <c r="S200" s="45"/>
    </row>
    <row r="201" spans="1:19" s="29" customFormat="1" ht="15.6">
      <c r="A201" s="415" t="s">
        <v>271</v>
      </c>
      <c r="B201" s="46" t="s">
        <v>272</v>
      </c>
      <c r="C201" s="57"/>
      <c r="D201" s="57"/>
      <c r="E201" s="57"/>
      <c r="F201" s="58"/>
      <c r="G201" s="108"/>
      <c r="H201" s="451"/>
      <c r="R201" s="53"/>
      <c r="S201" s="45"/>
    </row>
    <row r="202" spans="1:19" s="29" customFormat="1" ht="15.6">
      <c r="A202" s="468">
        <v>4</v>
      </c>
      <c r="B202" s="122" t="s">
        <v>341</v>
      </c>
      <c r="C202" s="120"/>
      <c r="D202" s="123"/>
      <c r="E202" s="124"/>
      <c r="F202" s="124"/>
      <c r="G202" s="125"/>
      <c r="H202" s="469"/>
      <c r="R202" s="53"/>
      <c r="S202" s="45"/>
    </row>
    <row r="203" spans="1:19" s="29" customFormat="1">
      <c r="A203" s="409">
        <v>4.0999999999999996</v>
      </c>
      <c r="B203" s="844" t="s">
        <v>164</v>
      </c>
      <c r="C203" s="845"/>
      <c r="D203" s="5" t="s">
        <v>51</v>
      </c>
      <c r="E203" s="20" t="s">
        <v>50</v>
      </c>
      <c r="F203" s="20">
        <f>VLOOKUP(A203,'Point Allocation'!$A$46:$J$55,MATCH(A7,'Point Allocation'!$A$46:$J$46,0),0)</f>
        <v>1.5</v>
      </c>
      <c r="G203" s="547"/>
      <c r="H203" s="405">
        <f>IF(G203&gt;=80%,F203,0)</f>
        <v>0</v>
      </c>
      <c r="R203" s="53"/>
      <c r="S203" s="45"/>
    </row>
    <row r="204" spans="1:19" s="29" customFormat="1">
      <c r="A204" s="409">
        <v>4.2</v>
      </c>
      <c r="B204" s="844" t="s">
        <v>161</v>
      </c>
      <c r="C204" s="845"/>
      <c r="D204" s="5" t="s">
        <v>51</v>
      </c>
      <c r="E204" s="20" t="s">
        <v>50</v>
      </c>
      <c r="F204" s="20">
        <f>VLOOKUP(A204,'Point Allocation'!$A$46:$J$55,MATCH(A7,'Point Allocation'!$A$46:$J$46,0),0)</f>
        <v>1.5</v>
      </c>
      <c r="G204" s="547"/>
      <c r="H204" s="405">
        <f>IF(G204&gt;=80%,F204,0)</f>
        <v>0</v>
      </c>
      <c r="R204" s="53"/>
      <c r="S204" s="45"/>
    </row>
    <row r="205" spans="1:19" s="29" customFormat="1">
      <c r="A205" s="409">
        <v>4.3</v>
      </c>
      <c r="B205" s="844" t="s">
        <v>155</v>
      </c>
      <c r="C205" s="845"/>
      <c r="D205" s="5" t="s">
        <v>3</v>
      </c>
      <c r="E205" s="20" t="s">
        <v>50</v>
      </c>
      <c r="F205" s="20">
        <f>VLOOKUP(A205,'Point Allocation'!$A$46:$J$55,MATCH(A7,'Point Allocation'!$A$46:$J$46,0),0)</f>
        <v>1.5</v>
      </c>
      <c r="G205" s="547"/>
      <c r="H205" s="405">
        <f>IF(G205&gt;=80%,F205,0)</f>
        <v>0</v>
      </c>
      <c r="R205" s="53"/>
      <c r="S205" s="45"/>
    </row>
    <row r="206" spans="1:19" s="29" customFormat="1">
      <c r="A206" s="470">
        <v>4.4000000000000004</v>
      </c>
      <c r="B206" s="874" t="s">
        <v>270</v>
      </c>
      <c r="C206" s="875"/>
      <c r="D206" s="5" t="s">
        <v>3</v>
      </c>
      <c r="E206" s="20" t="s">
        <v>50</v>
      </c>
      <c r="F206" s="20">
        <f>VLOOKUP(A206,'Point Allocation'!$A$46:$J$55,MATCH(A7,'Point Allocation'!$A$46:$J$46,0),0)</f>
        <v>1.5</v>
      </c>
      <c r="G206" s="547"/>
      <c r="H206" s="405">
        <f>IF(G206&gt;=80%,F206,0)</f>
        <v>0</v>
      </c>
      <c r="R206" s="53"/>
      <c r="S206" s="45"/>
    </row>
    <row r="207" spans="1:19" s="29" customFormat="1" ht="15.6">
      <c r="A207" s="468">
        <v>5</v>
      </c>
      <c r="B207" s="122" t="s">
        <v>213</v>
      </c>
      <c r="C207" s="120"/>
      <c r="D207" s="126"/>
      <c r="E207" s="127"/>
      <c r="F207" s="127"/>
      <c r="G207" s="128"/>
      <c r="H207" s="471"/>
      <c r="R207" s="53"/>
      <c r="S207" s="45"/>
    </row>
    <row r="208" spans="1:19" s="29" customFormat="1">
      <c r="A208" s="411">
        <v>5.0999999999999996</v>
      </c>
      <c r="B208" s="826"/>
      <c r="C208" s="847"/>
      <c r="D208" s="530"/>
      <c r="E208" s="536"/>
      <c r="F208" s="536"/>
      <c r="G208" s="547"/>
      <c r="H208" s="542">
        <f>IF(G208&gt;=80%,F208,IF(G208&lt;65%,0,E208))</f>
        <v>0</v>
      </c>
      <c r="R208" s="53"/>
      <c r="S208" s="45"/>
    </row>
    <row r="209" spans="1:19" s="29" customFormat="1">
      <c r="A209" s="411">
        <v>5.2</v>
      </c>
      <c r="B209" s="826"/>
      <c r="C209" s="847"/>
      <c r="D209" s="530"/>
      <c r="E209" s="536"/>
      <c r="F209" s="536"/>
      <c r="G209" s="547"/>
      <c r="H209" s="542">
        <f>IF(G209&gt;=80%,F209,IF(G209&lt;65%,0,E209))</f>
        <v>0</v>
      </c>
      <c r="R209" s="53"/>
      <c r="S209" s="45"/>
    </row>
    <row r="210" spans="1:19" s="29" customFormat="1">
      <c r="A210" s="411">
        <v>5.3</v>
      </c>
      <c r="B210" s="826"/>
      <c r="C210" s="847"/>
      <c r="D210" s="530"/>
      <c r="E210" s="536"/>
      <c r="F210" s="536"/>
      <c r="G210" s="547"/>
      <c r="H210" s="542">
        <f>IF(G210&gt;=80%,F210,IF(G210&lt;65%,0,E210))</f>
        <v>0</v>
      </c>
      <c r="R210" s="53"/>
      <c r="S210" s="45"/>
    </row>
    <row r="211" spans="1:19" s="29" customFormat="1" ht="15.6">
      <c r="A211" s="412"/>
      <c r="B211" s="344"/>
      <c r="C211" s="344"/>
      <c r="D211" s="332"/>
      <c r="E211" s="332"/>
      <c r="F211" s="332"/>
      <c r="G211" s="330" t="s">
        <v>7</v>
      </c>
      <c r="H211" s="445">
        <f>IFERROR(SUM(H203:H206,H208:H210),0)</f>
        <v>0</v>
      </c>
      <c r="R211" s="53"/>
      <c r="S211" s="45"/>
    </row>
    <row r="212" spans="1:19" s="29" customFormat="1">
      <c r="A212" s="412"/>
      <c r="B212" s="325"/>
      <c r="C212" s="323"/>
      <c r="D212" s="323"/>
      <c r="E212" s="323"/>
      <c r="F212" s="323"/>
      <c r="G212" s="332"/>
      <c r="H212" s="388"/>
      <c r="R212" s="53"/>
      <c r="S212" s="45"/>
    </row>
    <row r="213" spans="1:19" s="29" customFormat="1" ht="15.6">
      <c r="A213" s="993" t="s">
        <v>0</v>
      </c>
      <c r="B213" s="994"/>
      <c r="C213" s="982"/>
      <c r="D213" s="894" t="s">
        <v>4</v>
      </c>
      <c r="E213" s="901" t="s">
        <v>1</v>
      </c>
      <c r="F213" s="901"/>
      <c r="G213" s="894" t="s">
        <v>21</v>
      </c>
      <c r="H213" s="887" t="s">
        <v>63</v>
      </c>
      <c r="R213" s="53"/>
      <c r="S213" s="45"/>
    </row>
    <row r="214" spans="1:19" s="29" customFormat="1" ht="31.2">
      <c r="A214" s="1007"/>
      <c r="B214" s="1008"/>
      <c r="C214" s="983"/>
      <c r="D214" s="901"/>
      <c r="E214" s="539" t="s">
        <v>65</v>
      </c>
      <c r="F214" s="539" t="s">
        <v>66</v>
      </c>
      <c r="G214" s="894"/>
      <c r="H214" s="887"/>
      <c r="R214" s="53"/>
      <c r="S214" s="45"/>
    </row>
    <row r="215" spans="1:19" s="29" customFormat="1" ht="15.6">
      <c r="A215" s="454" t="s">
        <v>273</v>
      </c>
      <c r="B215" s="109" t="s">
        <v>234</v>
      </c>
      <c r="C215" s="129"/>
      <c r="D215" s="130"/>
      <c r="E215" s="130"/>
      <c r="F215" s="131"/>
      <c r="G215" s="132"/>
      <c r="H215" s="472"/>
      <c r="R215" s="53"/>
      <c r="S215" s="45"/>
    </row>
    <row r="216" spans="1:19" s="29" customFormat="1" ht="15.6">
      <c r="A216" s="391" t="s">
        <v>199</v>
      </c>
      <c r="B216" s="844" t="s">
        <v>274</v>
      </c>
      <c r="C216" s="845"/>
      <c r="D216" s="98" t="s">
        <v>2</v>
      </c>
      <c r="E216" s="98">
        <v>1</v>
      </c>
      <c r="F216" s="98">
        <v>2</v>
      </c>
      <c r="G216" s="67"/>
      <c r="H216" s="437">
        <f>IF(G216&gt;=80%,F216,IF(G216&lt;65%,0,E216))</f>
        <v>0</v>
      </c>
      <c r="K216" s="135"/>
      <c r="R216" s="53"/>
      <c r="S216" s="45"/>
    </row>
    <row r="217" spans="1:19" s="29" customFormat="1" ht="31.5" customHeight="1">
      <c r="A217" s="473" t="s">
        <v>200</v>
      </c>
      <c r="B217" s="960" t="s">
        <v>275</v>
      </c>
      <c r="C217" s="962"/>
      <c r="D217" s="98" t="s">
        <v>51</v>
      </c>
      <c r="E217" s="98">
        <v>0.5</v>
      </c>
      <c r="F217" s="98">
        <v>1</v>
      </c>
      <c r="G217" s="67"/>
      <c r="H217" s="437">
        <f>IF(G217&gt;=80%,F217,IF(G217&lt;65%,0,E217))</f>
        <v>0</v>
      </c>
      <c r="R217" s="53"/>
      <c r="S217" s="45"/>
    </row>
    <row r="218" spans="1:19" s="29" customFormat="1" ht="15.6">
      <c r="A218" s="412"/>
      <c r="B218" s="325"/>
      <c r="C218" s="323"/>
      <c r="D218" s="323"/>
      <c r="E218" s="323"/>
      <c r="F218" s="326"/>
      <c r="G218" s="330" t="s">
        <v>110</v>
      </c>
      <c r="H218" s="474">
        <f>IFERROR(SUM(H216:H217),0)</f>
        <v>0</v>
      </c>
      <c r="R218" s="53"/>
      <c r="S218" s="45"/>
    </row>
    <row r="219" spans="1:19" s="29" customFormat="1">
      <c r="A219" s="412"/>
      <c r="B219" s="325"/>
      <c r="C219" s="323"/>
      <c r="D219" s="323"/>
      <c r="E219" s="323"/>
      <c r="F219" s="323"/>
      <c r="G219" s="332"/>
      <c r="H219" s="388"/>
      <c r="R219" s="53"/>
      <c r="S219" s="45"/>
    </row>
    <row r="220" spans="1:19" s="29" customFormat="1" ht="15.6">
      <c r="A220" s="412"/>
      <c r="B220" s="325"/>
      <c r="C220" s="323"/>
      <c r="D220" s="323"/>
      <c r="E220" s="323"/>
      <c r="F220" s="323"/>
      <c r="G220" s="330" t="s">
        <v>111</v>
      </c>
      <c r="H220" s="474">
        <f>IFERROR(MIN(SUM(H197+H211+H218),G185),0)</f>
        <v>0</v>
      </c>
      <c r="R220" s="53"/>
      <c r="S220" s="45"/>
    </row>
    <row r="221" spans="1:19" s="29" customFormat="1" ht="16.2" thickBot="1">
      <c r="A221" s="491"/>
      <c r="B221" s="492"/>
      <c r="C221" s="493"/>
      <c r="D221" s="493"/>
      <c r="E221" s="493"/>
      <c r="F221" s="493"/>
      <c r="G221" s="496"/>
      <c r="H221" s="495"/>
      <c r="R221" s="53"/>
      <c r="S221" s="45"/>
    </row>
    <row r="222" spans="1:19" s="29" customFormat="1" ht="15.6">
      <c r="A222" s="633" t="s">
        <v>137</v>
      </c>
      <c r="B222" s="634"/>
      <c r="C222" s="634"/>
      <c r="D222" s="634"/>
      <c r="E222" s="634"/>
      <c r="F222" s="635" t="s">
        <v>43</v>
      </c>
      <c r="G222" s="636">
        <v>20</v>
      </c>
      <c r="H222" s="637" t="s">
        <v>42</v>
      </c>
      <c r="R222" s="53"/>
      <c r="S222" s="45"/>
    </row>
    <row r="223" spans="1:19" s="29" customFormat="1" ht="15.6">
      <c r="A223" s="412"/>
      <c r="B223" s="347"/>
      <c r="C223" s="323"/>
      <c r="D223" s="323"/>
      <c r="E223" s="323"/>
      <c r="F223" s="323"/>
      <c r="G223" s="332"/>
      <c r="H223" s="388"/>
      <c r="R223" s="53"/>
      <c r="S223" s="45"/>
    </row>
    <row r="224" spans="1:19" s="29" customFormat="1" ht="33" customHeight="1">
      <c r="A224" s="1009" t="s">
        <v>0</v>
      </c>
      <c r="B224" s="1010"/>
      <c r="C224" s="136"/>
      <c r="D224" s="136"/>
      <c r="E224" s="137" t="s">
        <v>4</v>
      </c>
      <c r="F224" s="137" t="s">
        <v>70</v>
      </c>
      <c r="G224" s="138" t="s">
        <v>21</v>
      </c>
      <c r="H224" s="475" t="s">
        <v>63</v>
      </c>
      <c r="R224" s="53"/>
      <c r="S224" s="45"/>
    </row>
    <row r="225" spans="1:19" s="29" customFormat="1" ht="15.6">
      <c r="A225" s="454" t="s">
        <v>276</v>
      </c>
      <c r="B225" s="109" t="s">
        <v>277</v>
      </c>
      <c r="C225" s="110"/>
      <c r="D225" s="110"/>
      <c r="E225" s="110"/>
      <c r="F225" s="58"/>
      <c r="G225" s="139"/>
      <c r="H225" s="476"/>
      <c r="J225" s="134"/>
      <c r="R225" s="53"/>
      <c r="S225" s="45"/>
    </row>
    <row r="226" spans="1:19" s="29" customFormat="1" ht="15.6">
      <c r="A226" s="411">
        <v>1.1000000000000001</v>
      </c>
      <c r="B226" s="836" t="s">
        <v>123</v>
      </c>
      <c r="C226" s="837"/>
      <c r="D226" s="838"/>
      <c r="E226" s="167"/>
      <c r="F226" s="140"/>
      <c r="G226" s="141"/>
      <c r="H226" s="441">
        <f t="shared" ref="H226:H231" si="4">F226*G226</f>
        <v>0</v>
      </c>
      <c r="R226" s="53"/>
      <c r="S226" s="45"/>
    </row>
    <row r="227" spans="1:19" s="29" customFormat="1" ht="15.6">
      <c r="A227" s="406">
        <v>1.2</v>
      </c>
      <c r="B227" s="1004" t="s">
        <v>124</v>
      </c>
      <c r="C227" s="1005"/>
      <c r="D227" s="1006"/>
      <c r="E227" s="167"/>
      <c r="F227" s="140"/>
      <c r="G227" s="141"/>
      <c r="H227" s="441">
        <f t="shared" si="4"/>
        <v>0</v>
      </c>
      <c r="R227" s="53"/>
      <c r="S227" s="45"/>
    </row>
    <row r="228" spans="1:19" s="29" customFormat="1" ht="15.6">
      <c r="A228" s="411">
        <v>1.3</v>
      </c>
      <c r="B228" s="836" t="s">
        <v>115</v>
      </c>
      <c r="C228" s="837"/>
      <c r="D228" s="838"/>
      <c r="E228" s="167"/>
      <c r="F228" s="140"/>
      <c r="G228" s="141"/>
      <c r="H228" s="441">
        <f t="shared" si="4"/>
        <v>0</v>
      </c>
      <c r="R228" s="53"/>
      <c r="S228" s="45"/>
    </row>
    <row r="229" spans="1:19" s="29" customFormat="1" ht="15.6">
      <c r="A229" s="411">
        <v>1.4</v>
      </c>
      <c r="B229" s="836" t="s">
        <v>305</v>
      </c>
      <c r="C229" s="837"/>
      <c r="D229" s="838"/>
      <c r="E229" s="167"/>
      <c r="F229" s="140"/>
      <c r="G229" s="141"/>
      <c r="H229" s="441">
        <f t="shared" si="4"/>
        <v>0</v>
      </c>
      <c r="R229" s="53"/>
      <c r="S229" s="45"/>
    </row>
    <row r="230" spans="1:19" s="29" customFormat="1" ht="15.6">
      <c r="A230" s="411">
        <v>1.5</v>
      </c>
      <c r="B230" s="836"/>
      <c r="C230" s="837"/>
      <c r="D230" s="838"/>
      <c r="E230" s="167"/>
      <c r="F230" s="140"/>
      <c r="G230" s="141"/>
      <c r="H230" s="441">
        <f t="shared" si="4"/>
        <v>0</v>
      </c>
      <c r="R230" s="53"/>
      <c r="S230" s="45"/>
    </row>
    <row r="231" spans="1:19" s="29" customFormat="1" ht="15.6">
      <c r="A231" s="411">
        <v>1.6</v>
      </c>
      <c r="B231" s="836"/>
      <c r="C231" s="837"/>
      <c r="D231" s="838"/>
      <c r="E231" s="111"/>
      <c r="F231" s="142"/>
      <c r="G231" s="67"/>
      <c r="H231" s="441">
        <f t="shared" si="4"/>
        <v>0</v>
      </c>
      <c r="R231" s="53"/>
      <c r="S231" s="45"/>
    </row>
    <row r="232" spans="1:19" s="29" customFormat="1" ht="15.6">
      <c r="A232" s="454" t="s">
        <v>279</v>
      </c>
      <c r="B232" s="109" t="s">
        <v>278</v>
      </c>
      <c r="C232" s="110"/>
      <c r="D232" s="110"/>
      <c r="E232" s="110"/>
      <c r="F232" s="58"/>
      <c r="G232" s="139"/>
      <c r="H232" s="476"/>
      <c r="R232" s="53"/>
      <c r="S232" s="45"/>
    </row>
    <row r="233" spans="1:19" s="29" customFormat="1">
      <c r="A233" s="447">
        <v>2.1</v>
      </c>
      <c r="B233" s="1001" t="s">
        <v>138</v>
      </c>
      <c r="C233" s="1002"/>
      <c r="D233" s="1003"/>
      <c r="E233" s="157" t="s">
        <v>410</v>
      </c>
      <c r="F233" s="527">
        <v>2</v>
      </c>
      <c r="G233" s="528"/>
      <c r="H233" s="441">
        <f>IFERROR(VLOOKUP(E233,K234:L237,2,FALSE),0)</f>
        <v>0</v>
      </c>
      <c r="K233" s="29" t="s">
        <v>410</v>
      </c>
      <c r="L233" s="29">
        <v>0</v>
      </c>
      <c r="R233" s="53"/>
      <c r="S233" s="45"/>
    </row>
    <row r="234" spans="1:19" s="29" customFormat="1" ht="15.6">
      <c r="A234" s="412"/>
      <c r="B234" s="322"/>
      <c r="C234" s="323"/>
      <c r="D234" s="323"/>
      <c r="E234" s="323"/>
      <c r="F234" s="323"/>
      <c r="G234" s="330" t="s">
        <v>139</v>
      </c>
      <c r="H234" s="477">
        <f>IFERROR(MIN(SUM(H226:H233),G222),0)</f>
        <v>0</v>
      </c>
      <c r="K234" s="29" t="s">
        <v>406</v>
      </c>
      <c r="L234" s="29">
        <v>2</v>
      </c>
      <c r="R234" s="45"/>
      <c r="S234" s="45"/>
    </row>
    <row r="235" spans="1:19" s="29" customFormat="1">
      <c r="A235" s="412"/>
      <c r="B235" s="325"/>
      <c r="C235" s="323"/>
      <c r="D235" s="323"/>
      <c r="E235" s="323"/>
      <c r="F235" s="323"/>
      <c r="G235" s="332"/>
      <c r="H235" s="388"/>
      <c r="K235" s="29" t="s">
        <v>407</v>
      </c>
      <c r="L235" s="29">
        <v>2</v>
      </c>
      <c r="R235" s="45"/>
      <c r="S235" s="45"/>
    </row>
    <row r="236" spans="1:19" s="29" customFormat="1" ht="15.6">
      <c r="A236" s="412"/>
      <c r="B236" s="325"/>
      <c r="C236" s="323"/>
      <c r="D236" s="323"/>
      <c r="E236" s="323"/>
      <c r="F236" s="323"/>
      <c r="G236" s="330" t="s">
        <v>69</v>
      </c>
      <c r="H236" s="445">
        <f>IFERROR(H84+H183+H220+H234,0)</f>
        <v>0</v>
      </c>
      <c r="K236" s="29" t="s">
        <v>408</v>
      </c>
      <c r="L236" s="29">
        <v>2</v>
      </c>
      <c r="R236" s="45"/>
      <c r="S236" s="45"/>
    </row>
    <row r="237" spans="1:19" s="29" customFormat="1">
      <c r="A237" s="412"/>
      <c r="B237" s="325"/>
      <c r="C237" s="323"/>
      <c r="D237" s="323"/>
      <c r="E237" s="323"/>
      <c r="F237" s="323"/>
      <c r="G237" s="332"/>
      <c r="H237" s="388"/>
      <c r="K237" s="29" t="s">
        <v>409</v>
      </c>
      <c r="L237" s="29">
        <v>2</v>
      </c>
      <c r="R237" s="53"/>
      <c r="S237" s="45"/>
    </row>
    <row r="238" spans="1:19" s="29" customFormat="1" ht="15.75" customHeight="1">
      <c r="A238" s="412"/>
      <c r="B238" s="345" t="s">
        <v>37</v>
      </c>
      <c r="C238" s="332"/>
      <c r="D238" s="1013" t="s">
        <v>415</v>
      </c>
      <c r="E238" s="1013"/>
      <c r="F238" s="1013"/>
      <c r="G238" s="332"/>
      <c r="H238" s="478"/>
      <c r="R238" s="53"/>
      <c r="S238" s="45"/>
    </row>
    <row r="239" spans="1:19" s="29" customFormat="1" ht="15.6">
      <c r="A239" s="412"/>
      <c r="B239" s="346"/>
      <c r="C239" s="332"/>
      <c r="D239" s="1013"/>
      <c r="E239" s="1013"/>
      <c r="F239" s="1013"/>
      <c r="G239" s="332"/>
      <c r="H239" s="478"/>
      <c r="R239" s="53"/>
      <c r="S239" s="45"/>
    </row>
    <row r="240" spans="1:19" s="29" customFormat="1" ht="15.6">
      <c r="A240" s="479" t="s">
        <v>280</v>
      </c>
      <c r="B240" s="346" t="s">
        <v>100</v>
      </c>
      <c r="C240" s="369">
        <f>IFERROR(SUM(G29+G32+G34+G35+G44+G47),0)</f>
        <v>0</v>
      </c>
      <c r="D240" s="332" t="s">
        <v>284</v>
      </c>
      <c r="E240" s="141"/>
      <c r="F240" s="332" t="s">
        <v>285</v>
      </c>
      <c r="G240" s="144">
        <f>MIN(IFERROR(SUM(C240+E240),0),100%)</f>
        <v>0</v>
      </c>
      <c r="H240" s="388"/>
      <c r="M240" s="53"/>
      <c r="N240" s="45"/>
    </row>
    <row r="241" spans="1:19" s="29" customFormat="1" ht="15.6">
      <c r="A241" s="479" t="s">
        <v>281</v>
      </c>
      <c r="B241" s="346" t="s">
        <v>101</v>
      </c>
      <c r="C241" s="369">
        <f>IFERROR(SUM(F19+G91+G93+G95+G98+G101+G102+G103+G104+G105),0)</f>
        <v>0</v>
      </c>
      <c r="D241" s="332" t="s">
        <v>284</v>
      </c>
      <c r="E241" s="141"/>
      <c r="F241" s="332" t="s">
        <v>285</v>
      </c>
      <c r="G241" s="144">
        <f t="shared" ref="G241:G242" si="5">MIN(IFERROR(SUM(C241+E241),0),100%)</f>
        <v>0</v>
      </c>
      <c r="H241" s="388"/>
      <c r="M241" s="53"/>
      <c r="N241" s="45"/>
    </row>
    <row r="242" spans="1:19" s="29" customFormat="1" ht="15.6">
      <c r="A242" s="479" t="s">
        <v>282</v>
      </c>
      <c r="B242" s="346" t="s">
        <v>102</v>
      </c>
      <c r="C242" s="369">
        <f>IFERROR(G197,0)</f>
        <v>0</v>
      </c>
      <c r="D242" s="332" t="s">
        <v>284</v>
      </c>
      <c r="E242" s="141"/>
      <c r="F242" s="303" t="s">
        <v>285</v>
      </c>
      <c r="G242" s="144">
        <f t="shared" si="5"/>
        <v>0</v>
      </c>
      <c r="H242" s="283"/>
      <c r="I242" s="3"/>
      <c r="J242" s="3"/>
      <c r="K242" s="3"/>
      <c r="L242" s="3"/>
      <c r="M242" s="53"/>
      <c r="N242" s="45"/>
    </row>
    <row r="243" spans="1:19" s="29" customFormat="1" ht="15.6" thickBot="1">
      <c r="A243" s="491"/>
      <c r="B243" s="492"/>
      <c r="C243" s="493"/>
      <c r="D243" s="493"/>
      <c r="E243" s="493"/>
      <c r="F243" s="493"/>
      <c r="G243" s="638"/>
      <c r="H243" s="639"/>
      <c r="K243" s="3"/>
      <c r="L243" s="3"/>
      <c r="M243" s="3"/>
      <c r="N243" s="3"/>
      <c r="O243" s="3"/>
      <c r="P243" s="3"/>
      <c r="Q243" s="3"/>
      <c r="R243" s="53"/>
      <c r="S243" s="45"/>
    </row>
    <row r="244" spans="1:19" s="29" customFormat="1">
      <c r="A244" s="174"/>
      <c r="B244" s="3"/>
      <c r="C244" s="3"/>
      <c r="D244" s="3"/>
      <c r="E244" s="3"/>
      <c r="F244" s="3"/>
      <c r="G244" s="10"/>
      <c r="H244" s="3"/>
      <c r="K244" s="3"/>
      <c r="L244" s="3"/>
      <c r="M244" s="3"/>
      <c r="N244" s="3"/>
      <c r="O244" s="3"/>
      <c r="P244" s="3"/>
      <c r="Q244" s="3"/>
      <c r="R244" s="53"/>
      <c r="S244" s="45"/>
    </row>
    <row r="245" spans="1:19" s="29" customFormat="1">
      <c r="A245" s="174"/>
      <c r="B245" s="3"/>
      <c r="C245" s="3"/>
      <c r="D245" s="3"/>
      <c r="E245" s="3"/>
      <c r="F245" s="3"/>
      <c r="G245" s="10"/>
      <c r="H245" s="3"/>
      <c r="K245" s="3"/>
      <c r="L245" s="3"/>
      <c r="M245" s="3"/>
      <c r="N245" s="3"/>
      <c r="O245" s="3"/>
      <c r="P245" s="3"/>
      <c r="Q245" s="3"/>
      <c r="R245" s="53"/>
      <c r="S245" s="45"/>
    </row>
    <row r="246" spans="1:19" s="29" customFormat="1">
      <c r="A246" s="174"/>
      <c r="B246" s="3"/>
      <c r="C246" s="3"/>
      <c r="D246" s="3"/>
      <c r="E246" s="3"/>
      <c r="F246" s="3"/>
      <c r="G246" s="10"/>
      <c r="H246" s="3"/>
      <c r="K246" s="3"/>
      <c r="L246" s="3"/>
      <c r="M246" s="3"/>
      <c r="N246" s="3"/>
      <c r="O246" s="3"/>
      <c r="P246" s="3"/>
      <c r="Q246" s="3"/>
      <c r="R246" s="53"/>
      <c r="S246" s="45"/>
    </row>
    <row r="247" spans="1:19" s="29" customFormat="1">
      <c r="A247" s="174"/>
      <c r="B247" s="3"/>
      <c r="C247" s="3"/>
      <c r="D247" s="3"/>
      <c r="E247" s="3"/>
      <c r="F247" s="3"/>
      <c r="G247" s="10"/>
      <c r="H247" s="3"/>
      <c r="K247" s="3"/>
      <c r="L247" s="3"/>
      <c r="M247" s="3"/>
      <c r="N247" s="3"/>
      <c r="O247" s="3"/>
      <c r="P247" s="3"/>
      <c r="Q247" s="3"/>
      <c r="R247" s="45"/>
      <c r="S247" s="45"/>
    </row>
    <row r="248" spans="1:19" s="29" customFormat="1">
      <c r="A248" s="174"/>
      <c r="B248" s="3"/>
      <c r="C248" s="3"/>
      <c r="D248" s="3"/>
      <c r="E248" s="3"/>
      <c r="F248" s="3"/>
      <c r="G248" s="10"/>
      <c r="H248" s="3"/>
      <c r="K248" s="3"/>
      <c r="L248" s="3"/>
      <c r="M248" s="3"/>
      <c r="N248" s="3"/>
      <c r="O248" s="3"/>
      <c r="P248" s="3"/>
      <c r="Q248" s="3"/>
      <c r="R248" s="45"/>
      <c r="S248" s="45"/>
    </row>
    <row r="249" spans="1:19" s="29" customFormat="1">
      <c r="A249" s="174"/>
      <c r="B249" s="3"/>
      <c r="C249" s="3"/>
      <c r="D249" s="3"/>
      <c r="E249" s="3"/>
      <c r="F249" s="3"/>
      <c r="G249" s="10"/>
      <c r="H249" s="3"/>
      <c r="K249" s="3"/>
      <c r="L249" s="3"/>
      <c r="M249" s="3"/>
      <c r="N249" s="3"/>
      <c r="O249" s="3"/>
      <c r="P249" s="3"/>
      <c r="Q249" s="3"/>
      <c r="R249" s="45"/>
      <c r="S249" s="45"/>
    </row>
    <row r="250" spans="1:19" s="29" customFormat="1">
      <c r="A250" s="174"/>
      <c r="B250" s="3"/>
      <c r="C250" s="3"/>
      <c r="D250" s="3"/>
      <c r="E250" s="3"/>
      <c r="F250" s="3"/>
      <c r="G250" s="10"/>
      <c r="H250" s="3"/>
      <c r="K250" s="3"/>
      <c r="L250" s="3"/>
      <c r="M250" s="3"/>
      <c r="N250" s="3"/>
      <c r="O250" s="3"/>
      <c r="P250" s="3"/>
      <c r="Q250" s="3"/>
      <c r="R250" s="45"/>
      <c r="S250" s="45"/>
    </row>
  </sheetData>
  <sheetProtection algorithmName="SHA-512" hashValue="e60NzIGld186MxaJEo4Tswv4DsJW6Ms/U8GCyxDmM/9aZ+tKhQi/Ju6wA61mdXjDv0uLwR/wgTQAxGooD8iprA==" saltValue="MfCe0fnUk+6czL5CR6wM4g==" spinCount="100000" sheet="1" selectLockedCells="1"/>
  <mergeCells count="228">
    <mergeCell ref="B233:D233"/>
    <mergeCell ref="D238:F239"/>
    <mergeCell ref="B178:C178"/>
    <mergeCell ref="E180:F180"/>
    <mergeCell ref="A187:B187"/>
    <mergeCell ref="B190:C190"/>
    <mergeCell ref="B192:C192"/>
    <mergeCell ref="B194:C194"/>
    <mergeCell ref="A199:B200"/>
    <mergeCell ref="C199:C200"/>
    <mergeCell ref="D199:D200"/>
    <mergeCell ref="E199:F199"/>
    <mergeCell ref="B195:C195"/>
    <mergeCell ref="B196:C196"/>
    <mergeCell ref="B179:C179"/>
    <mergeCell ref="B180:C180"/>
    <mergeCell ref="A213:B214"/>
    <mergeCell ref="C213:C214"/>
    <mergeCell ref="D213:D214"/>
    <mergeCell ref="E213:F213"/>
    <mergeCell ref="B226:D226"/>
    <mergeCell ref="A167:A168"/>
    <mergeCell ref="D167:D168"/>
    <mergeCell ref="E167:E168"/>
    <mergeCell ref="F167:F168"/>
    <mergeCell ref="G167:G168"/>
    <mergeCell ref="H167:H168"/>
    <mergeCell ref="B170:C170"/>
    <mergeCell ref="A175:B176"/>
    <mergeCell ref="C175:C176"/>
    <mergeCell ref="D175:D176"/>
    <mergeCell ref="E175:F175"/>
    <mergeCell ref="G175:G176"/>
    <mergeCell ref="H175:H176"/>
    <mergeCell ref="B167:C167"/>
    <mergeCell ref="A158:A159"/>
    <mergeCell ref="B158:C159"/>
    <mergeCell ref="B162:C162"/>
    <mergeCell ref="A165:A166"/>
    <mergeCell ref="B165:C165"/>
    <mergeCell ref="D165:D166"/>
    <mergeCell ref="E165:E166"/>
    <mergeCell ref="F165:F166"/>
    <mergeCell ref="G165:G166"/>
    <mergeCell ref="B163:C163"/>
    <mergeCell ref="B160:C160"/>
    <mergeCell ref="B166:C166"/>
    <mergeCell ref="B129:C129"/>
    <mergeCell ref="B133:C133"/>
    <mergeCell ref="A140:B140"/>
    <mergeCell ref="F140:G140"/>
    <mergeCell ref="D142:D143"/>
    <mergeCell ref="E142:E143"/>
    <mergeCell ref="F142:G142"/>
    <mergeCell ref="A146:B147"/>
    <mergeCell ref="C146:C147"/>
    <mergeCell ref="D146:D147"/>
    <mergeCell ref="E146:F146"/>
    <mergeCell ref="G146:G147"/>
    <mergeCell ref="B130:C130"/>
    <mergeCell ref="B137:C137"/>
    <mergeCell ref="F143:G143"/>
    <mergeCell ref="B134:C134"/>
    <mergeCell ref="B135:C135"/>
    <mergeCell ref="B136:C136"/>
    <mergeCell ref="A126:A127"/>
    <mergeCell ref="B126:C126"/>
    <mergeCell ref="D126:D127"/>
    <mergeCell ref="E126:E127"/>
    <mergeCell ref="F126:F127"/>
    <mergeCell ref="G126:G127"/>
    <mergeCell ref="H126:H127"/>
    <mergeCell ref="B127:C127"/>
    <mergeCell ref="A122:A123"/>
    <mergeCell ref="B124:C124"/>
    <mergeCell ref="B101:D101"/>
    <mergeCell ref="R101:R102"/>
    <mergeCell ref="B108:D108"/>
    <mergeCell ref="B122:C122"/>
    <mergeCell ref="D122:D123"/>
    <mergeCell ref="E122:E123"/>
    <mergeCell ref="F122:F123"/>
    <mergeCell ref="G122:G123"/>
    <mergeCell ref="H122:H123"/>
    <mergeCell ref="B105:D105"/>
    <mergeCell ref="B110:D110"/>
    <mergeCell ref="B114:D114"/>
    <mergeCell ref="B102:D102"/>
    <mergeCell ref="B123:C123"/>
    <mergeCell ref="B103:D103"/>
    <mergeCell ref="B104:D104"/>
    <mergeCell ref="B113:D113"/>
    <mergeCell ref="B109:D109"/>
    <mergeCell ref="B112:D112"/>
    <mergeCell ref="B120:C120"/>
    <mergeCell ref="E58:F58"/>
    <mergeCell ref="G58:G59"/>
    <mergeCell ref="H58:H59"/>
    <mergeCell ref="B64:C64"/>
    <mergeCell ref="D66:D69"/>
    <mergeCell ref="B74:C74"/>
    <mergeCell ref="B94:D94"/>
    <mergeCell ref="B95:D95"/>
    <mergeCell ref="B65:C65"/>
    <mergeCell ref="E71:F71"/>
    <mergeCell ref="B75:C75"/>
    <mergeCell ref="B80:C80"/>
    <mergeCell ref="B70:C70"/>
    <mergeCell ref="B71:C71"/>
    <mergeCell ref="B73:C73"/>
    <mergeCell ref="B77:C77"/>
    <mergeCell ref="B79:C79"/>
    <mergeCell ref="B91:D91"/>
    <mergeCell ref="B93:D93"/>
    <mergeCell ref="E93:E94"/>
    <mergeCell ref="B81:C81"/>
    <mergeCell ref="H29:H30"/>
    <mergeCell ref="B30:D30"/>
    <mergeCell ref="B32:D32"/>
    <mergeCell ref="B34:D34"/>
    <mergeCell ref="A35:A36"/>
    <mergeCell ref="B35:D36"/>
    <mergeCell ref="E35:E36"/>
    <mergeCell ref="H35:H36"/>
    <mergeCell ref="E37:E42"/>
    <mergeCell ref="H37:H42"/>
    <mergeCell ref="B42:D42"/>
    <mergeCell ref="B41:D41"/>
    <mergeCell ref="B38:D38"/>
    <mergeCell ref="B46:D46"/>
    <mergeCell ref="B54:D54"/>
    <mergeCell ref="B44:D44"/>
    <mergeCell ref="B45:D45"/>
    <mergeCell ref="B53:D53"/>
    <mergeCell ref="B39:D39"/>
    <mergeCell ref="B37:D37"/>
    <mergeCell ref="B40:D40"/>
    <mergeCell ref="B69:C69"/>
    <mergeCell ref="B61:C61"/>
    <mergeCell ref="B67:C67"/>
    <mergeCell ref="B62:C62"/>
    <mergeCell ref="B66:C66"/>
    <mergeCell ref="B68:C68"/>
    <mergeCell ref="B63:C63"/>
    <mergeCell ref="B55:D55"/>
    <mergeCell ref="A58:B59"/>
    <mergeCell ref="D58:D59"/>
    <mergeCell ref="B47:D47"/>
    <mergeCell ref="B51:D51"/>
    <mergeCell ref="B50:D50"/>
    <mergeCell ref="A4:B4"/>
    <mergeCell ref="A7:B7"/>
    <mergeCell ref="D7:G7"/>
    <mergeCell ref="B29:D29"/>
    <mergeCell ref="B20:C20"/>
    <mergeCell ref="B21:C21"/>
    <mergeCell ref="B22:C22"/>
    <mergeCell ref="D11:D12"/>
    <mergeCell ref="E11:E12"/>
    <mergeCell ref="F11:F12"/>
    <mergeCell ref="B14:C14"/>
    <mergeCell ref="B15:C15"/>
    <mergeCell ref="A29:A30"/>
    <mergeCell ref="E29:E30"/>
    <mergeCell ref="F29:F30"/>
    <mergeCell ref="G29:G30"/>
    <mergeCell ref="A11:B12"/>
    <mergeCell ref="B17:C17"/>
    <mergeCell ref="B19:C19"/>
    <mergeCell ref="B16:C16"/>
    <mergeCell ref="B96:D96"/>
    <mergeCell ref="B99:D99"/>
    <mergeCell ref="F93:F94"/>
    <mergeCell ref="G93:G94"/>
    <mergeCell ref="H93:H94"/>
    <mergeCell ref="A95:A96"/>
    <mergeCell ref="E95:E96"/>
    <mergeCell ref="F95:F96"/>
    <mergeCell ref="G95:G96"/>
    <mergeCell ref="H95:H96"/>
    <mergeCell ref="A93:A94"/>
    <mergeCell ref="A98:A99"/>
    <mergeCell ref="B98:D98"/>
    <mergeCell ref="E98:E99"/>
    <mergeCell ref="F98:F99"/>
    <mergeCell ref="G98:G99"/>
    <mergeCell ref="H98:H99"/>
    <mergeCell ref="B151:C151"/>
    <mergeCell ref="E153:F153"/>
    <mergeCell ref="E154:F154"/>
    <mergeCell ref="H146:H147"/>
    <mergeCell ref="B150:C150"/>
    <mergeCell ref="A152:A153"/>
    <mergeCell ref="B152:C153"/>
    <mergeCell ref="E152:F152"/>
    <mergeCell ref="G152:G153"/>
    <mergeCell ref="H152:H153"/>
    <mergeCell ref="A154:A157"/>
    <mergeCell ref="B154:C157"/>
    <mergeCell ref="G154:G157"/>
    <mergeCell ref="E156:F156"/>
    <mergeCell ref="E157:F157"/>
    <mergeCell ref="E155:F155"/>
    <mergeCell ref="H154:H157"/>
    <mergeCell ref="G213:G214"/>
    <mergeCell ref="H213:H214"/>
    <mergeCell ref="B217:C217"/>
    <mergeCell ref="B228:D228"/>
    <mergeCell ref="B230:D230"/>
    <mergeCell ref="B231:D231"/>
    <mergeCell ref="B229:D229"/>
    <mergeCell ref="I154:I158"/>
    <mergeCell ref="B171:C171"/>
    <mergeCell ref="B172:C172"/>
    <mergeCell ref="B168:C168"/>
    <mergeCell ref="B209:C209"/>
    <mergeCell ref="B210:C210"/>
    <mergeCell ref="B205:C205"/>
    <mergeCell ref="B206:C206"/>
    <mergeCell ref="B204:C204"/>
    <mergeCell ref="H199:H200"/>
    <mergeCell ref="B203:C203"/>
    <mergeCell ref="B208:C208"/>
    <mergeCell ref="G199:G200"/>
    <mergeCell ref="H165:H166"/>
    <mergeCell ref="B216:C216"/>
    <mergeCell ref="A224:B224"/>
    <mergeCell ref="B227:D227"/>
  </mergeCells>
  <dataValidations count="3">
    <dataValidation type="list" allowBlank="1" showInputMessage="1" showErrorMessage="1" sqref="A7" xr:uid="{8338F9D7-B160-40DE-87A5-2A69D23C79DC}">
      <formula1>$K$1:$K$7</formula1>
    </dataValidation>
    <dataValidation type="list" allowBlank="1" showInputMessage="1" showErrorMessage="1" sqref="E233" xr:uid="{13459E5E-C8FB-4CBA-A0F3-3E47F19A0432}">
      <formula1>$K$233:$K$237</formula1>
    </dataValidation>
    <dataValidation type="list" allowBlank="1" showInputMessage="1" showErrorMessage="1" sqref="F143:G143" xr:uid="{ED214E65-9CB6-47AE-A885-037E85DA6293}">
      <formula1>$L$140:$Q$140</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73"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77" t="s">
        <v>90</v>
      </c>
      <c r="B1" s="378"/>
      <c r="C1" s="378"/>
      <c r="D1" s="378"/>
      <c r="E1" s="378"/>
      <c r="F1" s="378"/>
      <c r="G1" s="378"/>
      <c r="H1" s="379"/>
      <c r="K1" s="3" t="s">
        <v>41</v>
      </c>
    </row>
    <row r="2" spans="1:16">
      <c r="A2" s="380"/>
      <c r="B2" s="281"/>
      <c r="C2" s="281"/>
      <c r="D2" s="281"/>
      <c r="E2" s="281"/>
      <c r="F2" s="281"/>
      <c r="G2" s="282"/>
      <c r="H2" s="283"/>
      <c r="J2" s="6"/>
      <c r="K2" s="6" t="s">
        <v>428</v>
      </c>
    </row>
    <row r="3" spans="1:16" ht="15.6">
      <c r="A3" s="381" t="s">
        <v>378</v>
      </c>
      <c r="B3" s="281"/>
      <c r="C3" s="281"/>
      <c r="D3" s="349" t="s">
        <v>143</v>
      </c>
      <c r="E3" s="349" t="s">
        <v>144</v>
      </c>
      <c r="F3" s="349" t="s">
        <v>145</v>
      </c>
      <c r="G3" s="306" t="s">
        <v>105</v>
      </c>
      <c r="H3" s="292" t="s">
        <v>63</v>
      </c>
      <c r="J3" s="6"/>
      <c r="K3" s="6" t="s">
        <v>45</v>
      </c>
    </row>
    <row r="4" spans="1:16" ht="15.6">
      <c r="A4" s="862">
        <f>Summary!A6</f>
        <v>0</v>
      </c>
      <c r="B4" s="863"/>
      <c r="C4" s="281"/>
      <c r="D4" s="78">
        <f>H84</f>
        <v>0</v>
      </c>
      <c r="E4" s="166">
        <f>H183</f>
        <v>0</v>
      </c>
      <c r="F4" s="133">
        <f>H220</f>
        <v>0</v>
      </c>
      <c r="G4" s="143">
        <f>H234</f>
        <v>0</v>
      </c>
      <c r="H4" s="382">
        <f>H236</f>
        <v>0</v>
      </c>
      <c r="J4" s="6"/>
      <c r="K4" s="6" t="s">
        <v>15</v>
      </c>
    </row>
    <row r="5" spans="1:16">
      <c r="A5" s="380"/>
      <c r="B5" s="281"/>
      <c r="C5" s="281"/>
      <c r="D5" s="281"/>
      <c r="E5" s="281"/>
      <c r="F5" s="281"/>
      <c r="G5" s="282"/>
      <c r="H5" s="283"/>
      <c r="J5" s="6"/>
      <c r="K5" s="6" t="s">
        <v>16</v>
      </c>
    </row>
    <row r="6" spans="1:16" s="4" customFormat="1" ht="15.6">
      <c r="A6" s="381" t="s">
        <v>91</v>
      </c>
      <c r="B6" s="313"/>
      <c r="C6" s="313"/>
      <c r="D6" s="314" t="s">
        <v>35</v>
      </c>
      <c r="E6" s="281"/>
      <c r="F6" s="281"/>
      <c r="G6" s="282"/>
      <c r="H6" s="283"/>
      <c r="J6" s="6"/>
      <c r="K6" s="6" t="s">
        <v>427</v>
      </c>
      <c r="L6" s="3"/>
      <c r="M6" s="3"/>
      <c r="N6" s="3"/>
    </row>
    <row r="7" spans="1:16" ht="15.75" customHeight="1">
      <c r="A7" s="842" t="s">
        <v>428</v>
      </c>
      <c r="B7" s="843"/>
      <c r="D7" s="835">
        <f>Summary!A83</f>
        <v>0</v>
      </c>
      <c r="E7" s="785"/>
      <c r="F7" s="785"/>
      <c r="G7" s="786"/>
      <c r="H7" s="383"/>
      <c r="J7" s="29"/>
      <c r="K7" s="29" t="s">
        <v>426</v>
      </c>
    </row>
    <row r="8" spans="1:16" ht="15.6" thickBot="1">
      <c r="A8" s="380"/>
      <c r="B8" s="315"/>
      <c r="C8" s="281"/>
      <c r="D8" s="281"/>
      <c r="E8" s="281"/>
      <c r="F8" s="281"/>
      <c r="G8" s="282"/>
      <c r="H8" s="283"/>
    </row>
    <row r="9" spans="1:16" ht="16.2" thickBot="1">
      <c r="A9" s="384" t="s">
        <v>126</v>
      </c>
      <c r="B9" s="145"/>
      <c r="C9" s="145"/>
      <c r="D9" s="145"/>
      <c r="E9" s="145"/>
      <c r="F9" s="146"/>
      <c r="G9" s="16"/>
      <c r="H9" s="385"/>
    </row>
    <row r="10" spans="1:16">
      <c r="A10" s="380"/>
      <c r="B10" s="316"/>
      <c r="C10" s="281"/>
      <c r="D10" s="281"/>
      <c r="E10" s="281"/>
      <c r="F10" s="281"/>
      <c r="G10" s="282"/>
      <c r="H10" s="283"/>
    </row>
    <row r="11" spans="1:16" ht="15.75" customHeight="1">
      <c r="A11" s="963" t="s">
        <v>0</v>
      </c>
      <c r="B11" s="964"/>
      <c r="C11" s="153"/>
      <c r="D11" s="985" t="s">
        <v>4</v>
      </c>
      <c r="E11" s="984" t="s">
        <v>81</v>
      </c>
      <c r="F11" s="984" t="s">
        <v>21</v>
      </c>
      <c r="G11" s="317"/>
      <c r="H11" s="386"/>
    </row>
    <row r="12" spans="1:16" ht="15.75" customHeight="1">
      <c r="A12" s="965"/>
      <c r="B12" s="966"/>
      <c r="C12" s="154"/>
      <c r="D12" s="986"/>
      <c r="E12" s="984"/>
      <c r="F12" s="984"/>
      <c r="G12" s="317"/>
      <c r="H12" s="386"/>
    </row>
    <row r="13" spans="1:16" s="29" customFormat="1" ht="15.6">
      <c r="A13" s="387" t="s">
        <v>128</v>
      </c>
      <c r="B13" s="180"/>
      <c r="C13" s="180"/>
      <c r="D13" s="180"/>
      <c r="E13" s="183"/>
      <c r="F13" s="183"/>
      <c r="G13" s="318"/>
      <c r="H13" s="388"/>
      <c r="O13" s="45"/>
      <c r="P13" s="45"/>
    </row>
    <row r="14" spans="1:16">
      <c r="A14" s="389">
        <v>1</v>
      </c>
      <c r="B14" s="987" t="s">
        <v>287</v>
      </c>
      <c r="C14" s="851"/>
      <c r="D14" s="149" t="s">
        <v>2</v>
      </c>
      <c r="E14" s="54" t="s">
        <v>50</v>
      </c>
      <c r="F14" s="30"/>
      <c r="G14" s="278"/>
      <c r="H14" s="304"/>
      <c r="I14" s="148" t="s">
        <v>143</v>
      </c>
      <c r="K14" s="152" t="str">
        <f>IF(F14&lt;65%,"Min. 65% coverage"," ")</f>
        <v>Min. 65% coverage</v>
      </c>
    </row>
    <row r="15" spans="1:16" ht="30.75" customHeight="1">
      <c r="A15" s="389">
        <v>2</v>
      </c>
      <c r="B15" s="987" t="s">
        <v>376</v>
      </c>
      <c r="C15" s="851"/>
      <c r="D15" s="150" t="s">
        <v>51</v>
      </c>
      <c r="E15" s="31" t="s">
        <v>50</v>
      </c>
      <c r="F15" s="547"/>
      <c r="G15" s="278"/>
      <c r="H15" s="283"/>
      <c r="I15" s="148" t="s">
        <v>144</v>
      </c>
      <c r="K15" s="152" t="str">
        <f>IF(F15&lt;65%,"Min. 80% coverage"," ")</f>
        <v>Min. 80% coverage</v>
      </c>
    </row>
    <row r="16" spans="1:16" ht="15" customHeight="1">
      <c r="A16" s="389">
        <v>3</v>
      </c>
      <c r="B16" s="987" t="s">
        <v>375</v>
      </c>
      <c r="C16" s="851"/>
      <c r="D16" s="150" t="s">
        <v>51</v>
      </c>
      <c r="E16" s="31" t="s">
        <v>50</v>
      </c>
      <c r="F16" s="547"/>
      <c r="G16" s="278"/>
      <c r="H16" s="386"/>
      <c r="I16" s="3" t="s">
        <v>143</v>
      </c>
      <c r="K16" s="152" t="str">
        <f>IF(F16&lt;65%,"Min. 65% coverage"," ")</f>
        <v>Min. 65% coverage</v>
      </c>
    </row>
    <row r="17" spans="1:19">
      <c r="A17" s="389">
        <v>4</v>
      </c>
      <c r="B17" s="886" t="s">
        <v>191</v>
      </c>
      <c r="C17" s="884"/>
      <c r="D17" s="147" t="s">
        <v>3</v>
      </c>
      <c r="E17" s="31" t="s">
        <v>50</v>
      </c>
      <c r="F17" s="547"/>
      <c r="G17" s="278"/>
      <c r="H17" s="386"/>
      <c r="I17" s="3" t="s">
        <v>145</v>
      </c>
      <c r="K17" s="152" t="str">
        <f>IF(F17&lt;65%,"Min. 65% coverage"," ")</f>
        <v>Min. 65% coverage</v>
      </c>
    </row>
    <row r="18" spans="1:19" s="29" customFormat="1" ht="15.6">
      <c r="A18" s="390" t="s">
        <v>127</v>
      </c>
      <c r="B18" s="180"/>
      <c r="C18" s="180"/>
      <c r="D18" s="180"/>
      <c r="E18" s="181"/>
      <c r="F18" s="182"/>
      <c r="G18" s="319"/>
      <c r="H18" s="388"/>
      <c r="K18" s="10"/>
      <c r="O18" s="45"/>
      <c r="P18" s="45"/>
    </row>
    <row r="19" spans="1:19" ht="32.25" customHeight="1">
      <c r="A19" s="391">
        <v>5</v>
      </c>
      <c r="B19" s="873" t="s">
        <v>288</v>
      </c>
      <c r="C19" s="989"/>
      <c r="D19" s="151" t="s">
        <v>3</v>
      </c>
      <c r="E19" s="536"/>
      <c r="F19" s="31">
        <f>IFERROR(E19/$F$115,0)</f>
        <v>0</v>
      </c>
      <c r="G19" s="278"/>
      <c r="H19" s="386"/>
      <c r="I19" s="3" t="s">
        <v>144</v>
      </c>
      <c r="K19" s="152" t="str">
        <f>IF($A$7=$K$2,IF(E19=0,"Please input wall length"," ")," ")</f>
        <v>Please input wall length</v>
      </c>
    </row>
    <row r="20" spans="1:19">
      <c r="A20" s="391">
        <v>6</v>
      </c>
      <c r="B20" s="987" t="s">
        <v>289</v>
      </c>
      <c r="C20" s="851"/>
      <c r="D20" s="190" t="s">
        <v>51</v>
      </c>
      <c r="E20" s="31" t="s">
        <v>50</v>
      </c>
      <c r="F20" s="30"/>
      <c r="G20" s="278"/>
      <c r="H20" s="386"/>
      <c r="I20" s="3" t="s">
        <v>144</v>
      </c>
      <c r="K20" s="152" t="str">
        <f>IF($A$7=$K$2,IF(F20&lt;65%,"Min. 65% coverage"," ")," ")</f>
        <v>Min. 65% coverage</v>
      </c>
    </row>
    <row r="21" spans="1:19">
      <c r="A21" s="391">
        <v>7</v>
      </c>
      <c r="B21" s="886" t="s">
        <v>306</v>
      </c>
      <c r="C21" s="884"/>
      <c r="D21" s="150" t="s">
        <v>51</v>
      </c>
      <c r="E21" s="31" t="s">
        <v>50</v>
      </c>
      <c r="F21" s="547"/>
      <c r="G21" s="278"/>
      <c r="H21" s="386"/>
      <c r="I21" s="3" t="s">
        <v>143</v>
      </c>
      <c r="K21" s="152" t="str">
        <f>IF($A$7=$K$2,IF(F21&lt;65%,"Min. 65% coverage"," ")," ")</f>
        <v>Min. 65% coverage</v>
      </c>
    </row>
    <row r="22" spans="1:19">
      <c r="A22" s="391" t="s">
        <v>308</v>
      </c>
      <c r="B22" s="886" t="s">
        <v>307</v>
      </c>
      <c r="C22" s="884"/>
      <c r="D22" s="150" t="s">
        <v>51</v>
      </c>
      <c r="E22" s="31" t="s">
        <v>50</v>
      </c>
      <c r="F22" s="547"/>
      <c r="G22" s="278"/>
      <c r="H22" s="386"/>
      <c r="K22" s="152"/>
    </row>
    <row r="23" spans="1:19">
      <c r="A23" s="380"/>
      <c r="B23" s="281"/>
      <c r="C23" s="281"/>
      <c r="D23" s="281"/>
      <c r="E23" s="281"/>
      <c r="F23" s="281"/>
      <c r="G23" s="282"/>
      <c r="H23" s="283"/>
      <c r="K23" s="6"/>
    </row>
    <row r="24" spans="1:19" ht="15.6">
      <c r="A24" s="392" t="s">
        <v>44</v>
      </c>
      <c r="B24" s="169"/>
      <c r="C24" s="169"/>
      <c r="D24" s="169"/>
      <c r="E24" s="169"/>
      <c r="F24" s="170" t="s">
        <v>43</v>
      </c>
      <c r="G24" s="171">
        <f>VLOOKUP($A$7,'Manpower allocation'!A4:D11,2,FALSE)*100</f>
        <v>45</v>
      </c>
      <c r="H24" s="393" t="s">
        <v>42</v>
      </c>
      <c r="J24" s="497">
        <f>VLOOKUP($A$7,'Manpower allocation'!A4:D11,2,FALSE)*100</f>
        <v>45</v>
      </c>
      <c r="K24" s="6"/>
    </row>
    <row r="25" spans="1:19" ht="15.6">
      <c r="A25" s="380"/>
      <c r="B25" s="320"/>
      <c r="C25" s="321"/>
      <c r="D25" s="281"/>
      <c r="E25" s="281"/>
      <c r="F25" s="281"/>
      <c r="G25" s="282"/>
      <c r="H25" s="283"/>
      <c r="K25" s="6"/>
    </row>
    <row r="26" spans="1:19" s="29" customFormat="1" ht="46.8">
      <c r="A26" s="394" t="s">
        <v>0</v>
      </c>
      <c r="B26" s="41"/>
      <c r="C26" s="41"/>
      <c r="D26" s="42"/>
      <c r="E26" s="43" t="s">
        <v>17</v>
      </c>
      <c r="F26" s="43" t="s">
        <v>114</v>
      </c>
      <c r="G26" s="43" t="s">
        <v>18</v>
      </c>
      <c r="H26" s="395" t="s">
        <v>53</v>
      </c>
      <c r="K26" s="44"/>
      <c r="R26" s="45"/>
      <c r="S26" s="45"/>
    </row>
    <row r="27" spans="1:19" s="29" customFormat="1" ht="15.6">
      <c r="A27" s="396" t="s">
        <v>198</v>
      </c>
      <c r="B27" s="46" t="s">
        <v>214</v>
      </c>
      <c r="C27" s="47"/>
      <c r="D27" s="47"/>
      <c r="E27" s="48"/>
      <c r="F27" s="48"/>
      <c r="G27" s="48"/>
      <c r="H27" s="397"/>
      <c r="R27" s="45"/>
      <c r="S27" s="45"/>
    </row>
    <row r="28" spans="1:19" s="29" customFormat="1" ht="15.6">
      <c r="A28" s="398">
        <v>1</v>
      </c>
      <c r="B28" s="40" t="s">
        <v>338</v>
      </c>
      <c r="C28" s="41"/>
      <c r="D28" s="49"/>
      <c r="E28" s="41"/>
      <c r="F28" s="50"/>
      <c r="G28" s="50"/>
      <c r="H28" s="399"/>
      <c r="R28" s="45"/>
      <c r="S28" s="45"/>
    </row>
    <row r="29" spans="1:19" s="29" customFormat="1">
      <c r="A29" s="980">
        <v>1.1000000000000001</v>
      </c>
      <c r="B29" s="852" t="s">
        <v>290</v>
      </c>
      <c r="C29" s="988"/>
      <c r="D29" s="988"/>
      <c r="E29" s="904">
        <f>VLOOKUP(A29,'Point Allocation'!$A$5:$J$15,MATCH(A7,'Point Allocation'!$A$5:$J$5,0),0)</f>
        <v>45</v>
      </c>
      <c r="F29" s="1014"/>
      <c r="G29" s="1015">
        <f>IFERROR(F29/$F$56,0)</f>
        <v>0</v>
      </c>
      <c r="H29" s="909">
        <f>E29*G29</f>
        <v>0</v>
      </c>
      <c r="R29" s="45"/>
      <c r="S29" s="45"/>
    </row>
    <row r="30" spans="1:19" s="29" customFormat="1" ht="15.6">
      <c r="A30" s="981"/>
      <c r="B30" s="998" t="s">
        <v>401</v>
      </c>
      <c r="C30" s="998"/>
      <c r="D30" s="998"/>
      <c r="E30" s="904"/>
      <c r="F30" s="1014"/>
      <c r="G30" s="1015">
        <f t="shared" ref="G30" si="0">IFERROR(F30/$F$56,0)</f>
        <v>0</v>
      </c>
      <c r="H30" s="909"/>
      <c r="R30" s="45"/>
      <c r="S30" s="45"/>
    </row>
    <row r="31" spans="1:19" s="29" customFormat="1" ht="15.6">
      <c r="A31" s="398">
        <v>2</v>
      </c>
      <c r="B31" s="40" t="s">
        <v>339</v>
      </c>
      <c r="C31" s="51"/>
      <c r="D31" s="49"/>
      <c r="E31" s="52"/>
      <c r="F31" s="8"/>
      <c r="G31" s="22"/>
      <c r="H31" s="400"/>
      <c r="R31" s="53"/>
      <c r="S31" s="45"/>
    </row>
    <row r="32" spans="1:19" s="29" customFormat="1">
      <c r="A32" s="401">
        <v>2.1</v>
      </c>
      <c r="B32" s="885" t="s">
        <v>203</v>
      </c>
      <c r="C32" s="886"/>
      <c r="D32" s="884"/>
      <c r="E32" s="20">
        <f>VLOOKUP(A32,'Point Allocation'!$A$5:$J$15,MATCH(A7,'Point Allocation'!$A$5:$J$5,0),0)</f>
        <v>42</v>
      </c>
      <c r="F32" s="536"/>
      <c r="G32" s="31">
        <f>IFERROR(F32/$F$56,0)</f>
        <v>0</v>
      </c>
      <c r="H32" s="405">
        <f>E32*G32</f>
        <v>0</v>
      </c>
      <c r="R32" s="53"/>
      <c r="S32" s="45"/>
    </row>
    <row r="33" spans="1:19" s="29" customFormat="1" ht="15.6">
      <c r="A33" s="398">
        <v>3</v>
      </c>
      <c r="B33" s="40" t="s">
        <v>340</v>
      </c>
      <c r="C33" s="51"/>
      <c r="D33" s="49"/>
      <c r="E33" s="52"/>
      <c r="F33" s="8"/>
      <c r="G33" s="22"/>
      <c r="H33" s="400"/>
      <c r="R33" s="53"/>
      <c r="S33" s="45"/>
    </row>
    <row r="34" spans="1:19" s="29" customFormat="1" ht="15" customHeight="1">
      <c r="A34" s="401">
        <v>3.1</v>
      </c>
      <c r="B34" s="885" t="s">
        <v>587</v>
      </c>
      <c r="C34" s="886"/>
      <c r="D34" s="884"/>
      <c r="E34" s="20">
        <f>VLOOKUP(A34,'Point Allocation'!$A$5:$J$15,MATCH(A7,'Point Allocation'!$A$5:$J$5,0),0)</f>
        <v>39</v>
      </c>
      <c r="F34" s="37"/>
      <c r="G34" s="31">
        <f>IFERROR(F34/$F$56,0)</f>
        <v>0</v>
      </c>
      <c r="H34" s="419">
        <f>E34*G34</f>
        <v>0</v>
      </c>
      <c r="R34" s="53"/>
      <c r="S34" s="45"/>
    </row>
    <row r="35" spans="1:19" s="29" customFormat="1" ht="31.5" customHeight="1">
      <c r="A35" s="967">
        <v>3.2</v>
      </c>
      <c r="B35" s="969" t="s">
        <v>330</v>
      </c>
      <c r="C35" s="970"/>
      <c r="D35" s="971"/>
      <c r="E35" s="910">
        <f>VLOOKUP(A35,'Point Allocation'!$A$5:$J$15,MATCH(A7,'Point Allocation'!$A$5:$J$5,0),0)</f>
        <v>39</v>
      </c>
      <c r="F35" s="37"/>
      <c r="G35" s="31">
        <f>IFERROR(F35/$F$56,0)</f>
        <v>0</v>
      </c>
      <c r="H35" s="945">
        <f>IF(SUM(J37:J42)&gt;=4,E35*G35,0)</f>
        <v>0</v>
      </c>
      <c r="R35" s="53"/>
      <c r="S35" s="45"/>
    </row>
    <row r="36" spans="1:19" s="29" customFormat="1" ht="31.5" customHeight="1">
      <c r="A36" s="968"/>
      <c r="B36" s="972"/>
      <c r="C36" s="973"/>
      <c r="D36" s="974"/>
      <c r="E36" s="911"/>
      <c r="F36" s="9" t="s">
        <v>130</v>
      </c>
      <c r="G36" s="54" t="s">
        <v>117</v>
      </c>
      <c r="H36" s="947"/>
      <c r="R36" s="53"/>
      <c r="S36" s="45"/>
    </row>
    <row r="37" spans="1:19" s="29" customFormat="1" ht="89.25" customHeight="1">
      <c r="A37" s="402" t="s">
        <v>192</v>
      </c>
      <c r="B37" s="1016" t="s">
        <v>359</v>
      </c>
      <c r="C37" s="1017"/>
      <c r="D37" s="1018"/>
      <c r="E37" s="958"/>
      <c r="F37" s="187" t="s">
        <v>131</v>
      </c>
      <c r="G37" s="546"/>
      <c r="H37" s="946"/>
      <c r="J37" s="55">
        <f t="shared" ref="J37:J42" si="1">IF(G37&gt;=65%,1,0)</f>
        <v>0</v>
      </c>
      <c r="R37" s="53"/>
      <c r="S37" s="45"/>
    </row>
    <row r="38" spans="1:19" s="29" customFormat="1" ht="33.75" customHeight="1">
      <c r="A38" s="402" t="s">
        <v>193</v>
      </c>
      <c r="B38" s="871" t="s">
        <v>215</v>
      </c>
      <c r="C38" s="872"/>
      <c r="D38" s="873"/>
      <c r="E38" s="958"/>
      <c r="F38" s="39" t="s">
        <v>132</v>
      </c>
      <c r="G38" s="547"/>
      <c r="H38" s="946"/>
      <c r="J38" s="55">
        <f t="shared" si="1"/>
        <v>0</v>
      </c>
      <c r="R38" s="53"/>
      <c r="S38" s="45"/>
    </row>
    <row r="39" spans="1:19" s="29" customFormat="1" ht="48.75" customHeight="1">
      <c r="A39" s="402" t="s">
        <v>201</v>
      </c>
      <c r="B39" s="871" t="s">
        <v>216</v>
      </c>
      <c r="C39" s="872"/>
      <c r="D39" s="873"/>
      <c r="E39" s="958"/>
      <c r="F39" s="39" t="s">
        <v>133</v>
      </c>
      <c r="G39" s="547"/>
      <c r="H39" s="946"/>
      <c r="J39" s="55">
        <f t="shared" si="1"/>
        <v>0</v>
      </c>
      <c r="R39" s="53"/>
      <c r="S39" s="45"/>
    </row>
    <row r="40" spans="1:19" s="29" customFormat="1" ht="45">
      <c r="A40" s="402" t="s">
        <v>194</v>
      </c>
      <c r="B40" s="871" t="s">
        <v>217</v>
      </c>
      <c r="C40" s="872"/>
      <c r="D40" s="873"/>
      <c r="E40" s="958"/>
      <c r="F40" s="39" t="s">
        <v>134</v>
      </c>
      <c r="G40" s="547"/>
      <c r="H40" s="946"/>
      <c r="J40" s="55">
        <f t="shared" si="1"/>
        <v>0</v>
      </c>
      <c r="R40" s="53"/>
      <c r="S40" s="45"/>
    </row>
    <row r="41" spans="1:19" s="29" customFormat="1" ht="48.75" customHeight="1">
      <c r="A41" s="402" t="s">
        <v>202</v>
      </c>
      <c r="B41" s="871" t="s">
        <v>218</v>
      </c>
      <c r="C41" s="872"/>
      <c r="D41" s="873"/>
      <c r="E41" s="958"/>
      <c r="F41" s="39" t="s">
        <v>135</v>
      </c>
      <c r="G41" s="547"/>
      <c r="H41" s="946"/>
      <c r="J41" s="55">
        <f t="shared" si="1"/>
        <v>0</v>
      </c>
      <c r="R41" s="53"/>
      <c r="S41" s="45"/>
    </row>
    <row r="42" spans="1:19" s="29" customFormat="1" ht="31.5" customHeight="1">
      <c r="A42" s="402" t="s">
        <v>195</v>
      </c>
      <c r="B42" s="975" t="s">
        <v>345</v>
      </c>
      <c r="C42" s="976"/>
      <c r="D42" s="977"/>
      <c r="E42" s="959"/>
      <c r="F42" s="39" t="s">
        <v>136</v>
      </c>
      <c r="G42" s="547"/>
      <c r="H42" s="947"/>
      <c r="J42" s="55">
        <f t="shared" si="1"/>
        <v>0</v>
      </c>
      <c r="R42" s="53"/>
      <c r="S42" s="45"/>
    </row>
    <row r="43" spans="1:19" s="29" customFormat="1" ht="15.6">
      <c r="A43" s="398" t="s">
        <v>196</v>
      </c>
      <c r="B43" s="40" t="s">
        <v>341</v>
      </c>
      <c r="C43" s="56"/>
      <c r="D43" s="49"/>
      <c r="E43" s="52"/>
      <c r="F43" s="36"/>
      <c r="G43" s="23"/>
      <c r="H43" s="403"/>
      <c r="R43" s="53"/>
      <c r="S43" s="45"/>
    </row>
    <row r="44" spans="1:19" s="29" customFormat="1" ht="31.5" customHeight="1">
      <c r="A44" s="404">
        <v>4.0999999999999996</v>
      </c>
      <c r="B44" s="885" t="s">
        <v>331</v>
      </c>
      <c r="C44" s="886"/>
      <c r="D44" s="884"/>
      <c r="E44" s="20">
        <f>VLOOKUP(A44,'Point Allocation'!$A$5:$J$15,MATCH(A7,'Point Allocation'!$A$5:$J$5,0),0)</f>
        <v>35</v>
      </c>
      <c r="F44" s="536"/>
      <c r="G44" s="31">
        <f>IFERROR(F44/$F$56,0)</f>
        <v>0</v>
      </c>
      <c r="H44" s="405">
        <f>E44*G44</f>
        <v>0</v>
      </c>
      <c r="R44" s="53"/>
      <c r="S44" s="45"/>
    </row>
    <row r="45" spans="1:19" s="29" customFormat="1">
      <c r="A45" s="406">
        <v>4.2</v>
      </c>
      <c r="B45" s="928" t="s">
        <v>348</v>
      </c>
      <c r="C45" s="990"/>
      <c r="D45" s="929"/>
      <c r="E45" s="20">
        <f>VLOOKUP(A45,'Point Allocation'!$A$5:$J$15,MATCH(A7,'Point Allocation'!$A$5:$J$5,0),0)</f>
        <v>35</v>
      </c>
      <c r="F45" s="536"/>
      <c r="G45" s="31">
        <f>IFERROR(F45/$F$56,0)</f>
        <v>0</v>
      </c>
      <c r="H45" s="405">
        <f>E45*G45</f>
        <v>0</v>
      </c>
      <c r="R45" s="53"/>
      <c r="S45" s="45"/>
    </row>
    <row r="46" spans="1:19" s="29" customFormat="1">
      <c r="A46" s="406">
        <v>4.3</v>
      </c>
      <c r="B46" s="960" t="s">
        <v>346</v>
      </c>
      <c r="C46" s="961"/>
      <c r="D46" s="962"/>
      <c r="E46" s="20">
        <f>VLOOKUP(A46,'Point Allocation'!$A$5:$J$15,MATCH(A7,'Point Allocation'!$A$5:$J$5,0),0)</f>
        <v>28</v>
      </c>
      <c r="F46" s="536"/>
      <c r="G46" s="31">
        <f>IFERROR(F46/$F$56,0)</f>
        <v>0</v>
      </c>
      <c r="H46" s="405">
        <f>E46*G46</f>
        <v>0</v>
      </c>
      <c r="R46" s="53"/>
      <c r="S46" s="45"/>
    </row>
    <row r="47" spans="1:19" s="29" customFormat="1">
      <c r="A47" s="404">
        <v>4.4000000000000004</v>
      </c>
      <c r="B47" s="885" t="s">
        <v>347</v>
      </c>
      <c r="C47" s="886"/>
      <c r="D47" s="884"/>
      <c r="E47" s="20">
        <f>VLOOKUP(A47,'Point Allocation'!$A$5:$J$15,MATCH(A7,'Point Allocation'!$A$5:$J$5,0),0)</f>
        <v>28</v>
      </c>
      <c r="F47" s="536"/>
      <c r="G47" s="31">
        <f>IFERROR(F47/$F$56,0)</f>
        <v>0</v>
      </c>
      <c r="H47" s="405">
        <f>E47*G47</f>
        <v>0</v>
      </c>
      <c r="R47" s="53"/>
      <c r="S47" s="45"/>
    </row>
    <row r="48" spans="1:19" s="59" customFormat="1" ht="15.6">
      <c r="A48" s="396" t="s">
        <v>197</v>
      </c>
      <c r="B48" s="46" t="s">
        <v>211</v>
      </c>
      <c r="C48" s="57"/>
      <c r="D48" s="58"/>
      <c r="E48" s="7"/>
      <c r="F48" s="7"/>
      <c r="G48" s="24"/>
      <c r="H48" s="407"/>
      <c r="J48" s="29"/>
      <c r="K48" s="29"/>
      <c r="L48" s="29"/>
      <c r="M48" s="29"/>
      <c r="N48" s="29"/>
      <c r="R48" s="60"/>
    </row>
    <row r="49" spans="1:19" s="59" customFormat="1" ht="15.6">
      <c r="A49" s="408">
        <v>5</v>
      </c>
      <c r="B49" s="40" t="s">
        <v>212</v>
      </c>
      <c r="C49" s="49"/>
      <c r="D49" s="49"/>
      <c r="E49" s="8"/>
      <c r="F49" s="8"/>
      <c r="G49" s="22"/>
      <c r="H49" s="403"/>
      <c r="J49" s="29"/>
      <c r="K49" s="29"/>
      <c r="L49" s="29"/>
      <c r="M49" s="29"/>
      <c r="N49" s="29"/>
      <c r="R49" s="60"/>
    </row>
    <row r="50" spans="1:19" s="29" customFormat="1">
      <c r="A50" s="409">
        <v>5.0999999999999996</v>
      </c>
      <c r="B50" s="844" t="s">
        <v>204</v>
      </c>
      <c r="C50" s="846"/>
      <c r="D50" s="845"/>
      <c r="E50" s="20">
        <f>VLOOKUP(A50,'Point Allocation'!$A$5:$J$15,MATCH(A7,'Point Allocation'!$A$5:$J$5,0),0)</f>
        <v>22</v>
      </c>
      <c r="F50" s="536"/>
      <c r="G50" s="31">
        <f>IFERROR(F50/$F$56,0)</f>
        <v>0</v>
      </c>
      <c r="H50" s="405">
        <f>E50*G50</f>
        <v>0</v>
      </c>
      <c r="R50" s="53"/>
      <c r="S50" s="45"/>
    </row>
    <row r="51" spans="1:19" s="29" customFormat="1">
      <c r="A51" s="409">
        <v>5.2</v>
      </c>
      <c r="B51" s="844" t="s">
        <v>151</v>
      </c>
      <c r="C51" s="846"/>
      <c r="D51" s="845"/>
      <c r="E51" s="20">
        <f>VLOOKUP(A51,'Point Allocation'!$A$5:$J$15,MATCH(A7,'Point Allocation'!$A$5:$J$5,0),0)</f>
        <v>10</v>
      </c>
      <c r="F51" s="536"/>
      <c r="G51" s="31">
        <f>IFERROR(F51/$F$56,0)</f>
        <v>0</v>
      </c>
      <c r="H51" s="405">
        <f>E51*G51</f>
        <v>0</v>
      </c>
      <c r="R51" s="53"/>
      <c r="S51" s="45"/>
    </row>
    <row r="52" spans="1:19" s="29" customFormat="1" ht="15.6">
      <c r="A52" s="410">
        <v>6</v>
      </c>
      <c r="B52" s="61" t="s">
        <v>213</v>
      </c>
      <c r="C52" s="49"/>
      <c r="D52" s="49"/>
      <c r="E52" s="8"/>
      <c r="F52" s="8"/>
      <c r="G52" s="22"/>
      <c r="H52" s="403"/>
      <c r="R52" s="53"/>
      <c r="S52" s="45"/>
    </row>
    <row r="53" spans="1:19" s="29" customFormat="1">
      <c r="A53" s="411">
        <v>6.1</v>
      </c>
      <c r="B53" s="826"/>
      <c r="C53" s="821"/>
      <c r="D53" s="847"/>
      <c r="E53" s="536"/>
      <c r="F53" s="536"/>
      <c r="G53" s="31">
        <f>IFERROR(F53/$F$56,0)</f>
        <v>0</v>
      </c>
      <c r="H53" s="405">
        <f>E53*G53</f>
        <v>0</v>
      </c>
      <c r="R53" s="53"/>
      <c r="S53" s="45"/>
    </row>
    <row r="54" spans="1:19" s="29" customFormat="1">
      <c r="A54" s="411">
        <v>6.2</v>
      </c>
      <c r="B54" s="826"/>
      <c r="C54" s="821"/>
      <c r="D54" s="847"/>
      <c r="E54" s="536"/>
      <c r="F54" s="536"/>
      <c r="G54" s="31">
        <f>IFERROR(F54/$F$56,0)</f>
        <v>0</v>
      </c>
      <c r="H54" s="405">
        <f>E54*G54</f>
        <v>0</v>
      </c>
      <c r="R54" s="53"/>
      <c r="S54" s="45"/>
    </row>
    <row r="55" spans="1:19" s="29" customFormat="1">
      <c r="A55" s="411">
        <v>6.3</v>
      </c>
      <c r="B55" s="826"/>
      <c r="C55" s="821"/>
      <c r="D55" s="847"/>
      <c r="E55" s="536"/>
      <c r="F55" s="536"/>
      <c r="G55" s="31">
        <f>IFERROR(F55/$F$56,0)</f>
        <v>0</v>
      </c>
      <c r="H55" s="405">
        <f>E55*G55</f>
        <v>0</v>
      </c>
      <c r="R55" s="53"/>
      <c r="S55" s="45"/>
    </row>
    <row r="56" spans="1:19" s="29" customFormat="1" ht="15.6">
      <c r="A56" s="412"/>
      <c r="B56" s="322"/>
      <c r="C56" s="323"/>
      <c r="D56" s="323"/>
      <c r="E56" s="324" t="s">
        <v>61</v>
      </c>
      <c r="F56" s="26">
        <f>SUM(F29,F32,F34,F35,F44,F45,F46,F47,F50,F51,F53,F54,F55)</f>
        <v>0</v>
      </c>
      <c r="G56" s="25">
        <f>SUM(G29,G32:G32,G34:G35,G44:G47,G50:G51,G53:G55)</f>
        <v>0</v>
      </c>
      <c r="H56" s="413">
        <f>IFERROR(SUM(H29:H55),0)</f>
        <v>0</v>
      </c>
      <c r="N56" s="62"/>
      <c r="R56" s="53"/>
      <c r="S56" s="45"/>
    </row>
    <row r="57" spans="1:19" s="29" customFormat="1" ht="15.6" thickBot="1">
      <c r="A57" s="491"/>
      <c r="B57" s="492"/>
      <c r="C57" s="493"/>
      <c r="D57" s="493"/>
      <c r="E57" s="493"/>
      <c r="F57" s="493"/>
      <c r="G57" s="480"/>
      <c r="H57" s="639"/>
      <c r="R57" s="53"/>
      <c r="S57" s="45"/>
    </row>
    <row r="58" spans="1:19" s="29" customFormat="1" ht="15.6">
      <c r="A58" s="954" t="s">
        <v>0</v>
      </c>
      <c r="B58" s="955"/>
      <c r="C58" s="646"/>
      <c r="D58" s="978" t="s">
        <v>4</v>
      </c>
      <c r="E58" s="952" t="s">
        <v>1</v>
      </c>
      <c r="F58" s="953"/>
      <c r="G58" s="948" t="s">
        <v>21</v>
      </c>
      <c r="H58" s="950" t="s">
        <v>63</v>
      </c>
      <c r="R58" s="53"/>
      <c r="S58" s="45"/>
    </row>
    <row r="59" spans="1:19" s="29" customFormat="1" ht="31.2">
      <c r="A59" s="956"/>
      <c r="B59" s="957"/>
      <c r="C59" s="63"/>
      <c r="D59" s="979"/>
      <c r="E59" s="43" t="s">
        <v>118</v>
      </c>
      <c r="F59" s="43" t="s">
        <v>119</v>
      </c>
      <c r="G59" s="949"/>
      <c r="H59" s="951"/>
      <c r="J59" s="64"/>
      <c r="R59" s="53"/>
      <c r="S59" s="45"/>
    </row>
    <row r="60" spans="1:19" s="29" customFormat="1" ht="15.6">
      <c r="A60" s="415" t="s">
        <v>219</v>
      </c>
      <c r="B60" s="46" t="s">
        <v>148</v>
      </c>
      <c r="C60" s="58"/>
      <c r="D60" s="65"/>
      <c r="E60" s="48"/>
      <c r="F60" s="48"/>
      <c r="G60" s="48"/>
      <c r="H60" s="416"/>
      <c r="J60" s="62"/>
      <c r="K60" s="62"/>
      <c r="L60" s="62"/>
      <c r="M60" s="62"/>
      <c r="R60" s="53"/>
      <c r="S60" s="45"/>
    </row>
    <row r="61" spans="1:19" s="29" customFormat="1" ht="15" customHeight="1">
      <c r="A61" s="417" t="s">
        <v>349</v>
      </c>
      <c r="B61" s="850" t="s">
        <v>595</v>
      </c>
      <c r="C61" s="851"/>
      <c r="D61" s="5" t="s">
        <v>51</v>
      </c>
      <c r="E61" s="9">
        <v>3</v>
      </c>
      <c r="F61" s="9">
        <v>4</v>
      </c>
      <c r="G61" s="66"/>
      <c r="H61" s="405">
        <f>IF(G61&gt;=80%,F61,IF(G61&lt;65%,0,E61))</f>
        <v>0</v>
      </c>
      <c r="R61" s="53"/>
      <c r="S61" s="45"/>
    </row>
    <row r="62" spans="1:19" s="29" customFormat="1">
      <c r="A62" s="417" t="s">
        <v>350</v>
      </c>
      <c r="B62" s="850" t="s">
        <v>596</v>
      </c>
      <c r="C62" s="851"/>
      <c r="D62" s="5" t="s">
        <v>51</v>
      </c>
      <c r="E62" s="9">
        <v>3</v>
      </c>
      <c r="F62" s="9">
        <v>4</v>
      </c>
      <c r="G62" s="66"/>
      <c r="H62" s="405">
        <f>IF(G62&gt;=80%,F62,IF(G62&lt;65%,0,E62))</f>
        <v>0</v>
      </c>
      <c r="R62" s="53"/>
      <c r="S62" s="45"/>
    </row>
    <row r="63" spans="1:19" s="29" customFormat="1">
      <c r="A63" s="418" t="s">
        <v>351</v>
      </c>
      <c r="B63" s="850" t="s">
        <v>588</v>
      </c>
      <c r="C63" s="851"/>
      <c r="D63" s="5" t="s">
        <v>51</v>
      </c>
      <c r="E63" s="9">
        <v>3</v>
      </c>
      <c r="F63" s="9">
        <v>4</v>
      </c>
      <c r="G63" s="66"/>
      <c r="H63" s="405">
        <f>IF(G63&gt;=80%,F63,IF(G63&lt;65%,0,E63))</f>
        <v>0</v>
      </c>
      <c r="R63" s="53"/>
      <c r="S63" s="45"/>
    </row>
    <row r="64" spans="1:19" s="29" customFormat="1" ht="51" customHeight="1">
      <c r="A64" s="417">
        <v>7.2</v>
      </c>
      <c r="B64" s="1019" t="s">
        <v>354</v>
      </c>
      <c r="C64" s="1019"/>
      <c r="D64" s="518" t="s">
        <v>51</v>
      </c>
      <c r="E64" s="540">
        <v>2</v>
      </c>
      <c r="F64" s="540">
        <v>2.5</v>
      </c>
      <c r="G64" s="516"/>
      <c r="H64" s="419">
        <f>IF(H35&gt;0,0,IF(G64&gt;=80%,F64,IF(G64&lt;65%,0,E64)))</f>
        <v>0</v>
      </c>
      <c r="J64" s="11"/>
      <c r="K64" s="11"/>
      <c r="L64" s="11"/>
      <c r="R64" s="53"/>
      <c r="S64" s="45"/>
    </row>
    <row r="65" spans="1:19" s="29" customFormat="1" ht="15" customHeight="1">
      <c r="A65" s="417">
        <v>7.3</v>
      </c>
      <c r="B65" s="885" t="s">
        <v>226</v>
      </c>
      <c r="C65" s="886"/>
      <c r="D65" s="375"/>
      <c r="E65" s="375"/>
      <c r="F65" s="375"/>
      <c r="G65" s="375"/>
      <c r="H65" s="420"/>
      <c r="J65" s="11"/>
      <c r="K65" s="11"/>
      <c r="L65" s="11"/>
      <c r="R65" s="53"/>
      <c r="S65" s="45"/>
    </row>
    <row r="66" spans="1:19" s="29" customFormat="1" ht="32.25" customHeight="1">
      <c r="A66" s="418" t="s">
        <v>220</v>
      </c>
      <c r="B66" s="883" t="s">
        <v>227</v>
      </c>
      <c r="C66" s="884"/>
      <c r="D66" s="856" t="s">
        <v>51</v>
      </c>
      <c r="E66" s="296">
        <v>1</v>
      </c>
      <c r="F66" s="296">
        <v>1.5</v>
      </c>
      <c r="G66" s="67"/>
      <c r="H66" s="298">
        <f>IF(H29+H35&gt;0,0.5,IF(G66&gt;=80%,F66,IF(G66&lt;65%,0,E66)))</f>
        <v>0</v>
      </c>
      <c r="K66" s="11"/>
      <c r="L66" s="11"/>
      <c r="R66" s="53"/>
      <c r="S66" s="45"/>
    </row>
    <row r="67" spans="1:19" s="29" customFormat="1" ht="47.25" customHeight="1">
      <c r="A67" s="418" t="s">
        <v>221</v>
      </c>
      <c r="B67" s="883" t="s">
        <v>228</v>
      </c>
      <c r="C67" s="884"/>
      <c r="D67" s="857"/>
      <c r="E67" s="296">
        <v>1</v>
      </c>
      <c r="F67" s="296">
        <v>1.5</v>
      </c>
      <c r="G67" s="67"/>
      <c r="H67" s="298">
        <f>IF(H29+H35&gt;0,0.5,IF(G67&gt;=80%,F67,IF(G67&lt;65%,0,E67)))</f>
        <v>0</v>
      </c>
      <c r="R67" s="53"/>
      <c r="S67" s="45"/>
    </row>
    <row r="68" spans="1:19" s="29" customFormat="1">
      <c r="A68" s="418" t="s">
        <v>235</v>
      </c>
      <c r="B68" s="883" t="s">
        <v>229</v>
      </c>
      <c r="C68" s="884"/>
      <c r="D68" s="857"/>
      <c r="E68" s="296">
        <v>1</v>
      </c>
      <c r="F68" s="296">
        <v>1.5</v>
      </c>
      <c r="G68" s="67"/>
      <c r="H68" s="298">
        <f>IF(H29+H35&gt;0,0.5,IF(G68&gt;=80%,F68,IF(G68&lt;65%,0,E68)))</f>
        <v>0</v>
      </c>
      <c r="R68" s="53"/>
      <c r="S68" s="45"/>
    </row>
    <row r="69" spans="1:19" s="29" customFormat="1" ht="46.5" customHeight="1">
      <c r="A69" s="418" t="s">
        <v>222</v>
      </c>
      <c r="B69" s="883" t="s">
        <v>230</v>
      </c>
      <c r="C69" s="884"/>
      <c r="D69" s="858"/>
      <c r="E69" s="296">
        <v>1</v>
      </c>
      <c r="F69" s="296">
        <v>1.5</v>
      </c>
      <c r="G69" s="67"/>
      <c r="H69" s="298">
        <f>IF(H29+H35&gt;0,0.5,IF(G69&gt;=80%,F69,IF(G69&lt;65%,0,E69)))</f>
        <v>0</v>
      </c>
      <c r="R69" s="53"/>
      <c r="S69" s="45"/>
    </row>
    <row r="70" spans="1:19" s="29" customFormat="1">
      <c r="A70" s="417">
        <v>7.4</v>
      </c>
      <c r="B70" s="930" t="s">
        <v>441</v>
      </c>
      <c r="C70" s="930"/>
      <c r="D70" s="350" t="s">
        <v>2</v>
      </c>
      <c r="E70" s="296">
        <v>1</v>
      </c>
      <c r="F70" s="296">
        <v>1.5</v>
      </c>
      <c r="G70" s="67"/>
      <c r="H70" s="298">
        <f>IF(G70&gt;=80%,F70,IF(G70&lt;65%,0,E70))</f>
        <v>0</v>
      </c>
      <c r="R70" s="53"/>
      <c r="S70" s="45"/>
    </row>
    <row r="71" spans="1:19" s="29" customFormat="1" ht="15" customHeight="1">
      <c r="A71" s="526">
        <v>7.5</v>
      </c>
      <c r="B71" s="932" t="s">
        <v>422</v>
      </c>
      <c r="C71" s="932"/>
      <c r="D71" s="561" t="s">
        <v>420</v>
      </c>
      <c r="E71" s="855">
        <v>2</v>
      </c>
      <c r="F71" s="855"/>
      <c r="G71" s="546"/>
      <c r="H71" s="519">
        <f>IF(G71&gt;=5%,E71,0)</f>
        <v>0</v>
      </c>
      <c r="R71" s="53"/>
      <c r="S71" s="45"/>
    </row>
    <row r="72" spans="1:19" s="29" customFormat="1" ht="15.6">
      <c r="A72" s="421" t="s">
        <v>223</v>
      </c>
      <c r="B72" s="68" t="s">
        <v>231</v>
      </c>
      <c r="C72" s="69"/>
      <c r="D72" s="70"/>
      <c r="E72" s="71"/>
      <c r="F72" s="71"/>
      <c r="G72" s="71"/>
      <c r="H72" s="422"/>
      <c r="R72" s="53"/>
      <c r="S72" s="45"/>
    </row>
    <row r="73" spans="1:19" s="29" customFormat="1">
      <c r="A73" s="417">
        <v>8.1</v>
      </c>
      <c r="B73" s="852" t="s">
        <v>232</v>
      </c>
      <c r="C73" s="852"/>
      <c r="D73" s="5" t="s">
        <v>51</v>
      </c>
      <c r="E73" s="20">
        <v>2</v>
      </c>
      <c r="F73" s="20">
        <v>2.5</v>
      </c>
      <c r="G73" s="72"/>
      <c r="H73" s="405">
        <f>IF(G73&gt;=80%,F73,IF(G73&lt;65%,0,E73))</f>
        <v>0</v>
      </c>
      <c r="J73" s="73"/>
      <c r="R73" s="53"/>
      <c r="S73" s="45"/>
    </row>
    <row r="74" spans="1:19" s="29" customFormat="1">
      <c r="A74" s="417">
        <v>8.1999999999999993</v>
      </c>
      <c r="B74" s="852" t="s">
        <v>233</v>
      </c>
      <c r="C74" s="852"/>
      <c r="D74" s="5" t="s">
        <v>51</v>
      </c>
      <c r="E74" s="20">
        <v>2</v>
      </c>
      <c r="F74" s="20">
        <v>2.5</v>
      </c>
      <c r="G74" s="72"/>
      <c r="H74" s="405">
        <f>IF(G74&gt;=80%,F74,IF(G74&lt;65%,0,E74))</f>
        <v>0</v>
      </c>
      <c r="J74" s="11"/>
      <c r="K74" s="11"/>
      <c r="L74" s="11"/>
      <c r="R74" s="53"/>
      <c r="S74" s="45"/>
    </row>
    <row r="75" spans="1:19" s="29" customFormat="1">
      <c r="A75" s="417">
        <v>8.3000000000000007</v>
      </c>
      <c r="B75" s="874" t="s">
        <v>147</v>
      </c>
      <c r="C75" s="875"/>
      <c r="D75" s="5" t="s">
        <v>2</v>
      </c>
      <c r="E75" s="20">
        <v>2</v>
      </c>
      <c r="F75" s="20">
        <v>2.5</v>
      </c>
      <c r="G75" s="66"/>
      <c r="H75" s="405">
        <f>IF(G75&gt;=80%,F75,IF(G75&lt;65%,0,E75))</f>
        <v>0</v>
      </c>
      <c r="R75" s="53"/>
      <c r="S75" s="45"/>
    </row>
    <row r="76" spans="1:19" s="29" customFormat="1" ht="15.6">
      <c r="A76" s="421" t="s">
        <v>224</v>
      </c>
      <c r="B76" s="68" t="s">
        <v>234</v>
      </c>
      <c r="C76" s="69"/>
      <c r="D76" s="70"/>
      <c r="E76" s="71"/>
      <c r="F76" s="71"/>
      <c r="G76" s="71"/>
      <c r="H76" s="422"/>
      <c r="R76" s="53"/>
      <c r="S76" s="45"/>
    </row>
    <row r="77" spans="1:19" s="29" customFormat="1" ht="31.5" customHeight="1">
      <c r="A77" s="417">
        <v>9.1</v>
      </c>
      <c r="B77" s="852" t="s">
        <v>371</v>
      </c>
      <c r="C77" s="852"/>
      <c r="D77" s="5" t="s">
        <v>51</v>
      </c>
      <c r="E77" s="20">
        <v>2</v>
      </c>
      <c r="F77" s="20">
        <v>2.5</v>
      </c>
      <c r="G77" s="72"/>
      <c r="H77" s="405">
        <f>IF(G77&gt;=80%,F77,IF(G77&lt;65%,0,E77))</f>
        <v>0</v>
      </c>
      <c r="R77" s="53"/>
      <c r="S77" s="45"/>
    </row>
    <row r="78" spans="1:19" s="29" customFormat="1" ht="15.6">
      <c r="A78" s="423" t="s">
        <v>225</v>
      </c>
      <c r="B78" s="74" t="s">
        <v>213</v>
      </c>
      <c r="C78" s="58"/>
      <c r="D78" s="58"/>
      <c r="E78" s="75"/>
      <c r="F78" s="75"/>
      <c r="G78" s="76"/>
      <c r="H78" s="424"/>
      <c r="R78" s="53"/>
      <c r="S78" s="45"/>
    </row>
    <row r="79" spans="1:19" s="29" customFormat="1">
      <c r="A79" s="417">
        <v>10.1</v>
      </c>
      <c r="B79" s="848"/>
      <c r="C79" s="848"/>
      <c r="D79" s="77"/>
      <c r="E79" s="536"/>
      <c r="F79" s="536"/>
      <c r="G79" s="547"/>
      <c r="H79" s="405">
        <f>IF(G79&gt;=80%,F79,IF(G79&lt;65%,0,E79))</f>
        <v>0</v>
      </c>
      <c r="R79" s="53"/>
      <c r="S79" s="45"/>
    </row>
    <row r="80" spans="1:19" s="29" customFormat="1">
      <c r="A80" s="417">
        <v>10.199999999999999</v>
      </c>
      <c r="B80" s="848"/>
      <c r="C80" s="848"/>
      <c r="D80" s="77"/>
      <c r="E80" s="536"/>
      <c r="F80" s="536"/>
      <c r="G80" s="547"/>
      <c r="H80" s="405">
        <f>IF(G80&gt;=80%,F80,IF(G80&lt;65%,0,E80))</f>
        <v>0</v>
      </c>
      <c r="R80" s="53"/>
      <c r="S80" s="45"/>
    </row>
    <row r="81" spans="1:19" s="29" customFormat="1">
      <c r="A81" s="417">
        <v>10.3</v>
      </c>
      <c r="B81" s="848"/>
      <c r="C81" s="848"/>
      <c r="D81" s="77"/>
      <c r="E81" s="536"/>
      <c r="F81" s="536"/>
      <c r="G81" s="547"/>
      <c r="H81" s="405">
        <f>IF(G81&gt;=80%,F81,IF(G81&lt;65%,0,E81))</f>
        <v>0</v>
      </c>
      <c r="R81" s="53"/>
      <c r="S81" s="45"/>
    </row>
    <row r="82" spans="1:19" s="29" customFormat="1" ht="15.6">
      <c r="A82" s="425"/>
      <c r="B82" s="325"/>
      <c r="C82" s="323"/>
      <c r="D82" s="323"/>
      <c r="E82" s="326"/>
      <c r="F82" s="327"/>
      <c r="G82" s="328" t="s">
        <v>418</v>
      </c>
      <c r="H82" s="426">
        <f>IFERROR((SUM(H61:H81)),0)</f>
        <v>0</v>
      </c>
      <c r="R82" s="53"/>
      <c r="S82" s="45"/>
    </row>
    <row r="83" spans="1:19" s="29" customFormat="1">
      <c r="A83" s="412"/>
      <c r="B83" s="325"/>
      <c r="C83" s="323"/>
      <c r="D83" s="323"/>
      <c r="E83" s="323"/>
      <c r="F83" s="323"/>
      <c r="G83" s="329"/>
      <c r="H83" s="388"/>
      <c r="R83" s="53"/>
      <c r="S83" s="45"/>
    </row>
    <row r="84" spans="1:19" s="29" customFormat="1" ht="15.6">
      <c r="A84" s="412"/>
      <c r="B84" s="325"/>
      <c r="C84" s="323"/>
      <c r="D84" s="323"/>
      <c r="E84" s="323"/>
      <c r="F84" s="323"/>
      <c r="G84" s="330" t="s">
        <v>129</v>
      </c>
      <c r="H84" s="427">
        <f>IFERROR(MIN(G24,H56+H82),0)</f>
        <v>0</v>
      </c>
      <c r="R84" s="53"/>
      <c r="S84" s="45"/>
    </row>
    <row r="85" spans="1:19" s="29" customFormat="1" ht="16.2" thickBot="1">
      <c r="A85" s="491"/>
      <c r="B85" s="492"/>
      <c r="C85" s="493"/>
      <c r="D85" s="493"/>
      <c r="E85" s="493"/>
      <c r="F85" s="493"/>
      <c r="G85" s="496"/>
      <c r="H85" s="495"/>
      <c r="R85" s="53"/>
      <c r="S85" s="45"/>
    </row>
    <row r="86" spans="1:19" s="29" customFormat="1" ht="15.6">
      <c r="A86" s="486" t="s">
        <v>52</v>
      </c>
      <c r="B86" s="487"/>
      <c r="C86" s="487"/>
      <c r="D86" s="487"/>
      <c r="E86" s="487"/>
      <c r="F86" s="488" t="s">
        <v>43</v>
      </c>
      <c r="G86" s="489">
        <f>VLOOKUP($A$7,'Manpower allocation'!A4:D11,3,FALSE)*100</f>
        <v>40</v>
      </c>
      <c r="H86" s="490" t="s">
        <v>42</v>
      </c>
      <c r="J86" s="79">
        <f>VLOOKUP($A$7,'Manpower allocation'!A4:D11,3,FALSE)*100</f>
        <v>40</v>
      </c>
      <c r="R86" s="53"/>
      <c r="S86" s="45"/>
    </row>
    <row r="87" spans="1:19" s="29" customFormat="1" ht="15.6">
      <c r="A87" s="412"/>
      <c r="B87" s="331"/>
      <c r="C87" s="326"/>
      <c r="D87" s="323"/>
      <c r="E87" s="323"/>
      <c r="F87" s="323"/>
      <c r="G87" s="332"/>
      <c r="H87" s="388"/>
      <c r="R87" s="53"/>
      <c r="S87" s="45"/>
    </row>
    <row r="88" spans="1:19" s="29" customFormat="1" ht="46.8">
      <c r="A88" s="549" t="s">
        <v>0</v>
      </c>
      <c r="B88" s="550"/>
      <c r="C88" s="168"/>
      <c r="D88" s="80"/>
      <c r="E88" s="81" t="s">
        <v>17</v>
      </c>
      <c r="F88" s="82" t="s">
        <v>81</v>
      </c>
      <c r="G88" s="82" t="s">
        <v>20</v>
      </c>
      <c r="H88" s="428" t="s">
        <v>53</v>
      </c>
      <c r="R88" s="53"/>
      <c r="S88" s="45"/>
    </row>
    <row r="89" spans="1:19" s="29" customFormat="1" ht="15.6">
      <c r="A89" s="429" t="s">
        <v>303</v>
      </c>
      <c r="B89" s="83" t="s">
        <v>332</v>
      </c>
      <c r="C89" s="84"/>
      <c r="D89" s="84"/>
      <c r="E89" s="85"/>
      <c r="F89" s="85"/>
      <c r="G89" s="85"/>
      <c r="H89" s="430"/>
      <c r="R89" s="53"/>
      <c r="S89" s="45"/>
    </row>
    <row r="90" spans="1:19" s="29" customFormat="1" ht="15.6">
      <c r="A90" s="431">
        <v>1</v>
      </c>
      <c r="B90" s="86" t="s">
        <v>338</v>
      </c>
      <c r="C90" s="87"/>
      <c r="D90" s="87"/>
      <c r="E90" s="88"/>
      <c r="F90" s="88"/>
      <c r="G90" s="88"/>
      <c r="H90" s="432"/>
      <c r="R90" s="53"/>
      <c r="S90" s="45"/>
    </row>
    <row r="91" spans="1:19" s="29" customFormat="1">
      <c r="A91" s="417">
        <v>1.1000000000000001</v>
      </c>
      <c r="B91" s="885" t="s">
        <v>290</v>
      </c>
      <c r="C91" s="846"/>
      <c r="D91" s="845"/>
      <c r="E91" s="89">
        <f>VLOOKUP(A91,'Point Allocation'!$A$20:$J$40,MATCH(A7,'Point Allocation'!$A$20:$J$20,0),0)</f>
        <v>30</v>
      </c>
      <c r="F91" s="90"/>
      <c r="G91" s="91">
        <f>IFERROR(F91/$F$115,0)</f>
        <v>0</v>
      </c>
      <c r="H91" s="433">
        <f>E91*G91</f>
        <v>0</v>
      </c>
      <c r="R91" s="45"/>
      <c r="S91" s="45"/>
    </row>
    <row r="92" spans="1:19" s="29" customFormat="1" ht="15.6">
      <c r="A92" s="434">
        <v>2</v>
      </c>
      <c r="B92" s="92" t="s">
        <v>339</v>
      </c>
      <c r="C92" s="93"/>
      <c r="D92" s="94"/>
      <c r="E92" s="94"/>
      <c r="F92" s="95"/>
      <c r="G92" s="96"/>
      <c r="H92" s="435"/>
      <c r="R92" s="53"/>
      <c r="S92" s="45"/>
    </row>
    <row r="93" spans="1:19" s="29" customFormat="1">
      <c r="A93" s="849">
        <v>2.1</v>
      </c>
      <c r="B93" s="844" t="s">
        <v>207</v>
      </c>
      <c r="C93" s="846"/>
      <c r="D93" s="845"/>
      <c r="E93" s="853">
        <f>VLOOKUP(A93,'Point Allocation'!$A$20:$J$40,MATCH(A7,'Point Allocation'!$A$20:$J$20,0),0)</f>
        <v>28</v>
      </c>
      <c r="F93" s="854"/>
      <c r="G93" s="914">
        <f>IFERROR(F93/$F$115,0)</f>
        <v>0</v>
      </c>
      <c r="H93" s="921">
        <f>E93*G93</f>
        <v>0</v>
      </c>
      <c r="R93" s="53"/>
      <c r="S93" s="45"/>
    </row>
    <row r="94" spans="1:19" s="29" customFormat="1" ht="15.6">
      <c r="A94" s="841"/>
      <c r="B94" s="836" t="s">
        <v>120</v>
      </c>
      <c r="C94" s="837"/>
      <c r="D94" s="838"/>
      <c r="E94" s="853"/>
      <c r="F94" s="854"/>
      <c r="G94" s="914"/>
      <c r="H94" s="921"/>
      <c r="R94" s="53"/>
      <c r="S94" s="45"/>
    </row>
    <row r="95" spans="1:19" s="29" customFormat="1">
      <c r="A95" s="849">
        <v>2.2000000000000002</v>
      </c>
      <c r="B95" s="885" t="s">
        <v>178</v>
      </c>
      <c r="C95" s="886"/>
      <c r="D95" s="884"/>
      <c r="E95" s="853">
        <f>VLOOKUP(A95,'Point Allocation'!$A$20:$J$40,MATCH(A7,'Point Allocation'!$A$20:$J$20,0),0)</f>
        <v>28</v>
      </c>
      <c r="F95" s="854"/>
      <c r="G95" s="914">
        <f>IFERROR(F95/$F$115,0)</f>
        <v>0</v>
      </c>
      <c r="H95" s="921">
        <f>E95*G95</f>
        <v>0</v>
      </c>
      <c r="R95" s="53"/>
      <c r="S95" s="45"/>
    </row>
    <row r="96" spans="1:19" s="29" customFormat="1" ht="15.6">
      <c r="A96" s="882"/>
      <c r="B96" s="836" t="s">
        <v>120</v>
      </c>
      <c r="C96" s="837"/>
      <c r="D96" s="838"/>
      <c r="E96" s="853"/>
      <c r="F96" s="854"/>
      <c r="G96" s="914"/>
      <c r="H96" s="921"/>
      <c r="R96" s="53"/>
      <c r="S96" s="45"/>
    </row>
    <row r="97" spans="1:19" s="29" customFormat="1" ht="15.6">
      <c r="A97" s="431">
        <v>3</v>
      </c>
      <c r="B97" s="86" t="s">
        <v>340</v>
      </c>
      <c r="C97" s="93"/>
      <c r="D97" s="93"/>
      <c r="E97" s="95"/>
      <c r="F97" s="95"/>
      <c r="G97" s="96"/>
      <c r="H97" s="436"/>
      <c r="R97" s="53"/>
      <c r="S97" s="45"/>
    </row>
    <row r="98" spans="1:19" s="29" customFormat="1">
      <c r="A98" s="849">
        <v>3.1</v>
      </c>
      <c r="B98" s="844" t="s">
        <v>208</v>
      </c>
      <c r="C98" s="846"/>
      <c r="D98" s="845"/>
      <c r="E98" s="853">
        <f>VLOOKUP(A98,'Point Allocation'!$A$20:$J$40,MATCH(A7,'Point Allocation'!$A$20:$J$20,0),0)</f>
        <v>27</v>
      </c>
      <c r="F98" s="854"/>
      <c r="G98" s="914">
        <f>IFERROR(F98/$F$115,0)</f>
        <v>0</v>
      </c>
      <c r="H98" s="921">
        <f>E98*G98</f>
        <v>0</v>
      </c>
      <c r="R98" s="53"/>
      <c r="S98" s="45"/>
    </row>
    <row r="99" spans="1:19" s="29" customFormat="1" ht="15.6">
      <c r="A99" s="841"/>
      <c r="B99" s="836" t="s">
        <v>286</v>
      </c>
      <c r="C99" s="837"/>
      <c r="D99" s="838"/>
      <c r="E99" s="853"/>
      <c r="F99" s="854"/>
      <c r="G99" s="914"/>
      <c r="H99" s="921"/>
      <c r="R99" s="53"/>
      <c r="S99" s="45"/>
    </row>
    <row r="100" spans="1:19" s="29" customFormat="1" ht="15.6">
      <c r="A100" s="431">
        <v>4</v>
      </c>
      <c r="B100" s="86" t="s">
        <v>341</v>
      </c>
      <c r="C100" s="93"/>
      <c r="D100" s="93"/>
      <c r="E100" s="95"/>
      <c r="F100" s="95"/>
      <c r="G100" s="96"/>
      <c r="H100" s="436"/>
      <c r="R100" s="53"/>
      <c r="S100" s="45"/>
    </row>
    <row r="101" spans="1:19" s="29" customFormat="1" ht="30" customHeight="1">
      <c r="A101" s="418" t="s">
        <v>205</v>
      </c>
      <c r="B101" s="871" t="s">
        <v>292</v>
      </c>
      <c r="C101" s="872"/>
      <c r="D101" s="873"/>
      <c r="E101" s="97">
        <f>VLOOKUP(A101,'Point Allocation'!$A$20:$J$40,MATCH(A7,'Point Allocation'!$A$20:$J$20,0),0)</f>
        <v>25</v>
      </c>
      <c r="F101" s="537"/>
      <c r="G101" s="538">
        <f>IFERROR(F101/$F$115,0)</f>
        <v>0</v>
      </c>
      <c r="H101" s="437">
        <f>E101*G101</f>
        <v>0</v>
      </c>
      <c r="R101" s="912"/>
      <c r="S101" s="45"/>
    </row>
    <row r="102" spans="1:19" s="29" customFormat="1">
      <c r="A102" s="418" t="s">
        <v>206</v>
      </c>
      <c r="B102" s="871" t="s">
        <v>293</v>
      </c>
      <c r="C102" s="872"/>
      <c r="D102" s="873"/>
      <c r="E102" s="97">
        <f>VLOOKUP(A102,'Point Allocation'!$A$20:$J$40,MATCH(A7,'Point Allocation'!$A$20:$J$20,0),0)</f>
        <v>25</v>
      </c>
      <c r="F102" s="537"/>
      <c r="G102" s="538">
        <f>IFERROR(F102/$F$115,0)</f>
        <v>0</v>
      </c>
      <c r="H102" s="437">
        <f>E102*G102</f>
        <v>0</v>
      </c>
      <c r="R102" s="912"/>
      <c r="S102" s="45"/>
    </row>
    <row r="103" spans="1:19" s="29" customFormat="1">
      <c r="A103" s="417">
        <v>4.2</v>
      </c>
      <c r="B103" s="874" t="s">
        <v>209</v>
      </c>
      <c r="C103" s="931"/>
      <c r="D103" s="875"/>
      <c r="E103" s="97">
        <f>VLOOKUP(A103,'Point Allocation'!$A$20:$J$40,MATCH(A7,'Point Allocation'!$A$20:$J$20,0),0)</f>
        <v>25</v>
      </c>
      <c r="F103" s="537"/>
      <c r="G103" s="538">
        <f>IFERROR(F103/$F$115,0)</f>
        <v>0</v>
      </c>
      <c r="H103" s="437">
        <f>E103*G103</f>
        <v>0</v>
      </c>
      <c r="R103" s="53"/>
      <c r="S103" s="45"/>
    </row>
    <row r="104" spans="1:19" s="29" customFormat="1">
      <c r="A104" s="417">
        <v>4.3</v>
      </c>
      <c r="B104" s="922" t="s">
        <v>159</v>
      </c>
      <c r="C104" s="923"/>
      <c r="D104" s="924"/>
      <c r="E104" s="97">
        <f>VLOOKUP(A104,'Point Allocation'!$A$20:$J$40,MATCH(A7,'Point Allocation'!$A$20:$J$20,0),0)</f>
        <v>25</v>
      </c>
      <c r="F104" s="537"/>
      <c r="G104" s="538">
        <f>IFERROR(F104/$F$115,0)</f>
        <v>0</v>
      </c>
      <c r="H104" s="438">
        <f>E104*G104</f>
        <v>0</v>
      </c>
      <c r="R104" s="53"/>
      <c r="S104" s="45"/>
    </row>
    <row r="105" spans="1:19" s="29" customFormat="1">
      <c r="A105" s="417">
        <v>4.4000000000000004</v>
      </c>
      <c r="B105" s="922" t="s">
        <v>355</v>
      </c>
      <c r="C105" s="923"/>
      <c r="D105" s="924"/>
      <c r="E105" s="97">
        <f>VLOOKUP(A105,'Point Allocation'!$A$20:$J$40,MATCH(A7,'Point Allocation'!$A$20:$J$20,0),0)</f>
        <v>22</v>
      </c>
      <c r="F105" s="537"/>
      <c r="G105" s="538">
        <f>IFERROR(F105/$F$115,0)</f>
        <v>0</v>
      </c>
      <c r="H105" s="438">
        <f>E105*G105</f>
        <v>0</v>
      </c>
      <c r="R105" s="53"/>
      <c r="S105" s="45"/>
    </row>
    <row r="106" spans="1:19" s="29" customFormat="1" ht="15.6">
      <c r="A106" s="439" t="s">
        <v>304</v>
      </c>
      <c r="B106" s="99" t="s">
        <v>236</v>
      </c>
      <c r="C106" s="100"/>
      <c r="D106" s="101"/>
      <c r="E106" s="102"/>
      <c r="F106" s="103"/>
      <c r="G106" s="104"/>
      <c r="H106" s="440"/>
      <c r="R106" s="53"/>
      <c r="S106" s="45"/>
    </row>
    <row r="107" spans="1:19" s="29" customFormat="1" ht="15.6">
      <c r="A107" s="431">
        <v>5</v>
      </c>
      <c r="B107" s="86" t="s">
        <v>237</v>
      </c>
      <c r="C107" s="93"/>
      <c r="D107" s="93"/>
      <c r="E107" s="95"/>
      <c r="F107" s="95"/>
      <c r="G107" s="96"/>
      <c r="H107" s="436"/>
      <c r="R107" s="53"/>
      <c r="S107" s="45"/>
    </row>
    <row r="108" spans="1:19" s="29" customFormat="1">
      <c r="A108" s="417">
        <v>5.0999999999999996</v>
      </c>
      <c r="B108" s="844" t="s">
        <v>210</v>
      </c>
      <c r="C108" s="846"/>
      <c r="D108" s="845"/>
      <c r="E108" s="105">
        <f>VLOOKUP(A108,'Point Allocation'!$A$20:$J$40,MATCH(A7,'Point Allocation'!$A$20:$J$20,0),0)</f>
        <v>16</v>
      </c>
      <c r="F108" s="156"/>
      <c r="G108" s="538">
        <f>IFERROR(F108/$F$115,0)</f>
        <v>0</v>
      </c>
      <c r="H108" s="441">
        <f>E108*G108</f>
        <v>0</v>
      </c>
      <c r="R108" s="53"/>
      <c r="S108" s="45"/>
    </row>
    <row r="109" spans="1:19" s="29" customFormat="1">
      <c r="A109" s="417">
        <v>5.2</v>
      </c>
      <c r="B109" s="844" t="s">
        <v>356</v>
      </c>
      <c r="C109" s="846"/>
      <c r="D109" s="845"/>
      <c r="E109" s="105">
        <f>VLOOKUP(A109,'Point Allocation'!$A$20:$J$40,MATCH(A7,'Point Allocation'!$A$20:$J$20,0),0)</f>
        <v>5</v>
      </c>
      <c r="F109" s="90"/>
      <c r="G109" s="538">
        <f>IFERROR(F109/$F$115,0)</f>
        <v>0</v>
      </c>
      <c r="H109" s="441">
        <f>E109*G109</f>
        <v>0</v>
      </c>
      <c r="R109" s="53"/>
      <c r="S109" s="45"/>
    </row>
    <row r="110" spans="1:19" s="29" customFormat="1">
      <c r="A110" s="417">
        <v>5.3</v>
      </c>
      <c r="B110" s="844" t="s">
        <v>357</v>
      </c>
      <c r="C110" s="846"/>
      <c r="D110" s="845"/>
      <c r="E110" s="105">
        <f>VLOOKUP(A110,'Point Allocation'!$A$20:$J$40,MATCH(A7,'Point Allocation'!$A$20:$J$20,0),0)</f>
        <v>0</v>
      </c>
      <c r="F110" s="155"/>
      <c r="G110" s="538">
        <f>IFERROR(F110/$F$115,0)</f>
        <v>0</v>
      </c>
      <c r="H110" s="442">
        <f>E110*G110</f>
        <v>0</v>
      </c>
      <c r="R110" s="53"/>
      <c r="S110" s="45"/>
    </row>
    <row r="111" spans="1:19" s="29" customFormat="1" ht="15.6">
      <c r="A111" s="443">
        <v>6</v>
      </c>
      <c r="B111" s="106" t="s">
        <v>213</v>
      </c>
      <c r="C111" s="93"/>
      <c r="D111" s="93"/>
      <c r="E111" s="95"/>
      <c r="F111" s="95"/>
      <c r="G111" s="96"/>
      <c r="H111" s="436"/>
      <c r="R111" s="53"/>
      <c r="S111" s="45"/>
    </row>
    <row r="112" spans="1:19" s="29" customFormat="1">
      <c r="A112" s="444">
        <v>6.1</v>
      </c>
      <c r="B112" s="826"/>
      <c r="C112" s="821"/>
      <c r="D112" s="847"/>
      <c r="E112" s="537"/>
      <c r="F112" s="537"/>
      <c r="G112" s="538">
        <f>IFERROR(F112/$F$115,0)</f>
        <v>0</v>
      </c>
      <c r="H112" s="442">
        <f>E112*G112</f>
        <v>0</v>
      </c>
      <c r="R112" s="53"/>
      <c r="S112" s="45"/>
    </row>
    <row r="113" spans="1:19" s="29" customFormat="1">
      <c r="A113" s="444">
        <v>6.2</v>
      </c>
      <c r="B113" s="826"/>
      <c r="C113" s="821"/>
      <c r="D113" s="847"/>
      <c r="E113" s="537"/>
      <c r="F113" s="537"/>
      <c r="G113" s="538">
        <f>IFERROR(F113/$F$115,0)</f>
        <v>0</v>
      </c>
      <c r="H113" s="442">
        <f>E113*G113</f>
        <v>0</v>
      </c>
      <c r="R113" s="53"/>
      <c r="S113" s="45"/>
    </row>
    <row r="114" spans="1:19" s="29" customFormat="1">
      <c r="A114" s="444">
        <v>6.3</v>
      </c>
      <c r="B114" s="848"/>
      <c r="C114" s="848"/>
      <c r="D114" s="848"/>
      <c r="E114" s="537"/>
      <c r="F114" s="537"/>
      <c r="G114" s="538">
        <f>IFERROR(F114/$F$115,0)</f>
        <v>0</v>
      </c>
      <c r="H114" s="442">
        <f>E114*G114</f>
        <v>0</v>
      </c>
      <c r="R114" s="53"/>
      <c r="S114" s="45"/>
    </row>
    <row r="115" spans="1:19" s="29" customFormat="1" ht="15.6">
      <c r="A115" s="425"/>
      <c r="B115" s="325"/>
      <c r="C115" s="323"/>
      <c r="D115" s="323"/>
      <c r="E115" s="330" t="s">
        <v>62</v>
      </c>
      <c r="F115" s="333">
        <f>SUM(F91:F114)+E19</f>
        <v>0</v>
      </c>
      <c r="G115" s="334">
        <f>SUM(G91:G114)+F19</f>
        <v>0</v>
      </c>
      <c r="H115" s="445">
        <f>IFERROR(SUM(H91:H114),0)</f>
        <v>0</v>
      </c>
      <c r="R115" s="53"/>
      <c r="S115" s="45"/>
    </row>
    <row r="116" spans="1:19" s="29" customFormat="1" ht="15.6" thickBot="1">
      <c r="A116" s="491"/>
      <c r="B116" s="492"/>
      <c r="C116" s="493"/>
      <c r="D116" s="493"/>
      <c r="E116" s="493"/>
      <c r="F116" s="493"/>
      <c r="G116" s="480"/>
      <c r="H116" s="639"/>
      <c r="R116" s="53"/>
      <c r="S116" s="45"/>
    </row>
    <row r="117" spans="1:19" s="29" customFormat="1" ht="31.2">
      <c r="A117" s="640" t="s">
        <v>0</v>
      </c>
      <c r="B117" s="641"/>
      <c r="C117" s="641"/>
      <c r="D117" s="642" t="s">
        <v>17</v>
      </c>
      <c r="E117" s="643" t="s">
        <v>81</v>
      </c>
      <c r="F117" s="644" t="s">
        <v>335</v>
      </c>
      <c r="G117" s="644" t="s">
        <v>336</v>
      </c>
      <c r="H117" s="645" t="s">
        <v>53</v>
      </c>
      <c r="R117" s="53"/>
      <c r="S117" s="45"/>
    </row>
    <row r="118" spans="1:19" s="29" customFormat="1" ht="15.6">
      <c r="A118" s="429" t="s">
        <v>238</v>
      </c>
      <c r="B118" s="83" t="s">
        <v>333</v>
      </c>
      <c r="C118" s="84"/>
      <c r="D118" s="85"/>
      <c r="E118" s="85"/>
      <c r="F118" s="85"/>
      <c r="G118" s="85"/>
      <c r="H118" s="430"/>
      <c r="R118" s="53"/>
      <c r="S118" s="45"/>
    </row>
    <row r="119" spans="1:19" s="29" customFormat="1" ht="15.6">
      <c r="A119" s="431">
        <v>7</v>
      </c>
      <c r="B119" s="86" t="s">
        <v>338</v>
      </c>
      <c r="C119" s="87"/>
      <c r="D119" s="88"/>
      <c r="E119" s="88"/>
      <c r="F119" s="88"/>
      <c r="G119" s="88"/>
      <c r="H119" s="432"/>
      <c r="R119" s="53"/>
      <c r="S119" s="45"/>
    </row>
    <row r="120" spans="1:19" s="29" customFormat="1" ht="15" customHeight="1">
      <c r="A120" s="404">
        <v>7.1</v>
      </c>
      <c r="B120" s="885" t="s">
        <v>290</v>
      </c>
      <c r="C120" s="884"/>
      <c r="D120" s="98">
        <f>VLOOKUP(A120,'Point Allocation'!$A$20:$J$41,MATCH(A7,'Point Allocation'!$A$20:$J$20,0),0)</f>
        <v>10</v>
      </c>
      <c r="E120" s="89">
        <f>F91</f>
        <v>0</v>
      </c>
      <c r="F120" s="89">
        <f>F29</f>
        <v>0</v>
      </c>
      <c r="G120" s="91">
        <f>IFERROR(SUM(E120:F120)/SUM($E$138:$F$138),0)</f>
        <v>0</v>
      </c>
      <c r="H120" s="433">
        <f>D120*G120</f>
        <v>0</v>
      </c>
      <c r="R120" s="53"/>
      <c r="S120" s="45"/>
    </row>
    <row r="121" spans="1:19" s="29" customFormat="1" ht="15.6">
      <c r="A121" s="434">
        <v>8</v>
      </c>
      <c r="B121" s="92" t="s">
        <v>339</v>
      </c>
      <c r="C121" s="93"/>
      <c r="D121" s="94"/>
      <c r="E121" s="95"/>
      <c r="F121" s="95"/>
      <c r="G121" s="96"/>
      <c r="H121" s="435"/>
      <c r="R121" s="53"/>
      <c r="S121" s="45"/>
    </row>
    <row r="122" spans="1:19" s="29" customFormat="1">
      <c r="A122" s="849">
        <v>8.1</v>
      </c>
      <c r="B122" s="844" t="s">
        <v>337</v>
      </c>
      <c r="C122" s="845"/>
      <c r="D122" s="925">
        <f>VLOOKUP(A122,'Point Allocation'!$A$20:$J$41,MATCH(A7,'Point Allocation'!$A$20:$J$20,0),0)</f>
        <v>8</v>
      </c>
      <c r="E122" s="927">
        <f>F93</f>
        <v>0</v>
      </c>
      <c r="F122" s="859"/>
      <c r="G122" s="860">
        <f>IFERROR(SUM(E122:F123)/SUM($E$138:$F$138),0)</f>
        <v>0</v>
      </c>
      <c r="H122" s="921">
        <f>D122*G122</f>
        <v>0</v>
      </c>
      <c r="R122" s="53"/>
      <c r="S122" s="45"/>
    </row>
    <row r="123" spans="1:19" s="29" customFormat="1" ht="15.6">
      <c r="A123" s="882"/>
      <c r="B123" s="836" t="s">
        <v>120</v>
      </c>
      <c r="C123" s="838"/>
      <c r="D123" s="926"/>
      <c r="E123" s="927"/>
      <c r="F123" s="859"/>
      <c r="G123" s="861"/>
      <c r="H123" s="921"/>
      <c r="R123" s="53"/>
      <c r="S123" s="45"/>
    </row>
    <row r="124" spans="1:19" s="29" customFormat="1">
      <c r="A124" s="404">
        <v>8.1999999999999993</v>
      </c>
      <c r="B124" s="885" t="s">
        <v>178</v>
      </c>
      <c r="C124" s="884"/>
      <c r="D124" s="98">
        <f>VLOOKUP(A124,'Point Allocation'!$A$20:$J$41,MATCH(A7,'Point Allocation'!$A$20:$J$20,0),0)</f>
        <v>8</v>
      </c>
      <c r="E124" s="189">
        <f>F95</f>
        <v>0</v>
      </c>
      <c r="F124" s="548"/>
      <c r="G124" s="91">
        <f>IFERROR(SUM(E124:F124)/SUM($E$138:$F$138),0)</f>
        <v>0</v>
      </c>
      <c r="H124" s="437">
        <f>D124*G124</f>
        <v>0</v>
      </c>
      <c r="R124" s="53"/>
      <c r="S124" s="45"/>
    </row>
    <row r="125" spans="1:19" s="29" customFormat="1" ht="15.6">
      <c r="A125" s="431">
        <v>9</v>
      </c>
      <c r="B125" s="86" t="s">
        <v>340</v>
      </c>
      <c r="C125" s="93"/>
      <c r="D125" s="95"/>
      <c r="E125" s="95"/>
      <c r="F125" s="95"/>
      <c r="G125" s="96"/>
      <c r="H125" s="436"/>
      <c r="R125" s="53"/>
      <c r="S125" s="45"/>
    </row>
    <row r="126" spans="1:19" s="29" customFormat="1">
      <c r="A126" s="849">
        <v>9.1</v>
      </c>
      <c r="B126" s="844" t="s">
        <v>381</v>
      </c>
      <c r="C126" s="845"/>
      <c r="D126" s="925">
        <f>VLOOKUP(A126,'Point Allocation'!$A$20:$J$41,MATCH(A7,'Point Allocation'!$A$20:$J$20,0),0)</f>
        <v>6</v>
      </c>
      <c r="E126" s="859"/>
      <c r="F126" s="859"/>
      <c r="G126" s="914">
        <f>IFERROR(SUM(E126:F127)/SUM($E$138:$F$138),0)</f>
        <v>0</v>
      </c>
      <c r="H126" s="921">
        <f>D126*G126</f>
        <v>0</v>
      </c>
      <c r="R126" s="53"/>
      <c r="S126" s="45"/>
    </row>
    <row r="127" spans="1:19" s="29" customFormat="1" ht="15.6">
      <c r="A127" s="882"/>
      <c r="B127" s="836" t="s">
        <v>5</v>
      </c>
      <c r="C127" s="838"/>
      <c r="D127" s="926"/>
      <c r="E127" s="859"/>
      <c r="F127" s="859"/>
      <c r="G127" s="914"/>
      <c r="H127" s="921"/>
      <c r="R127" s="53"/>
      <c r="S127" s="45"/>
    </row>
    <row r="128" spans="1:19" s="29" customFormat="1" ht="15.6">
      <c r="A128" s="431">
        <v>10</v>
      </c>
      <c r="B128" s="86" t="s">
        <v>342</v>
      </c>
      <c r="C128" s="93"/>
      <c r="D128" s="95"/>
      <c r="E128" s="95"/>
      <c r="F128" s="95"/>
      <c r="G128" s="96"/>
      <c r="H128" s="436"/>
      <c r="R128" s="53"/>
      <c r="S128" s="45"/>
    </row>
    <row r="129" spans="1:19" s="29" customFormat="1" ht="15" customHeight="1">
      <c r="A129" s="409">
        <v>10.1</v>
      </c>
      <c r="B129" s="844" t="s">
        <v>382</v>
      </c>
      <c r="C129" s="845"/>
      <c r="D129" s="98">
        <f>VLOOKUP(A129,'Point Allocation'!$A$20:$J$41,MATCH(A7,'Point Allocation'!$A$20:$J$20,0),0)</f>
        <v>4</v>
      </c>
      <c r="E129" s="548"/>
      <c r="F129" s="548"/>
      <c r="G129" s="91">
        <f>IFERROR(SUM(E129:F129)/SUM($E$138:$F$138),0)</f>
        <v>0</v>
      </c>
      <c r="H129" s="437">
        <f>D129*G129</f>
        <v>0</v>
      </c>
      <c r="R129" s="53"/>
      <c r="S129" s="45"/>
    </row>
    <row r="130" spans="1:19" s="29" customFormat="1" ht="32.25" customHeight="1">
      <c r="A130" s="406">
        <v>10.199999999999999</v>
      </c>
      <c r="B130" s="928" t="s">
        <v>353</v>
      </c>
      <c r="C130" s="929"/>
      <c r="D130" s="98">
        <f>VLOOKUP(A130,'Point Allocation'!$A$20:$J$41,MATCH(A7,'Point Allocation'!$A$20:$J$20,0),0)</f>
        <v>4</v>
      </c>
      <c r="E130" s="188"/>
      <c r="F130" s="548"/>
      <c r="G130" s="538">
        <f>IFERROR(SUM(E130:F130)/SUM($E$138:$F$138),0)</f>
        <v>0</v>
      </c>
      <c r="H130" s="437">
        <f>D130*G130</f>
        <v>0</v>
      </c>
      <c r="R130" s="53"/>
      <c r="S130" s="45"/>
    </row>
    <row r="131" spans="1:19" s="29" customFormat="1" ht="15.6">
      <c r="A131" s="439" t="s">
        <v>239</v>
      </c>
      <c r="B131" s="99" t="s">
        <v>262</v>
      </c>
      <c r="C131" s="100"/>
      <c r="D131" s="102"/>
      <c r="E131" s="103"/>
      <c r="F131" s="103"/>
      <c r="G131" s="104"/>
      <c r="H131" s="440"/>
      <c r="R131" s="53"/>
      <c r="S131" s="45"/>
    </row>
    <row r="132" spans="1:19" s="29" customFormat="1" ht="15.6">
      <c r="A132" s="431">
        <v>11</v>
      </c>
      <c r="B132" s="86" t="s">
        <v>263</v>
      </c>
      <c r="C132" s="93"/>
      <c r="D132" s="95"/>
      <c r="E132" s="95"/>
      <c r="F132" s="95"/>
      <c r="G132" s="96"/>
      <c r="H132" s="436"/>
      <c r="R132" s="53"/>
      <c r="S132" s="45"/>
    </row>
    <row r="133" spans="1:19" s="29" customFormat="1">
      <c r="A133" s="409">
        <v>11.1</v>
      </c>
      <c r="B133" s="844" t="s">
        <v>593</v>
      </c>
      <c r="C133" s="845"/>
      <c r="D133" s="98">
        <f>VLOOKUP(A133,'Point Allocation'!$A$20:$J$41,MATCH(A7,'Point Allocation'!$A$20:$J$20,0),0)</f>
        <v>2</v>
      </c>
      <c r="E133" s="548"/>
      <c r="F133" s="548"/>
      <c r="G133" s="538">
        <f>IFERROR(SUM(E133:F133)/SUM($E$138:$F$138),0)</f>
        <v>0</v>
      </c>
      <c r="H133" s="437">
        <f t="shared" ref="H133:H137" si="2">D133*G133</f>
        <v>0</v>
      </c>
      <c r="R133" s="53"/>
      <c r="S133" s="45"/>
    </row>
    <row r="134" spans="1:19" s="29" customFormat="1">
      <c r="A134" s="446">
        <v>11.2</v>
      </c>
      <c r="B134" s="874" t="s">
        <v>344</v>
      </c>
      <c r="C134" s="875"/>
      <c r="D134" s="189">
        <f>VLOOKUP(A133,'Point Allocation'!$A$20:$J$41,MATCH(A7,'Point Allocation'!$A$20:$J$20,0),0)</f>
        <v>2</v>
      </c>
      <c r="E134" s="548"/>
      <c r="F134" s="548"/>
      <c r="G134" s="538">
        <f>IFERROR(SUM(E134:F134)/SUM($E$138:$F$138),0)</f>
        <v>0</v>
      </c>
      <c r="H134" s="437">
        <f t="shared" si="2"/>
        <v>0</v>
      </c>
      <c r="R134" s="53"/>
      <c r="S134" s="45"/>
    </row>
    <row r="135" spans="1:19" s="29" customFormat="1">
      <c r="A135" s="409">
        <v>11.3</v>
      </c>
      <c r="B135" s="874" t="s">
        <v>352</v>
      </c>
      <c r="C135" s="875"/>
      <c r="D135" s="98">
        <f>VLOOKUP(A135,'Point Allocation'!$A$20:$J$41,MATCH(A7,'Point Allocation'!$A$20:$J$20,0),0)</f>
        <v>0</v>
      </c>
      <c r="E135" s="548"/>
      <c r="F135" s="548"/>
      <c r="G135" s="538">
        <f>IFERROR(SUM(E135:F135)/SUM($E$138:$F$138),0)</f>
        <v>0</v>
      </c>
      <c r="H135" s="437">
        <f t="shared" si="2"/>
        <v>0</v>
      </c>
      <c r="R135" s="53"/>
      <c r="S135" s="45"/>
    </row>
    <row r="136" spans="1:19" s="29" customFormat="1">
      <c r="A136" s="447">
        <v>11.4</v>
      </c>
      <c r="B136" s="866"/>
      <c r="C136" s="867"/>
      <c r="D136" s="537"/>
      <c r="E136" s="548"/>
      <c r="F136" s="548"/>
      <c r="G136" s="538">
        <f>IFERROR(SUM(E136:F136)/SUM($E$138:$F$138),0)</f>
        <v>0</v>
      </c>
      <c r="H136" s="437">
        <f t="shared" si="2"/>
        <v>0</v>
      </c>
      <c r="R136" s="53"/>
      <c r="S136" s="45"/>
    </row>
    <row r="137" spans="1:19" s="29" customFormat="1">
      <c r="A137" s="447">
        <v>11.5</v>
      </c>
      <c r="B137" s="866"/>
      <c r="C137" s="867"/>
      <c r="D137" s="537"/>
      <c r="E137" s="548"/>
      <c r="F137" s="548"/>
      <c r="G137" s="538">
        <f>IFERROR(SUM(E137:F137)/SUM($E$138:$F$138),0)</f>
        <v>0</v>
      </c>
      <c r="H137" s="437">
        <f t="shared" si="2"/>
        <v>0</v>
      </c>
      <c r="R137" s="53"/>
      <c r="S137" s="45"/>
    </row>
    <row r="138" spans="1:19" s="29" customFormat="1" ht="15.6">
      <c r="A138" s="412"/>
      <c r="B138" s="325"/>
      <c r="C138" s="323"/>
      <c r="D138" s="330" t="s">
        <v>140</v>
      </c>
      <c r="E138" s="333">
        <f>SUM(E120:E137)</f>
        <v>0</v>
      </c>
      <c r="F138" s="335">
        <f>SUM(F120:F137)</f>
        <v>0</v>
      </c>
      <c r="G138" s="336">
        <f>SUM(G120:G137)</f>
        <v>0</v>
      </c>
      <c r="H138" s="448">
        <f>IFERROR(SUM(H120:H137),0)</f>
        <v>0</v>
      </c>
      <c r="R138" s="53"/>
      <c r="S138" s="45"/>
    </row>
    <row r="139" spans="1:19" s="29" customFormat="1">
      <c r="A139" s="414"/>
      <c r="B139" s="325"/>
      <c r="C139" s="323"/>
      <c r="D139" s="323"/>
      <c r="E139" s="323"/>
      <c r="F139" s="323"/>
      <c r="G139" s="332"/>
      <c r="H139" s="388"/>
      <c r="R139" s="53"/>
      <c r="S139" s="45"/>
    </row>
    <row r="140" spans="1:19" s="29" customFormat="1" ht="46.8">
      <c r="A140" s="868" t="s">
        <v>0</v>
      </c>
      <c r="B140" s="869"/>
      <c r="C140" s="176"/>
      <c r="D140" s="545" t="s">
        <v>58</v>
      </c>
      <c r="E140" s="545" t="s">
        <v>59</v>
      </c>
      <c r="F140" s="870" t="s">
        <v>60</v>
      </c>
      <c r="G140" s="870"/>
      <c r="H140" s="449" t="s">
        <v>63</v>
      </c>
      <c r="K140" s="107" t="s">
        <v>72</v>
      </c>
      <c r="L140" s="107">
        <v>1</v>
      </c>
      <c r="M140" s="107">
        <v>2</v>
      </c>
      <c r="N140" s="107">
        <v>3</v>
      </c>
      <c r="O140" s="107">
        <v>4</v>
      </c>
      <c r="P140" s="107">
        <v>5</v>
      </c>
      <c r="Q140" s="107">
        <v>6</v>
      </c>
      <c r="R140" s="53"/>
      <c r="S140" s="45"/>
    </row>
    <row r="141" spans="1:19" s="29" customFormat="1" ht="15.6">
      <c r="A141" s="450" t="s">
        <v>240</v>
      </c>
      <c r="B141" s="130" t="s">
        <v>148</v>
      </c>
      <c r="C141" s="175"/>
      <c r="D141" s="57"/>
      <c r="E141" s="57"/>
      <c r="F141" s="58"/>
      <c r="G141" s="108"/>
      <c r="H141" s="451"/>
      <c r="K141" s="107" t="s">
        <v>74</v>
      </c>
      <c r="L141" s="107" t="s">
        <v>73</v>
      </c>
      <c r="M141" s="107">
        <v>1</v>
      </c>
      <c r="N141" s="107">
        <v>2</v>
      </c>
      <c r="O141" s="107">
        <v>3</v>
      </c>
      <c r="P141" s="107">
        <v>4</v>
      </c>
      <c r="Q141" s="107">
        <v>4</v>
      </c>
      <c r="R141" s="53"/>
      <c r="S141" s="45"/>
    </row>
    <row r="142" spans="1:19" s="29" customFormat="1">
      <c r="A142" s="391" t="s">
        <v>241</v>
      </c>
      <c r="B142" s="520" t="s">
        <v>442</v>
      </c>
      <c r="C142" s="177" t="s">
        <v>56</v>
      </c>
      <c r="D142" s="854"/>
      <c r="E142" s="854"/>
      <c r="F142" s="892" t="str">
        <f>IF(D142&gt;9,D142/E142," ")</f>
        <v xml:space="preserve"> </v>
      </c>
      <c r="G142" s="892"/>
      <c r="H142" s="437">
        <f>IF(D142="",0,IF(D142&lt;9,2,IF((D142/E142)=0,2,IF((D142/E142)&lt;10%,1.5,IF((D142/E142)&lt;15%,1,IF((D142/E142)&lt;20%,0.5,0))))))</f>
        <v>0</v>
      </c>
      <c r="K142" s="107" t="s">
        <v>75</v>
      </c>
      <c r="L142" s="107" t="s">
        <v>73</v>
      </c>
      <c r="M142" s="107">
        <v>5</v>
      </c>
      <c r="N142" s="107">
        <v>15</v>
      </c>
      <c r="O142" s="107">
        <v>25</v>
      </c>
      <c r="P142" s="107">
        <v>35</v>
      </c>
      <c r="Q142" s="107">
        <v>35</v>
      </c>
      <c r="R142" s="53"/>
      <c r="S142" s="45"/>
    </row>
    <row r="143" spans="1:19" s="29" customFormat="1">
      <c r="A143" s="391" t="s">
        <v>242</v>
      </c>
      <c r="B143" s="520" t="s">
        <v>443</v>
      </c>
      <c r="C143" s="177" t="s">
        <v>57</v>
      </c>
      <c r="D143" s="854"/>
      <c r="E143" s="854"/>
      <c r="F143" s="893"/>
      <c r="G143" s="893"/>
      <c r="H143" s="437">
        <f>IF(E142="",0,IF(E142&lt;15,HLOOKUP(F143,K140:Q147,4,FALSE),IF(E142&lt;45,HLOOKUP(F143,K140:Q147,5,FALSE),IF(E142&lt;90,HLOOKUP(F143,K140:Q147,6,FALSE),IF(E142&lt;135,HLOOKUP(F143,K140:Q147,7,FALSE),IF(E142&gt;=135,HLOOKUP(F143,K140:Q147,8,FALSE),3))))))</f>
        <v>0</v>
      </c>
      <c r="J143" s="55"/>
      <c r="K143" s="107" t="s">
        <v>76</v>
      </c>
      <c r="L143" s="107">
        <v>3</v>
      </c>
      <c r="M143" s="107">
        <v>3</v>
      </c>
      <c r="N143" s="107">
        <v>3</v>
      </c>
      <c r="O143" s="107">
        <v>2.5</v>
      </c>
      <c r="P143" s="107">
        <v>1.5</v>
      </c>
      <c r="Q143" s="107">
        <v>0</v>
      </c>
      <c r="R143" s="53"/>
      <c r="S143" s="45"/>
    </row>
    <row r="144" spans="1:19" s="29" customFormat="1">
      <c r="A144" s="412"/>
      <c r="B144" s="325"/>
      <c r="C144" s="332"/>
      <c r="D144" s="337"/>
      <c r="E144" s="337"/>
      <c r="F144" s="337"/>
      <c r="G144" s="337"/>
      <c r="H144" s="452"/>
      <c r="J144" s="55"/>
      <c r="K144" s="107" t="s">
        <v>77</v>
      </c>
      <c r="L144" s="107">
        <v>3</v>
      </c>
      <c r="M144" s="107">
        <v>3</v>
      </c>
      <c r="N144" s="107">
        <v>2.5</v>
      </c>
      <c r="O144" s="107">
        <v>1.5</v>
      </c>
      <c r="P144" s="107">
        <v>1</v>
      </c>
      <c r="Q144" s="107">
        <v>0</v>
      </c>
      <c r="R144" s="53"/>
      <c r="S144" s="45"/>
    </row>
    <row r="145" spans="1:19" s="29" customFormat="1" ht="15.6">
      <c r="A145" s="412"/>
      <c r="B145" s="338"/>
      <c r="C145" s="332"/>
      <c r="D145" s="332"/>
      <c r="E145" s="332"/>
      <c r="F145" s="323"/>
      <c r="G145" s="339"/>
      <c r="H145" s="453"/>
      <c r="J145" s="55"/>
      <c r="K145" s="107" t="s">
        <v>78</v>
      </c>
      <c r="L145" s="107">
        <v>3</v>
      </c>
      <c r="M145" s="107">
        <v>2.5</v>
      </c>
      <c r="N145" s="107">
        <v>1.5</v>
      </c>
      <c r="O145" s="107">
        <v>1</v>
      </c>
      <c r="P145" s="107">
        <v>0</v>
      </c>
      <c r="Q145" s="107">
        <v>0</v>
      </c>
      <c r="R145" s="53"/>
      <c r="S145" s="45"/>
    </row>
    <row r="146" spans="1:19" s="29" customFormat="1" ht="15.75" customHeight="1">
      <c r="A146" s="876" t="s">
        <v>0</v>
      </c>
      <c r="B146" s="877"/>
      <c r="C146" s="991"/>
      <c r="D146" s="880" t="s">
        <v>4</v>
      </c>
      <c r="E146" s="895" t="s">
        <v>1</v>
      </c>
      <c r="F146" s="881"/>
      <c r="G146" s="896" t="s">
        <v>21</v>
      </c>
      <c r="H146" s="890" t="s">
        <v>63</v>
      </c>
      <c r="J146" s="55"/>
      <c r="K146" s="107" t="s">
        <v>79</v>
      </c>
      <c r="L146" s="107">
        <v>3</v>
      </c>
      <c r="M146" s="107">
        <v>1.5</v>
      </c>
      <c r="N146" s="107">
        <v>1</v>
      </c>
      <c r="O146" s="107">
        <v>0</v>
      </c>
      <c r="P146" s="107">
        <v>0</v>
      </c>
      <c r="Q146" s="107">
        <v>0</v>
      </c>
      <c r="R146" s="53"/>
      <c r="S146" s="45"/>
    </row>
    <row r="147" spans="1:19" s="29" customFormat="1" ht="30" customHeight="1">
      <c r="A147" s="878"/>
      <c r="B147" s="879"/>
      <c r="C147" s="992"/>
      <c r="D147" s="881"/>
      <c r="E147" s="545" t="s">
        <v>65</v>
      </c>
      <c r="F147" s="545" t="s">
        <v>66</v>
      </c>
      <c r="G147" s="897"/>
      <c r="H147" s="891"/>
      <c r="J147" s="55"/>
      <c r="K147" s="107" t="s">
        <v>80</v>
      </c>
      <c r="L147" s="107">
        <v>3</v>
      </c>
      <c r="M147" s="107">
        <v>1</v>
      </c>
      <c r="N147" s="107">
        <v>0</v>
      </c>
      <c r="O147" s="107">
        <v>0</v>
      </c>
      <c r="P147" s="107">
        <v>0</v>
      </c>
      <c r="Q147" s="107">
        <v>0</v>
      </c>
      <c r="R147" s="53"/>
      <c r="S147" s="45"/>
    </row>
    <row r="148" spans="1:19" s="29" customFormat="1" ht="15.6">
      <c r="A148" s="454" t="s">
        <v>243</v>
      </c>
      <c r="B148" s="109" t="s">
        <v>264</v>
      </c>
      <c r="C148" s="110"/>
      <c r="D148" s="110"/>
      <c r="E148" s="110"/>
      <c r="F148" s="114"/>
      <c r="G148" s="115"/>
      <c r="H148" s="455"/>
      <c r="K148" s="107" t="s">
        <v>74</v>
      </c>
      <c r="L148" s="107" t="s">
        <v>73</v>
      </c>
      <c r="M148" s="107">
        <v>1</v>
      </c>
      <c r="N148" s="107">
        <v>2</v>
      </c>
      <c r="O148" s="107">
        <v>3</v>
      </c>
      <c r="P148" s="107">
        <v>4</v>
      </c>
      <c r="Q148" s="107">
        <v>4</v>
      </c>
      <c r="R148" s="53"/>
      <c r="S148" s="45"/>
    </row>
    <row r="149" spans="1:19" s="29" customFormat="1" ht="15.6">
      <c r="A149" s="456" t="s">
        <v>244</v>
      </c>
      <c r="B149" s="158" t="s">
        <v>231</v>
      </c>
      <c r="C149" s="159"/>
      <c r="D149" s="160"/>
      <c r="E149" s="161"/>
      <c r="F149" s="161"/>
      <c r="G149" s="162"/>
      <c r="H149" s="457"/>
      <c r="J149" s="55"/>
      <c r="R149" s="53"/>
      <c r="S149" s="45"/>
    </row>
    <row r="150" spans="1:19" s="29" customFormat="1">
      <c r="A150" s="418" t="s">
        <v>245</v>
      </c>
      <c r="B150" s="885" t="s">
        <v>424</v>
      </c>
      <c r="C150" s="884"/>
      <c r="D150" s="163" t="s">
        <v>51</v>
      </c>
      <c r="E150" s="541">
        <v>2</v>
      </c>
      <c r="F150" s="541">
        <v>3</v>
      </c>
      <c r="G150" s="27"/>
      <c r="H150" s="405">
        <f t="shared" ref="H150:H159" si="3">IF(G150&gt;=80%,F150,IF(G150&lt;65%,0,E150))</f>
        <v>0</v>
      </c>
      <c r="R150" s="53"/>
      <c r="S150" s="45"/>
    </row>
    <row r="151" spans="1:19" s="29" customFormat="1">
      <c r="A151" s="418" t="s">
        <v>246</v>
      </c>
      <c r="B151" s="844" t="s">
        <v>423</v>
      </c>
      <c r="C151" s="845"/>
      <c r="D151" s="164" t="s">
        <v>51</v>
      </c>
      <c r="E151" s="20">
        <v>2</v>
      </c>
      <c r="F151" s="20">
        <v>3</v>
      </c>
      <c r="G151" s="547"/>
      <c r="H151" s="405">
        <f>IF(G151&gt;=80%,F151,IF(G151&lt;65%,0,E151))</f>
        <v>0</v>
      </c>
      <c r="R151" s="53"/>
      <c r="S151" s="45"/>
    </row>
    <row r="152" spans="1:19" s="29" customFormat="1" ht="30">
      <c r="A152" s="839" t="s">
        <v>247</v>
      </c>
      <c r="B152" s="915" t="s">
        <v>448</v>
      </c>
      <c r="C152" s="916"/>
      <c r="D152" s="521" t="s">
        <v>446</v>
      </c>
      <c r="E152" s="907">
        <v>2.5</v>
      </c>
      <c r="F152" s="908"/>
      <c r="G152" s="940"/>
      <c r="H152" s="938">
        <f>IF(G152&gt;=35,E153,IF(G152&gt;=30,E152,0))</f>
        <v>0</v>
      </c>
      <c r="R152" s="53"/>
      <c r="S152" s="45"/>
    </row>
    <row r="153" spans="1:19" s="29" customFormat="1" ht="30">
      <c r="A153" s="841"/>
      <c r="B153" s="917"/>
      <c r="C153" s="918"/>
      <c r="D153" s="521" t="s">
        <v>447</v>
      </c>
      <c r="E153" s="907">
        <v>3</v>
      </c>
      <c r="F153" s="908"/>
      <c r="G153" s="941"/>
      <c r="H153" s="939"/>
      <c r="R153" s="53"/>
      <c r="S153" s="45"/>
    </row>
    <row r="154" spans="1:19" s="29" customFormat="1" ht="31.5" customHeight="1">
      <c r="A154" s="839" t="s">
        <v>248</v>
      </c>
      <c r="B154" s="915" t="s">
        <v>449</v>
      </c>
      <c r="C154" s="933"/>
      <c r="D154" s="165" t="s">
        <v>372</v>
      </c>
      <c r="E154" s="864">
        <v>4</v>
      </c>
      <c r="F154" s="865"/>
      <c r="G154" s="942"/>
      <c r="H154" s="945">
        <f>IF(G154&gt;=80,E154,IF(G154&gt;=70,E155,IF(G154&gt;=60,E156,IF(G154&gt;=50,E157,0))))</f>
        <v>0</v>
      </c>
      <c r="I154" s="913"/>
      <c r="R154" s="53"/>
      <c r="S154" s="45"/>
    </row>
    <row r="155" spans="1:19" s="29" customFormat="1" ht="31.5" customHeight="1">
      <c r="A155" s="840"/>
      <c r="B155" s="934"/>
      <c r="C155" s="935"/>
      <c r="D155" s="165" t="s">
        <v>373</v>
      </c>
      <c r="E155" s="864">
        <v>3</v>
      </c>
      <c r="F155" s="865"/>
      <c r="G155" s="943"/>
      <c r="H155" s="946"/>
      <c r="I155" s="913"/>
      <c r="R155" s="53"/>
      <c r="S155" s="45"/>
    </row>
    <row r="156" spans="1:19" s="29" customFormat="1" ht="31.5" customHeight="1">
      <c r="A156" s="840"/>
      <c r="B156" s="934"/>
      <c r="C156" s="935"/>
      <c r="D156" s="165" t="s">
        <v>411</v>
      </c>
      <c r="E156" s="864">
        <v>2</v>
      </c>
      <c r="F156" s="865"/>
      <c r="G156" s="943"/>
      <c r="H156" s="946"/>
      <c r="I156" s="913"/>
      <c r="R156" s="53"/>
      <c r="S156" s="45"/>
    </row>
    <row r="157" spans="1:19" s="29" customFormat="1" ht="31.5" customHeight="1">
      <c r="A157" s="841"/>
      <c r="B157" s="936"/>
      <c r="C157" s="937"/>
      <c r="D157" s="165" t="s">
        <v>412</v>
      </c>
      <c r="E157" s="864">
        <v>1</v>
      </c>
      <c r="F157" s="865"/>
      <c r="G157" s="944"/>
      <c r="H157" s="947"/>
      <c r="I157" s="913"/>
      <c r="R157" s="53"/>
      <c r="S157" s="45"/>
    </row>
    <row r="158" spans="1:19" s="29" customFormat="1" ht="31.5" customHeight="1">
      <c r="A158" s="839" t="s">
        <v>414</v>
      </c>
      <c r="B158" s="915" t="s">
        <v>444</v>
      </c>
      <c r="C158" s="933"/>
      <c r="D158" s="165" t="s">
        <v>67</v>
      </c>
      <c r="E158" s="376">
        <v>3.5</v>
      </c>
      <c r="F158" s="376">
        <v>4</v>
      </c>
      <c r="G158" s="27"/>
      <c r="H158" s="405">
        <f t="shared" si="3"/>
        <v>0</v>
      </c>
      <c r="I158" s="913"/>
      <c r="R158" s="53"/>
      <c r="S158" s="45"/>
    </row>
    <row r="159" spans="1:19" s="29" customFormat="1" ht="30">
      <c r="A159" s="841"/>
      <c r="B159" s="936"/>
      <c r="C159" s="937"/>
      <c r="D159" s="165" t="s">
        <v>68</v>
      </c>
      <c r="E159" s="376">
        <v>2.5</v>
      </c>
      <c r="F159" s="376">
        <v>3</v>
      </c>
      <c r="G159" s="27"/>
      <c r="H159" s="405">
        <f t="shared" si="3"/>
        <v>0</v>
      </c>
      <c r="R159" s="53"/>
      <c r="S159" s="45"/>
    </row>
    <row r="160" spans="1:19" s="29" customFormat="1">
      <c r="A160" s="522" t="s">
        <v>594</v>
      </c>
      <c r="B160" s="999" t="s">
        <v>421</v>
      </c>
      <c r="C160" s="1000"/>
      <c r="D160" s="523" t="s">
        <v>51</v>
      </c>
      <c r="E160" s="551">
        <v>2</v>
      </c>
      <c r="F160" s="551">
        <v>2.5</v>
      </c>
      <c r="G160" s="27"/>
      <c r="H160" s="298">
        <f>IF(G160&gt;=80%,F160,IF(G160&lt;65%,0,E160))</f>
        <v>0</v>
      </c>
      <c r="R160" s="53"/>
      <c r="S160" s="45"/>
    </row>
    <row r="161" spans="1:19" s="29" customFormat="1" ht="15.6">
      <c r="A161" s="431" t="s">
        <v>249</v>
      </c>
      <c r="B161" s="86" t="s">
        <v>299</v>
      </c>
      <c r="C161" s="93"/>
      <c r="D161" s="160"/>
      <c r="E161" s="161"/>
      <c r="F161" s="161"/>
      <c r="G161" s="162"/>
      <c r="H161" s="457"/>
      <c r="I161" s="172"/>
      <c r="R161" s="53"/>
      <c r="S161" s="45"/>
    </row>
    <row r="162" spans="1:19" s="29" customFormat="1" ht="32.25" customHeight="1">
      <c r="A162" s="418" t="s">
        <v>250</v>
      </c>
      <c r="B162" s="936" t="s">
        <v>597</v>
      </c>
      <c r="C162" s="937"/>
      <c r="D162" s="543" t="s">
        <v>51</v>
      </c>
      <c r="E162" s="541">
        <v>2</v>
      </c>
      <c r="F162" s="541">
        <v>2.5</v>
      </c>
      <c r="G162" s="27"/>
      <c r="H162" s="405">
        <f>IF(G162&gt;=80%,F162,IF(G162&lt;65%,0,E162))</f>
        <v>0</v>
      </c>
      <c r="R162" s="53"/>
      <c r="S162" s="45"/>
    </row>
    <row r="163" spans="1:19" s="29" customFormat="1" ht="29.25" customHeight="1">
      <c r="A163" s="418" t="s">
        <v>251</v>
      </c>
      <c r="B163" s="999" t="s">
        <v>445</v>
      </c>
      <c r="C163" s="1000"/>
      <c r="D163" s="543" t="s">
        <v>51</v>
      </c>
      <c r="E163" s="541">
        <v>2</v>
      </c>
      <c r="F163" s="541">
        <v>2.5</v>
      </c>
      <c r="G163" s="27"/>
      <c r="H163" s="405">
        <f>IF(G163&gt;=80%,F163,IF(G163&lt;65%,0,E163))</f>
        <v>0</v>
      </c>
      <c r="R163" s="53"/>
      <c r="S163" s="45"/>
    </row>
    <row r="164" spans="1:19" s="29" customFormat="1" ht="15.6">
      <c r="A164" s="431">
        <v>15</v>
      </c>
      <c r="B164" s="86" t="s">
        <v>278</v>
      </c>
      <c r="C164" s="93"/>
      <c r="D164" s="160"/>
      <c r="E164" s="161"/>
      <c r="F164" s="161"/>
      <c r="G164" s="162"/>
      <c r="H164" s="457"/>
      <c r="I164" s="172"/>
      <c r="R164" s="53"/>
      <c r="S164" s="45"/>
    </row>
    <row r="165" spans="1:19" s="29" customFormat="1">
      <c r="A165" s="839" t="s">
        <v>252</v>
      </c>
      <c r="B165" s="936" t="s">
        <v>297</v>
      </c>
      <c r="C165" s="937"/>
      <c r="D165" s="919" t="s">
        <v>51</v>
      </c>
      <c r="E165" s="910">
        <v>2.5</v>
      </c>
      <c r="F165" s="910">
        <v>4</v>
      </c>
      <c r="G165" s="899"/>
      <c r="H165" s="945">
        <f>IF(G165&gt;=80%,F165,IF(G165&lt;65%,0,E165))</f>
        <v>0</v>
      </c>
      <c r="I165" s="172"/>
      <c r="R165" s="53"/>
      <c r="S165" s="45"/>
    </row>
    <row r="166" spans="1:19" s="29" customFormat="1" ht="15.6">
      <c r="A166" s="841"/>
      <c r="B166" s="998" t="s">
        <v>298</v>
      </c>
      <c r="C166" s="998"/>
      <c r="D166" s="920"/>
      <c r="E166" s="911"/>
      <c r="F166" s="911"/>
      <c r="G166" s="900"/>
      <c r="H166" s="947"/>
      <c r="I166" s="172"/>
      <c r="R166" s="53"/>
      <c r="S166" s="45"/>
    </row>
    <row r="167" spans="1:19" s="29" customFormat="1">
      <c r="A167" s="839" t="s">
        <v>253</v>
      </c>
      <c r="B167" s="885" t="s">
        <v>146</v>
      </c>
      <c r="C167" s="884"/>
      <c r="D167" s="769" t="s">
        <v>51</v>
      </c>
      <c r="E167" s="906">
        <v>2.5</v>
      </c>
      <c r="F167" s="906">
        <v>4</v>
      </c>
      <c r="G167" s="905"/>
      <c r="H167" s="909">
        <f>IF(G167&gt;=80%,F167,IF(G167&lt;65%,0,E167))</f>
        <v>0</v>
      </c>
      <c r="I167" s="172"/>
      <c r="R167" s="53"/>
      <c r="S167" s="45"/>
    </row>
    <row r="168" spans="1:19" s="29" customFormat="1" ht="15.6">
      <c r="A168" s="841"/>
      <c r="B168" s="998" t="s">
        <v>120</v>
      </c>
      <c r="C168" s="998"/>
      <c r="D168" s="769"/>
      <c r="E168" s="906"/>
      <c r="F168" s="906"/>
      <c r="G168" s="905"/>
      <c r="H168" s="909"/>
      <c r="I168" s="172"/>
      <c r="R168" s="53"/>
      <c r="S168" s="45"/>
    </row>
    <row r="169" spans="1:19" s="29" customFormat="1" ht="15.6">
      <c r="A169" s="443">
        <v>16</v>
      </c>
      <c r="B169" s="106" t="s">
        <v>213</v>
      </c>
      <c r="C169" s="93"/>
      <c r="D169" s="93"/>
      <c r="E169" s="95"/>
      <c r="F169" s="95"/>
      <c r="G169" s="96"/>
      <c r="H169" s="436"/>
      <c r="R169" s="60"/>
      <c r="S169" s="45"/>
    </row>
    <row r="170" spans="1:19" s="29" customFormat="1">
      <c r="A170" s="418" t="s">
        <v>255</v>
      </c>
      <c r="B170" s="826"/>
      <c r="C170" s="821"/>
      <c r="D170" s="111"/>
      <c r="E170" s="537"/>
      <c r="F170" s="537"/>
      <c r="G170" s="67"/>
      <c r="H170" s="542">
        <f>IF(G170&gt;=80%,F170,IF(G170&lt;65%,0,E170))</f>
        <v>0</v>
      </c>
      <c r="R170" s="53"/>
      <c r="S170" s="45"/>
    </row>
    <row r="171" spans="1:19" s="29" customFormat="1">
      <c r="A171" s="418" t="s">
        <v>256</v>
      </c>
      <c r="B171" s="826"/>
      <c r="C171" s="821"/>
      <c r="D171" s="111"/>
      <c r="E171" s="537"/>
      <c r="F171" s="537"/>
      <c r="G171" s="67"/>
      <c r="H171" s="542">
        <f>IF(G171&gt;=80%,F171,IF(G171&lt;65%,0,E171))</f>
        <v>0</v>
      </c>
      <c r="R171" s="53"/>
      <c r="S171" s="45"/>
    </row>
    <row r="172" spans="1:19" s="29" customFormat="1">
      <c r="A172" s="418" t="s">
        <v>257</v>
      </c>
      <c r="B172" s="826"/>
      <c r="C172" s="821"/>
      <c r="D172" s="111"/>
      <c r="E172" s="537"/>
      <c r="F172" s="537"/>
      <c r="G172" s="67"/>
      <c r="H172" s="542">
        <f>IF(G172&gt;=80%,F172,IF(G172&lt;65%,0,E172))</f>
        <v>0</v>
      </c>
      <c r="R172" s="53"/>
      <c r="S172" s="45"/>
    </row>
    <row r="173" spans="1:19" s="29" customFormat="1" ht="15.6">
      <c r="A173" s="425"/>
      <c r="B173" s="325"/>
      <c r="C173" s="323"/>
      <c r="D173" s="323"/>
      <c r="E173" s="323"/>
      <c r="F173" s="327"/>
      <c r="G173" s="328" t="s">
        <v>419</v>
      </c>
      <c r="H173" s="458">
        <f>IFERROR((SUM(H142:H172)),0)</f>
        <v>0</v>
      </c>
      <c r="R173" s="53"/>
      <c r="S173" s="45"/>
    </row>
    <row r="174" spans="1:19" s="29" customFormat="1" ht="15.6" thickBot="1">
      <c r="A174" s="491"/>
      <c r="B174" s="492"/>
      <c r="C174" s="493"/>
      <c r="D174" s="493"/>
      <c r="E174" s="493"/>
      <c r="F174" s="493"/>
      <c r="G174" s="480"/>
      <c r="H174" s="639"/>
      <c r="R174" s="53"/>
      <c r="S174" s="45"/>
    </row>
    <row r="175" spans="1:19" s="29" customFormat="1" ht="30.75" customHeight="1">
      <c r="A175" s="995" t="s">
        <v>0</v>
      </c>
      <c r="B175" s="996"/>
      <c r="C175" s="997"/>
      <c r="D175" s="1011" t="s">
        <v>4</v>
      </c>
      <c r="E175" s="902" t="s">
        <v>1</v>
      </c>
      <c r="F175" s="903"/>
      <c r="G175" s="898" t="s">
        <v>21</v>
      </c>
      <c r="H175" s="888" t="s">
        <v>63</v>
      </c>
      <c r="R175" s="53"/>
      <c r="S175" s="45"/>
    </row>
    <row r="176" spans="1:19" s="29" customFormat="1" ht="15.6">
      <c r="A176" s="878"/>
      <c r="B176" s="879"/>
      <c r="C176" s="992"/>
      <c r="D176" s="1012"/>
      <c r="E176" s="545" t="s">
        <v>121</v>
      </c>
      <c r="F176" s="545" t="s">
        <v>122</v>
      </c>
      <c r="G176" s="870"/>
      <c r="H176" s="889"/>
      <c r="R176" s="53"/>
      <c r="S176" s="45"/>
    </row>
    <row r="177" spans="1:19" s="29" customFormat="1" ht="15.6">
      <c r="A177" s="450" t="s">
        <v>254</v>
      </c>
      <c r="B177" s="109" t="s">
        <v>258</v>
      </c>
      <c r="C177" s="110"/>
      <c r="D177" s="110"/>
      <c r="E177" s="110"/>
      <c r="F177" s="114"/>
      <c r="G177" s="115"/>
      <c r="H177" s="455"/>
      <c r="R177" s="53"/>
      <c r="S177" s="45"/>
    </row>
    <row r="178" spans="1:19" s="29" customFormat="1">
      <c r="A178" s="391" t="s">
        <v>300</v>
      </c>
      <c r="B178" s="885" t="s">
        <v>259</v>
      </c>
      <c r="C178" s="886"/>
      <c r="D178" s="5" t="s">
        <v>51</v>
      </c>
      <c r="E178" s="20">
        <v>-1</v>
      </c>
      <c r="F178" s="20">
        <v>-2</v>
      </c>
      <c r="G178" s="28"/>
      <c r="H178" s="405">
        <f>IF(G178&gt;=30%,F178,IF(G178=0%,0,E178))</f>
        <v>0</v>
      </c>
      <c r="R178" s="53"/>
      <c r="S178" s="45"/>
    </row>
    <row r="179" spans="1:19" s="29" customFormat="1">
      <c r="A179" s="391" t="s">
        <v>301</v>
      </c>
      <c r="B179" s="885" t="s">
        <v>260</v>
      </c>
      <c r="C179" s="886"/>
      <c r="D179" s="5" t="s">
        <v>51</v>
      </c>
      <c r="E179" s="20">
        <v>-1</v>
      </c>
      <c r="F179" s="20">
        <v>-1.5</v>
      </c>
      <c r="G179" s="28"/>
      <c r="H179" s="405">
        <f>IF(G179&gt;=30%,F179,IF(G179=0%,0,E179))</f>
        <v>0</v>
      </c>
      <c r="R179" s="53"/>
      <c r="S179" s="45"/>
    </row>
    <row r="180" spans="1:19" s="29" customFormat="1">
      <c r="A180" s="391" t="s">
        <v>302</v>
      </c>
      <c r="B180" s="885" t="s">
        <v>261</v>
      </c>
      <c r="C180" s="886"/>
      <c r="D180" s="5" t="s">
        <v>51</v>
      </c>
      <c r="E180" s="904">
        <v>-1</v>
      </c>
      <c r="F180" s="904"/>
      <c r="G180" s="547"/>
      <c r="H180" s="405">
        <f>IF(G180&gt;0%,E180,0)</f>
        <v>0</v>
      </c>
      <c r="R180" s="53"/>
      <c r="S180" s="45"/>
    </row>
    <row r="181" spans="1:19" s="29" customFormat="1" ht="15.6">
      <c r="A181" s="425"/>
      <c r="B181" s="325"/>
      <c r="C181" s="323"/>
      <c r="D181" s="323"/>
      <c r="E181" s="323"/>
      <c r="F181" s="327"/>
      <c r="G181" s="328" t="s">
        <v>142</v>
      </c>
      <c r="H181" s="458">
        <f>IFERROR(MAX(SUM(H178:H180),-4),0)</f>
        <v>0</v>
      </c>
      <c r="R181" s="45"/>
      <c r="S181" s="45"/>
    </row>
    <row r="182" spans="1:19" s="29" customFormat="1">
      <c r="A182" s="412"/>
      <c r="B182" s="325"/>
      <c r="C182" s="323"/>
      <c r="D182" s="323"/>
      <c r="E182" s="323"/>
      <c r="F182" s="323"/>
      <c r="G182" s="332"/>
      <c r="H182" s="388"/>
      <c r="R182" s="53"/>
      <c r="S182" s="45"/>
    </row>
    <row r="183" spans="1:19" s="29" customFormat="1" ht="15.6">
      <c r="A183" s="412"/>
      <c r="B183" s="325"/>
      <c r="C183" s="323"/>
      <c r="D183" s="323"/>
      <c r="E183" s="323"/>
      <c r="F183" s="323"/>
      <c r="G183" s="330" t="s">
        <v>141</v>
      </c>
      <c r="H183" s="459">
        <f>IFERROR(MIN(SUM(H115+H138+H173+H181),G86),0)</f>
        <v>0</v>
      </c>
      <c r="R183" s="53"/>
      <c r="S183" s="45"/>
    </row>
    <row r="184" spans="1:19" s="29" customFormat="1" ht="16.2" thickBot="1">
      <c r="A184" s="491"/>
      <c r="B184" s="492"/>
      <c r="C184" s="493"/>
      <c r="D184" s="493"/>
      <c r="E184" s="493"/>
      <c r="F184" s="493"/>
      <c r="G184" s="494"/>
      <c r="H184" s="495"/>
      <c r="R184" s="53"/>
      <c r="S184" s="45"/>
    </row>
    <row r="185" spans="1:19" s="29" customFormat="1" ht="15.6">
      <c r="A185" s="481" t="s">
        <v>64</v>
      </c>
      <c r="B185" s="482"/>
      <c r="C185" s="482"/>
      <c r="D185" s="482"/>
      <c r="E185" s="482"/>
      <c r="F185" s="483" t="s">
        <v>43</v>
      </c>
      <c r="G185" s="484">
        <f>VLOOKUP($A$7,'Manpower allocation'!A4:D11,4,FALSE)*100</f>
        <v>15</v>
      </c>
      <c r="H185" s="485" t="s">
        <v>42</v>
      </c>
      <c r="J185" s="112">
        <f>VLOOKUP($A$7,'Manpower allocation'!A4:D11,4,FALSE)*100</f>
        <v>15</v>
      </c>
      <c r="R185" s="53"/>
      <c r="S185" s="45"/>
    </row>
    <row r="186" spans="1:19" s="29" customFormat="1" ht="15.6">
      <c r="A186" s="412"/>
      <c r="B186" s="331"/>
      <c r="C186" s="323"/>
      <c r="D186" s="323"/>
      <c r="E186" s="323"/>
      <c r="F186" s="323"/>
      <c r="G186" s="332"/>
      <c r="H186" s="388"/>
      <c r="R186" s="53"/>
      <c r="S186" s="45"/>
    </row>
    <row r="187" spans="1:19" s="29" customFormat="1" ht="46.8">
      <c r="A187" s="993" t="s">
        <v>0</v>
      </c>
      <c r="B187" s="994"/>
      <c r="C187" s="113"/>
      <c r="D187" s="539" t="s">
        <v>17</v>
      </c>
      <c r="E187" s="539" t="s">
        <v>125</v>
      </c>
      <c r="F187" s="539" t="s">
        <v>109</v>
      </c>
      <c r="G187" s="539" t="s">
        <v>18</v>
      </c>
      <c r="H187" s="544" t="s">
        <v>63</v>
      </c>
      <c r="R187" s="53"/>
      <c r="S187" s="45"/>
    </row>
    <row r="188" spans="1:19" s="29" customFormat="1" ht="15.6">
      <c r="A188" s="454" t="s">
        <v>265</v>
      </c>
      <c r="B188" s="109" t="s">
        <v>358</v>
      </c>
      <c r="C188" s="110"/>
      <c r="D188" s="110"/>
      <c r="E188" s="110"/>
      <c r="F188" s="114"/>
      <c r="G188" s="115"/>
      <c r="H188" s="455"/>
      <c r="R188" s="53"/>
      <c r="S188" s="45"/>
    </row>
    <row r="189" spans="1:19" s="29" customFormat="1" ht="15.6">
      <c r="A189" s="460">
        <v>1</v>
      </c>
      <c r="B189" s="116" t="s">
        <v>338</v>
      </c>
      <c r="C189" s="117"/>
      <c r="D189" s="118"/>
      <c r="E189" s="118"/>
      <c r="F189" s="118"/>
      <c r="G189" s="118"/>
      <c r="H189" s="461"/>
      <c r="R189" s="53"/>
      <c r="S189" s="45"/>
    </row>
    <row r="190" spans="1:19" s="29" customFormat="1">
      <c r="A190" s="409">
        <v>1.1000000000000001</v>
      </c>
      <c r="B190" s="844" t="s">
        <v>290</v>
      </c>
      <c r="C190" s="845"/>
      <c r="D190" s="20">
        <f>VLOOKUP(A190,'Point Allocation'!$A$46:$J$55,MATCH(A7,'Point Allocation'!$A$46:$J$46,0),0)</f>
        <v>15</v>
      </c>
      <c r="E190" s="38"/>
      <c r="F190" s="38"/>
      <c r="G190" s="31">
        <f>MIN(IFERROR(F190/E190,0),100%)</f>
        <v>0</v>
      </c>
      <c r="H190" s="405">
        <f>D190*G190</f>
        <v>0</v>
      </c>
      <c r="R190" s="53"/>
      <c r="S190" s="45"/>
    </row>
    <row r="191" spans="1:19" s="29" customFormat="1" ht="15.6">
      <c r="A191" s="462">
        <v>2</v>
      </c>
      <c r="B191" s="119" t="s">
        <v>339</v>
      </c>
      <c r="C191" s="120"/>
      <c r="D191" s="32"/>
      <c r="E191" s="33"/>
      <c r="F191" s="33"/>
      <c r="G191" s="34"/>
      <c r="H191" s="463"/>
      <c r="R191" s="53"/>
      <c r="S191" s="45"/>
    </row>
    <row r="192" spans="1:19" s="29" customFormat="1" ht="33" customHeight="1">
      <c r="A192" s="464">
        <v>2.1</v>
      </c>
      <c r="B192" s="969" t="s">
        <v>266</v>
      </c>
      <c r="C192" s="971"/>
      <c r="D192" s="20">
        <f>VLOOKUP(A192,'Point Allocation'!$A$46:$J$55,MATCH(A7,'Point Allocation'!$A$46:$J$46,0),0)</f>
        <v>12</v>
      </c>
      <c r="E192" s="38"/>
      <c r="F192" s="38"/>
      <c r="G192" s="31">
        <f>MIN(IFERROR(F192/E192,0),100%)</f>
        <v>0</v>
      </c>
      <c r="H192" s="405">
        <f>D192*G192</f>
        <v>0</v>
      </c>
      <c r="R192" s="53"/>
      <c r="S192" s="45"/>
    </row>
    <row r="193" spans="1:19" s="29" customFormat="1" ht="15.6">
      <c r="A193" s="460">
        <v>3</v>
      </c>
      <c r="B193" s="116" t="s">
        <v>343</v>
      </c>
      <c r="C193" s="121"/>
      <c r="D193" s="35"/>
      <c r="E193" s="35"/>
      <c r="F193" s="35"/>
      <c r="G193" s="34"/>
      <c r="H193" s="465"/>
      <c r="R193" s="53"/>
      <c r="S193" s="45"/>
    </row>
    <row r="194" spans="1:19" s="29" customFormat="1">
      <c r="A194" s="466">
        <v>3.1</v>
      </c>
      <c r="B194" s="850" t="s">
        <v>451</v>
      </c>
      <c r="C194" s="851"/>
      <c r="D194" s="20">
        <f>VLOOKUP(A194,'Point Allocation'!$A$46:$J$55,MATCH(A7,'Point Allocation'!$A$46:$J$46,0),0)</f>
        <v>4</v>
      </c>
      <c r="E194" s="38"/>
      <c r="F194" s="38"/>
      <c r="G194" s="31">
        <f>MIN(IFERROR(F194/E194,0),100%)</f>
        <v>0</v>
      </c>
      <c r="H194" s="405">
        <f>D194*G194</f>
        <v>0</v>
      </c>
      <c r="R194" s="53"/>
      <c r="S194" s="45"/>
    </row>
    <row r="195" spans="1:19" s="29" customFormat="1" ht="32.25" customHeight="1">
      <c r="A195" s="466">
        <v>3.2</v>
      </c>
      <c r="B195" s="850" t="s">
        <v>452</v>
      </c>
      <c r="C195" s="851"/>
      <c r="D195" s="20">
        <f>VLOOKUP(A195,'Point Allocation'!$A$46:$J$55,MATCH(A7,'Point Allocation'!$A$46:$J$46,0),0)</f>
        <v>4</v>
      </c>
      <c r="E195" s="178"/>
      <c r="F195" s="38"/>
      <c r="G195" s="31">
        <f>MIN(IFERROR(F195/E195,0),100%)</f>
        <v>0</v>
      </c>
      <c r="H195" s="405">
        <f>D195*G195</f>
        <v>0</v>
      </c>
      <c r="R195" s="53"/>
      <c r="S195" s="45"/>
    </row>
    <row r="196" spans="1:19" s="29" customFormat="1" ht="32.25" customHeight="1">
      <c r="A196" s="404">
        <v>3.3</v>
      </c>
      <c r="B196" s="885" t="s">
        <v>170</v>
      </c>
      <c r="C196" s="886"/>
      <c r="D196" s="20">
        <f>VLOOKUP(A196,'Point Allocation'!$A$46:$J$55,MATCH(A7,'Point Allocation'!$A$46:$J$46,0),0)</f>
        <v>4</v>
      </c>
      <c r="E196" s="179"/>
      <c r="F196" s="536"/>
      <c r="G196" s="31">
        <f>MIN(IFERROR(F196/E196,0),100%)</f>
        <v>0</v>
      </c>
      <c r="H196" s="405">
        <f>D196*G196</f>
        <v>0</v>
      </c>
      <c r="R196" s="53"/>
      <c r="S196" s="45"/>
    </row>
    <row r="197" spans="1:19" s="29" customFormat="1" ht="15.6">
      <c r="A197" s="412"/>
      <c r="B197" s="325"/>
      <c r="C197" s="323"/>
      <c r="D197" s="324" t="s">
        <v>6</v>
      </c>
      <c r="E197" s="300">
        <f>MAX(SUM(E190:E196),F197)</f>
        <v>0</v>
      </c>
      <c r="F197" s="300">
        <f>SUM(F190:F196)</f>
        <v>0</v>
      </c>
      <c r="G197" s="340">
        <f>IFERROR(MIN(F197/E197,100%),0)</f>
        <v>0</v>
      </c>
      <c r="H197" s="413">
        <f>IFERROR(SUM(H190:H196),0)</f>
        <v>0</v>
      </c>
      <c r="R197" s="53"/>
      <c r="S197" s="45"/>
    </row>
    <row r="198" spans="1:19" s="29" customFormat="1" ht="15.6">
      <c r="A198" s="412"/>
      <c r="B198" s="338"/>
      <c r="C198" s="341"/>
      <c r="D198" s="342"/>
      <c r="E198" s="341"/>
      <c r="F198" s="341"/>
      <c r="G198" s="343"/>
      <c r="H198" s="467"/>
      <c r="R198" s="53"/>
      <c r="S198" s="45"/>
    </row>
    <row r="199" spans="1:19" s="29" customFormat="1" ht="15.6">
      <c r="A199" s="993" t="s">
        <v>0</v>
      </c>
      <c r="B199" s="994"/>
      <c r="C199" s="982"/>
      <c r="D199" s="901" t="s">
        <v>4</v>
      </c>
      <c r="E199" s="901" t="s">
        <v>1</v>
      </c>
      <c r="F199" s="901"/>
      <c r="G199" s="894" t="s">
        <v>21</v>
      </c>
      <c r="H199" s="887" t="s">
        <v>63</v>
      </c>
      <c r="R199" s="53"/>
      <c r="S199" s="45"/>
    </row>
    <row r="200" spans="1:19" s="29" customFormat="1" ht="30.75" customHeight="1">
      <c r="A200" s="1007"/>
      <c r="B200" s="1008"/>
      <c r="C200" s="983"/>
      <c r="D200" s="901"/>
      <c r="E200" s="539" t="s">
        <v>65</v>
      </c>
      <c r="F200" s="539" t="s">
        <v>66</v>
      </c>
      <c r="G200" s="894"/>
      <c r="H200" s="887"/>
      <c r="R200" s="53"/>
      <c r="S200" s="45"/>
    </row>
    <row r="201" spans="1:19" s="29" customFormat="1" ht="15.6">
      <c r="A201" s="415" t="s">
        <v>271</v>
      </c>
      <c r="B201" s="46" t="s">
        <v>272</v>
      </c>
      <c r="C201" s="57"/>
      <c r="D201" s="57"/>
      <c r="E201" s="57"/>
      <c r="F201" s="58"/>
      <c r="G201" s="108"/>
      <c r="H201" s="451"/>
      <c r="R201" s="53"/>
      <c r="S201" s="45"/>
    </row>
    <row r="202" spans="1:19" s="29" customFormat="1" ht="15.6">
      <c r="A202" s="468">
        <v>4</v>
      </c>
      <c r="B202" s="122" t="s">
        <v>341</v>
      </c>
      <c r="C202" s="120"/>
      <c r="D202" s="123"/>
      <c r="E202" s="124"/>
      <c r="F202" s="124"/>
      <c r="G202" s="125"/>
      <c r="H202" s="469"/>
      <c r="R202" s="53"/>
      <c r="S202" s="45"/>
    </row>
    <row r="203" spans="1:19" s="29" customFormat="1">
      <c r="A203" s="409">
        <v>4.0999999999999996</v>
      </c>
      <c r="B203" s="844" t="s">
        <v>164</v>
      </c>
      <c r="C203" s="845"/>
      <c r="D203" s="5" t="s">
        <v>51</v>
      </c>
      <c r="E203" s="20" t="s">
        <v>50</v>
      </c>
      <c r="F203" s="20">
        <f>VLOOKUP(A203,'Point Allocation'!$A$46:$J$55,MATCH(A7,'Point Allocation'!$A$46:$J$46,0),0)</f>
        <v>1.5</v>
      </c>
      <c r="G203" s="547"/>
      <c r="H203" s="405">
        <f>IF(G203&gt;=80%,F203,0)</f>
        <v>0</v>
      </c>
      <c r="R203" s="53"/>
      <c r="S203" s="45"/>
    </row>
    <row r="204" spans="1:19" s="29" customFormat="1">
      <c r="A204" s="409">
        <v>4.2</v>
      </c>
      <c r="B204" s="844" t="s">
        <v>161</v>
      </c>
      <c r="C204" s="845"/>
      <c r="D204" s="5" t="s">
        <v>51</v>
      </c>
      <c r="E204" s="20" t="s">
        <v>50</v>
      </c>
      <c r="F204" s="20">
        <f>VLOOKUP(A204,'Point Allocation'!$A$46:$J$55,MATCH(A7,'Point Allocation'!$A$46:$J$46,0),0)</f>
        <v>1.5</v>
      </c>
      <c r="G204" s="547"/>
      <c r="H204" s="405">
        <f>IF(G204&gt;=80%,F204,0)</f>
        <v>0</v>
      </c>
      <c r="R204" s="53"/>
      <c r="S204" s="45"/>
    </row>
    <row r="205" spans="1:19" s="29" customFormat="1">
      <c r="A205" s="409">
        <v>4.3</v>
      </c>
      <c r="B205" s="844" t="s">
        <v>155</v>
      </c>
      <c r="C205" s="845"/>
      <c r="D205" s="5" t="s">
        <v>3</v>
      </c>
      <c r="E205" s="20" t="s">
        <v>50</v>
      </c>
      <c r="F205" s="20">
        <f>VLOOKUP(A205,'Point Allocation'!$A$46:$J$55,MATCH(A7,'Point Allocation'!$A$46:$J$46,0),0)</f>
        <v>1.5</v>
      </c>
      <c r="G205" s="547"/>
      <c r="H205" s="405">
        <f>IF(G205&gt;=80%,F205,0)</f>
        <v>0</v>
      </c>
      <c r="R205" s="53"/>
      <c r="S205" s="45"/>
    </row>
    <row r="206" spans="1:19" s="29" customFormat="1">
      <c r="A206" s="470">
        <v>4.4000000000000004</v>
      </c>
      <c r="B206" s="874" t="s">
        <v>270</v>
      </c>
      <c r="C206" s="875"/>
      <c r="D206" s="5" t="s">
        <v>3</v>
      </c>
      <c r="E206" s="20" t="s">
        <v>50</v>
      </c>
      <c r="F206" s="20">
        <f>VLOOKUP(A206,'Point Allocation'!$A$46:$J$55,MATCH(A7,'Point Allocation'!$A$46:$J$46,0),0)</f>
        <v>1.5</v>
      </c>
      <c r="G206" s="547"/>
      <c r="H206" s="405">
        <f>IF(G206&gt;=80%,F206,0)</f>
        <v>0</v>
      </c>
      <c r="R206" s="53"/>
      <c r="S206" s="45"/>
    </row>
    <row r="207" spans="1:19" s="29" customFormat="1" ht="15.6">
      <c r="A207" s="468">
        <v>5</v>
      </c>
      <c r="B207" s="122" t="s">
        <v>213</v>
      </c>
      <c r="C207" s="120"/>
      <c r="D207" s="126"/>
      <c r="E207" s="127"/>
      <c r="F207" s="127"/>
      <c r="G207" s="128"/>
      <c r="H207" s="471"/>
      <c r="R207" s="53"/>
      <c r="S207" s="45"/>
    </row>
    <row r="208" spans="1:19" s="29" customFormat="1">
      <c r="A208" s="411">
        <v>5.0999999999999996</v>
      </c>
      <c r="B208" s="826"/>
      <c r="C208" s="847"/>
      <c r="D208" s="530"/>
      <c r="E208" s="536"/>
      <c r="F208" s="536"/>
      <c r="G208" s="547"/>
      <c r="H208" s="542">
        <f>IF(G208&gt;=80%,F208,IF(G208&lt;65%,0,E208))</f>
        <v>0</v>
      </c>
      <c r="R208" s="53"/>
      <c r="S208" s="45"/>
    </row>
    <row r="209" spans="1:19" s="29" customFormat="1">
      <c r="A209" s="411">
        <v>5.2</v>
      </c>
      <c r="B209" s="826"/>
      <c r="C209" s="847"/>
      <c r="D209" s="530"/>
      <c r="E209" s="536"/>
      <c r="F209" s="536"/>
      <c r="G209" s="547"/>
      <c r="H209" s="542">
        <f>IF(G209&gt;=80%,F209,IF(G209&lt;65%,0,E209))</f>
        <v>0</v>
      </c>
      <c r="R209" s="53"/>
      <c r="S209" s="45"/>
    </row>
    <row r="210" spans="1:19" s="29" customFormat="1">
      <c r="A210" s="411">
        <v>5.3</v>
      </c>
      <c r="B210" s="826"/>
      <c r="C210" s="847"/>
      <c r="D210" s="530"/>
      <c r="E210" s="536"/>
      <c r="F210" s="536"/>
      <c r="G210" s="547"/>
      <c r="H210" s="542">
        <f>IF(G210&gt;=80%,F210,IF(G210&lt;65%,0,E210))</f>
        <v>0</v>
      </c>
      <c r="R210" s="53"/>
      <c r="S210" s="45"/>
    </row>
    <row r="211" spans="1:19" s="29" customFormat="1" ht="15.6">
      <c r="A211" s="412"/>
      <c r="B211" s="344"/>
      <c r="C211" s="344"/>
      <c r="D211" s="332"/>
      <c r="E211" s="332"/>
      <c r="F211" s="332"/>
      <c r="G211" s="330" t="s">
        <v>7</v>
      </c>
      <c r="H211" s="445">
        <f>IFERROR(SUM(H203:H206,H208:H210),0)</f>
        <v>0</v>
      </c>
      <c r="R211" s="53"/>
      <c r="S211" s="45"/>
    </row>
    <row r="212" spans="1:19" s="29" customFormat="1">
      <c r="A212" s="412"/>
      <c r="B212" s="325"/>
      <c r="C212" s="323"/>
      <c r="D212" s="323"/>
      <c r="E212" s="323"/>
      <c r="F212" s="323"/>
      <c r="G212" s="332"/>
      <c r="H212" s="388"/>
      <c r="R212" s="53"/>
      <c r="S212" s="45"/>
    </row>
    <row r="213" spans="1:19" s="29" customFormat="1" ht="15.6">
      <c r="A213" s="993" t="s">
        <v>0</v>
      </c>
      <c r="B213" s="994"/>
      <c r="C213" s="982"/>
      <c r="D213" s="894" t="s">
        <v>4</v>
      </c>
      <c r="E213" s="901" t="s">
        <v>1</v>
      </c>
      <c r="F213" s="901"/>
      <c r="G213" s="894" t="s">
        <v>21</v>
      </c>
      <c r="H213" s="887" t="s">
        <v>63</v>
      </c>
      <c r="R213" s="53"/>
      <c r="S213" s="45"/>
    </row>
    <row r="214" spans="1:19" s="29" customFormat="1" ht="31.2">
      <c r="A214" s="1007"/>
      <c r="B214" s="1008"/>
      <c r="C214" s="983"/>
      <c r="D214" s="901"/>
      <c r="E214" s="539" t="s">
        <v>65</v>
      </c>
      <c r="F214" s="539" t="s">
        <v>66</v>
      </c>
      <c r="G214" s="894"/>
      <c r="H214" s="887"/>
      <c r="R214" s="53"/>
      <c r="S214" s="45"/>
    </row>
    <row r="215" spans="1:19" s="29" customFormat="1" ht="15.6">
      <c r="A215" s="454" t="s">
        <v>273</v>
      </c>
      <c r="B215" s="109" t="s">
        <v>234</v>
      </c>
      <c r="C215" s="129"/>
      <c r="D215" s="130"/>
      <c r="E215" s="130"/>
      <c r="F215" s="131"/>
      <c r="G215" s="132"/>
      <c r="H215" s="472"/>
      <c r="R215" s="53"/>
      <c r="S215" s="45"/>
    </row>
    <row r="216" spans="1:19" s="29" customFormat="1" ht="15.6">
      <c r="A216" s="391" t="s">
        <v>199</v>
      </c>
      <c r="B216" s="844" t="s">
        <v>274</v>
      </c>
      <c r="C216" s="845"/>
      <c r="D216" s="98" t="s">
        <v>2</v>
      </c>
      <c r="E216" s="98">
        <v>1</v>
      </c>
      <c r="F216" s="98">
        <v>2</v>
      </c>
      <c r="G216" s="67"/>
      <c r="H216" s="437">
        <f>IF(G216&gt;=80%,F216,IF(G216&lt;65%,0,E216))</f>
        <v>0</v>
      </c>
      <c r="K216" s="135"/>
      <c r="R216" s="53"/>
      <c r="S216" s="45"/>
    </row>
    <row r="217" spans="1:19" s="29" customFormat="1" ht="31.5" customHeight="1">
      <c r="A217" s="473" t="s">
        <v>200</v>
      </c>
      <c r="B217" s="960" t="s">
        <v>275</v>
      </c>
      <c r="C217" s="962"/>
      <c r="D217" s="98" t="s">
        <v>51</v>
      </c>
      <c r="E217" s="98">
        <v>0.5</v>
      </c>
      <c r="F217" s="98">
        <v>1</v>
      </c>
      <c r="G217" s="67"/>
      <c r="H217" s="437">
        <f>IF(G217&gt;=80%,F217,IF(G217&lt;65%,0,E217))</f>
        <v>0</v>
      </c>
      <c r="R217" s="53"/>
      <c r="S217" s="45"/>
    </row>
    <row r="218" spans="1:19" s="29" customFormat="1" ht="15.6">
      <c r="A218" s="412"/>
      <c r="B218" s="325"/>
      <c r="C218" s="323"/>
      <c r="D218" s="323"/>
      <c r="E218" s="323"/>
      <c r="F218" s="326"/>
      <c r="G218" s="330" t="s">
        <v>110</v>
      </c>
      <c r="H218" s="474">
        <f>IFERROR(SUM(H216:H217),0)</f>
        <v>0</v>
      </c>
      <c r="R218" s="53"/>
      <c r="S218" s="45"/>
    </row>
    <row r="219" spans="1:19" s="29" customFormat="1">
      <c r="A219" s="412"/>
      <c r="B219" s="325"/>
      <c r="C219" s="323"/>
      <c r="D219" s="323"/>
      <c r="E219" s="323"/>
      <c r="F219" s="323"/>
      <c r="G219" s="332"/>
      <c r="H219" s="388"/>
      <c r="R219" s="53"/>
      <c r="S219" s="45"/>
    </row>
    <row r="220" spans="1:19" s="29" customFormat="1" ht="15.6">
      <c r="A220" s="412"/>
      <c r="B220" s="325"/>
      <c r="C220" s="323"/>
      <c r="D220" s="323"/>
      <c r="E220" s="323"/>
      <c r="F220" s="323"/>
      <c r="G220" s="330" t="s">
        <v>111</v>
      </c>
      <c r="H220" s="474">
        <f>IFERROR(MIN(SUM(H197+H211+H218),G185),0)</f>
        <v>0</v>
      </c>
      <c r="R220" s="53"/>
      <c r="S220" s="45"/>
    </row>
    <row r="221" spans="1:19" s="29" customFormat="1" ht="16.2" thickBot="1">
      <c r="A221" s="491"/>
      <c r="B221" s="492"/>
      <c r="C221" s="493"/>
      <c r="D221" s="493"/>
      <c r="E221" s="493"/>
      <c r="F221" s="493"/>
      <c r="G221" s="496"/>
      <c r="H221" s="495"/>
      <c r="R221" s="53"/>
      <c r="S221" s="45"/>
    </row>
    <row r="222" spans="1:19" s="29" customFormat="1" ht="15.6">
      <c r="A222" s="633" t="s">
        <v>137</v>
      </c>
      <c r="B222" s="634"/>
      <c r="C222" s="634"/>
      <c r="D222" s="634"/>
      <c r="E222" s="634"/>
      <c r="F222" s="635" t="s">
        <v>43</v>
      </c>
      <c r="G222" s="636">
        <v>20</v>
      </c>
      <c r="H222" s="637" t="s">
        <v>42</v>
      </c>
      <c r="R222" s="53"/>
      <c r="S222" s="45"/>
    </row>
    <row r="223" spans="1:19" s="29" customFormat="1" ht="15.6">
      <c r="A223" s="412"/>
      <c r="B223" s="347"/>
      <c r="C223" s="323"/>
      <c r="D223" s="323"/>
      <c r="E223" s="323"/>
      <c r="F223" s="323"/>
      <c r="G223" s="332"/>
      <c r="H223" s="388"/>
      <c r="R223" s="53"/>
      <c r="S223" s="45"/>
    </row>
    <row r="224" spans="1:19" s="29" customFormat="1" ht="33" customHeight="1">
      <c r="A224" s="1009" t="s">
        <v>0</v>
      </c>
      <c r="B224" s="1010"/>
      <c r="C224" s="136"/>
      <c r="D224" s="136"/>
      <c r="E224" s="137" t="s">
        <v>4</v>
      </c>
      <c r="F224" s="137" t="s">
        <v>70</v>
      </c>
      <c r="G224" s="138" t="s">
        <v>21</v>
      </c>
      <c r="H224" s="475" t="s">
        <v>63</v>
      </c>
      <c r="R224" s="53"/>
      <c r="S224" s="45"/>
    </row>
    <row r="225" spans="1:19" s="29" customFormat="1" ht="15.6">
      <c r="A225" s="454" t="s">
        <v>276</v>
      </c>
      <c r="B225" s="109" t="s">
        <v>277</v>
      </c>
      <c r="C225" s="110"/>
      <c r="D225" s="110"/>
      <c r="E225" s="110"/>
      <c r="F225" s="58"/>
      <c r="G225" s="139"/>
      <c r="H225" s="476"/>
      <c r="J225" s="134"/>
      <c r="R225" s="53"/>
      <c r="S225" s="45"/>
    </row>
    <row r="226" spans="1:19" s="29" customFormat="1" ht="15.6">
      <c r="A226" s="411">
        <v>1.1000000000000001</v>
      </c>
      <c r="B226" s="836" t="s">
        <v>123</v>
      </c>
      <c r="C226" s="837"/>
      <c r="D226" s="838"/>
      <c r="E226" s="167"/>
      <c r="F226" s="140"/>
      <c r="G226" s="141"/>
      <c r="H226" s="441">
        <f t="shared" ref="H226:H231" si="4">F226*G226</f>
        <v>0</v>
      </c>
      <c r="R226" s="53"/>
      <c r="S226" s="45"/>
    </row>
    <row r="227" spans="1:19" s="29" customFormat="1" ht="15.6">
      <c r="A227" s="406">
        <v>1.2</v>
      </c>
      <c r="B227" s="1004" t="s">
        <v>124</v>
      </c>
      <c r="C227" s="1005"/>
      <c r="D227" s="1006"/>
      <c r="E227" s="167"/>
      <c r="F227" s="140"/>
      <c r="G227" s="141"/>
      <c r="H227" s="441">
        <f t="shared" si="4"/>
        <v>0</v>
      </c>
      <c r="R227" s="53"/>
      <c r="S227" s="45"/>
    </row>
    <row r="228" spans="1:19" s="29" customFormat="1" ht="15.6">
      <c r="A228" s="411">
        <v>1.3</v>
      </c>
      <c r="B228" s="836" t="s">
        <v>115</v>
      </c>
      <c r="C228" s="837"/>
      <c r="D228" s="838"/>
      <c r="E228" s="167"/>
      <c r="F228" s="140"/>
      <c r="G228" s="141"/>
      <c r="H228" s="441">
        <f t="shared" si="4"/>
        <v>0</v>
      </c>
      <c r="R228" s="53"/>
      <c r="S228" s="45"/>
    </row>
    <row r="229" spans="1:19" s="29" customFormat="1" ht="15.6">
      <c r="A229" s="411">
        <v>1.4</v>
      </c>
      <c r="B229" s="836" t="s">
        <v>305</v>
      </c>
      <c r="C229" s="837"/>
      <c r="D229" s="838"/>
      <c r="E229" s="167"/>
      <c r="F229" s="140"/>
      <c r="G229" s="141"/>
      <c r="H229" s="441">
        <f t="shared" si="4"/>
        <v>0</v>
      </c>
      <c r="R229" s="53"/>
      <c r="S229" s="45"/>
    </row>
    <row r="230" spans="1:19" s="29" customFormat="1" ht="15.6">
      <c r="A230" s="411">
        <v>1.5</v>
      </c>
      <c r="B230" s="836"/>
      <c r="C230" s="837"/>
      <c r="D230" s="838"/>
      <c r="E230" s="167"/>
      <c r="F230" s="140"/>
      <c r="G230" s="141"/>
      <c r="H230" s="441">
        <f t="shared" si="4"/>
        <v>0</v>
      </c>
      <c r="R230" s="53"/>
      <c r="S230" s="45"/>
    </row>
    <row r="231" spans="1:19" s="29" customFormat="1" ht="15.6">
      <c r="A231" s="411">
        <v>1.6</v>
      </c>
      <c r="B231" s="836"/>
      <c r="C231" s="837"/>
      <c r="D231" s="838"/>
      <c r="E231" s="111"/>
      <c r="F231" s="142"/>
      <c r="G231" s="67"/>
      <c r="H231" s="441">
        <f t="shared" si="4"/>
        <v>0</v>
      </c>
      <c r="R231" s="53"/>
      <c r="S231" s="45"/>
    </row>
    <row r="232" spans="1:19" s="29" customFormat="1" ht="15.6">
      <c r="A232" s="454" t="s">
        <v>279</v>
      </c>
      <c r="B232" s="109" t="s">
        <v>278</v>
      </c>
      <c r="C232" s="110"/>
      <c r="D232" s="110"/>
      <c r="E232" s="110"/>
      <c r="F232" s="58"/>
      <c r="G232" s="139"/>
      <c r="H232" s="476"/>
      <c r="R232" s="53"/>
      <c r="S232" s="45"/>
    </row>
    <row r="233" spans="1:19" s="29" customFormat="1">
      <c r="A233" s="411">
        <v>2.1</v>
      </c>
      <c r="B233" s="1001" t="s">
        <v>138</v>
      </c>
      <c r="C233" s="1002"/>
      <c r="D233" s="1003"/>
      <c r="E233" s="157" t="s">
        <v>410</v>
      </c>
      <c r="F233" s="527">
        <v>2</v>
      </c>
      <c r="G233" s="528"/>
      <c r="H233" s="441">
        <f>IFERROR(VLOOKUP(E233,K234:L237,2,FALSE),0)</f>
        <v>0</v>
      </c>
      <c r="K233" s="29" t="s">
        <v>410</v>
      </c>
      <c r="L233" s="29">
        <v>0</v>
      </c>
      <c r="R233" s="53"/>
      <c r="S233" s="45"/>
    </row>
    <row r="234" spans="1:19" s="29" customFormat="1" ht="15.6">
      <c r="A234" s="412"/>
      <c r="B234" s="322"/>
      <c r="C234" s="323"/>
      <c r="D234" s="323"/>
      <c r="E234" s="323"/>
      <c r="F234" s="323"/>
      <c r="G234" s="330" t="s">
        <v>139</v>
      </c>
      <c r="H234" s="477">
        <f>IFERROR(MIN(SUM(H226:H233),G222),0)</f>
        <v>0</v>
      </c>
      <c r="K234" s="29" t="s">
        <v>406</v>
      </c>
      <c r="L234" s="29">
        <v>2</v>
      </c>
      <c r="R234" s="45"/>
      <c r="S234" s="45"/>
    </row>
    <row r="235" spans="1:19" s="29" customFormat="1">
      <c r="A235" s="412"/>
      <c r="B235" s="325"/>
      <c r="C235" s="323"/>
      <c r="D235" s="323"/>
      <c r="E235" s="323"/>
      <c r="F235" s="323"/>
      <c r="G235" s="332"/>
      <c r="H235" s="388"/>
      <c r="K235" s="29" t="s">
        <v>407</v>
      </c>
      <c r="L235" s="29">
        <v>2</v>
      </c>
      <c r="R235" s="45"/>
      <c r="S235" s="45"/>
    </row>
    <row r="236" spans="1:19" s="29" customFormat="1" ht="15.6">
      <c r="A236" s="412"/>
      <c r="B236" s="325"/>
      <c r="C236" s="323"/>
      <c r="D236" s="323"/>
      <c r="E236" s="323"/>
      <c r="F236" s="323"/>
      <c r="G236" s="330" t="s">
        <v>69</v>
      </c>
      <c r="H236" s="445">
        <f>IFERROR(H84+H183+H220+H234,0)</f>
        <v>0</v>
      </c>
      <c r="K236" s="29" t="s">
        <v>408</v>
      </c>
      <c r="L236" s="29">
        <v>2</v>
      </c>
      <c r="R236" s="45"/>
      <c r="S236" s="45"/>
    </row>
    <row r="237" spans="1:19" s="29" customFormat="1">
      <c r="A237" s="412"/>
      <c r="B237" s="325"/>
      <c r="C237" s="323"/>
      <c r="D237" s="323"/>
      <c r="E237" s="323"/>
      <c r="F237" s="323"/>
      <c r="G237" s="332"/>
      <c r="H237" s="388"/>
      <c r="K237" s="29" t="s">
        <v>409</v>
      </c>
      <c r="L237" s="29">
        <v>2</v>
      </c>
      <c r="R237" s="53"/>
      <c r="S237" s="45"/>
    </row>
    <row r="238" spans="1:19" s="29" customFormat="1" ht="15.75" customHeight="1">
      <c r="A238" s="412"/>
      <c r="B238" s="345" t="s">
        <v>37</v>
      </c>
      <c r="C238" s="332"/>
      <c r="D238" s="1013" t="s">
        <v>415</v>
      </c>
      <c r="E238" s="1013"/>
      <c r="F238" s="1013"/>
      <c r="G238" s="332"/>
      <c r="H238" s="478"/>
      <c r="R238" s="53"/>
      <c r="S238" s="45"/>
    </row>
    <row r="239" spans="1:19" s="29" customFormat="1" ht="15.6">
      <c r="A239" s="412"/>
      <c r="B239" s="346"/>
      <c r="C239" s="332"/>
      <c r="D239" s="1013"/>
      <c r="E239" s="1013"/>
      <c r="F239" s="1013"/>
      <c r="G239" s="332"/>
      <c r="H239" s="478"/>
      <c r="R239" s="53"/>
      <c r="S239" s="45"/>
    </row>
    <row r="240" spans="1:19" s="29" customFormat="1" ht="15.6">
      <c r="A240" s="479" t="s">
        <v>280</v>
      </c>
      <c r="B240" s="346" t="s">
        <v>100</v>
      </c>
      <c r="C240" s="369">
        <f>IFERROR(SUM(G29+G32+G34+G35+G44+G47),0)</f>
        <v>0</v>
      </c>
      <c r="D240" s="332" t="s">
        <v>284</v>
      </c>
      <c r="E240" s="141"/>
      <c r="F240" s="332" t="s">
        <v>285</v>
      </c>
      <c r="G240" s="144">
        <f>MIN(IFERROR(SUM(C240+E240),0),100%)</f>
        <v>0</v>
      </c>
      <c r="H240" s="388"/>
      <c r="M240" s="53"/>
      <c r="N240" s="45"/>
    </row>
    <row r="241" spans="1:19" s="29" customFormat="1" ht="15.6">
      <c r="A241" s="479" t="s">
        <v>281</v>
      </c>
      <c r="B241" s="346" t="s">
        <v>101</v>
      </c>
      <c r="C241" s="630">
        <f>IFERROR(SUM(F19+G91+G93+G95+G98+G101+G102+G103+G104+G105),0)</f>
        <v>0</v>
      </c>
      <c r="D241" s="332" t="s">
        <v>284</v>
      </c>
      <c r="E241" s="631"/>
      <c r="F241" s="332" t="s">
        <v>285</v>
      </c>
      <c r="G241" s="632">
        <f t="shared" ref="G241:G242" si="5">MIN(IFERROR(SUM(C241+E241),0),100%)</f>
        <v>0</v>
      </c>
      <c r="H241" s="388"/>
      <c r="M241" s="53"/>
      <c r="N241" s="45"/>
    </row>
    <row r="242" spans="1:19" s="29" customFormat="1" ht="15.6">
      <c r="A242" s="479" t="s">
        <v>282</v>
      </c>
      <c r="B242" s="346" t="s">
        <v>102</v>
      </c>
      <c r="C242" s="369">
        <f>IFERROR(G197,0)</f>
        <v>0</v>
      </c>
      <c r="D242" s="332" t="s">
        <v>284</v>
      </c>
      <c r="E242" s="141"/>
      <c r="F242" s="303" t="s">
        <v>285</v>
      </c>
      <c r="G242" s="144">
        <f t="shared" si="5"/>
        <v>0</v>
      </c>
      <c r="H242" s="283"/>
      <c r="I242" s="3"/>
      <c r="J242" s="3"/>
      <c r="K242" s="3"/>
      <c r="L242" s="3"/>
      <c r="M242" s="53"/>
      <c r="N242" s="45"/>
    </row>
    <row r="243" spans="1:19" s="29" customFormat="1" ht="15.6" thickBot="1">
      <c r="A243" s="491"/>
      <c r="B243" s="492"/>
      <c r="C243" s="493"/>
      <c r="D243" s="493"/>
      <c r="E243" s="493"/>
      <c r="F243" s="493"/>
      <c r="G243" s="638"/>
      <c r="H243" s="639"/>
      <c r="K243" s="3"/>
      <c r="L243" s="3"/>
      <c r="M243" s="3"/>
      <c r="N243" s="3"/>
      <c r="O243" s="3"/>
      <c r="P243" s="3"/>
      <c r="Q243" s="3"/>
      <c r="R243" s="53"/>
      <c r="S243" s="45"/>
    </row>
    <row r="244" spans="1:19" s="29" customFormat="1">
      <c r="A244" s="174"/>
      <c r="B244" s="3"/>
      <c r="C244" s="3"/>
      <c r="D244" s="3"/>
      <c r="E244" s="3"/>
      <c r="F244" s="3"/>
      <c r="G244" s="10"/>
      <c r="H244" s="3"/>
      <c r="K244" s="3"/>
      <c r="L244" s="3"/>
      <c r="M244" s="3"/>
      <c r="N244" s="3"/>
      <c r="O244" s="3"/>
      <c r="P244" s="3"/>
      <c r="Q244" s="3"/>
      <c r="R244" s="53"/>
      <c r="S244" s="45"/>
    </row>
    <row r="245" spans="1:19" s="29" customFormat="1">
      <c r="A245" s="174"/>
      <c r="B245" s="3"/>
      <c r="C245" s="3"/>
      <c r="D245" s="3"/>
      <c r="E245" s="3"/>
      <c r="F245" s="3"/>
      <c r="G245" s="10"/>
      <c r="H245" s="3"/>
      <c r="K245" s="3"/>
      <c r="L245" s="3"/>
      <c r="M245" s="3"/>
      <c r="N245" s="3"/>
      <c r="O245" s="3"/>
      <c r="P245" s="3"/>
      <c r="Q245" s="3"/>
      <c r="R245" s="53"/>
      <c r="S245" s="45"/>
    </row>
    <row r="246" spans="1:19" s="29" customFormat="1">
      <c r="A246" s="174"/>
      <c r="B246" s="3"/>
      <c r="C246" s="3"/>
      <c r="D246" s="3"/>
      <c r="E246" s="3"/>
      <c r="F246" s="3"/>
      <c r="G246" s="10"/>
      <c r="H246" s="3"/>
      <c r="K246" s="3"/>
      <c r="L246" s="3"/>
      <c r="M246" s="3"/>
      <c r="N246" s="3"/>
      <c r="O246" s="3"/>
      <c r="P246" s="3"/>
      <c r="Q246" s="3"/>
      <c r="R246" s="53"/>
      <c r="S246" s="45"/>
    </row>
    <row r="247" spans="1:19" s="29" customFormat="1">
      <c r="A247" s="174"/>
      <c r="B247" s="3"/>
      <c r="C247" s="3"/>
      <c r="D247" s="3"/>
      <c r="E247" s="3"/>
      <c r="F247" s="3"/>
      <c r="G247" s="10"/>
      <c r="H247" s="3"/>
      <c r="K247" s="3"/>
      <c r="L247" s="3"/>
      <c r="M247" s="3"/>
      <c r="N247" s="3"/>
      <c r="O247" s="3"/>
      <c r="P247" s="3"/>
      <c r="Q247" s="3"/>
      <c r="R247" s="45"/>
      <c r="S247" s="45"/>
    </row>
    <row r="248" spans="1:19" s="29" customFormat="1">
      <c r="A248" s="174"/>
      <c r="B248" s="3"/>
      <c r="C248" s="3"/>
      <c r="D248" s="3"/>
      <c r="E248" s="3"/>
      <c r="F248" s="3"/>
      <c r="G248" s="10"/>
      <c r="H248" s="3"/>
      <c r="K248" s="3"/>
      <c r="L248" s="3"/>
      <c r="M248" s="3"/>
      <c r="N248" s="3"/>
      <c r="O248" s="3"/>
      <c r="P248" s="3"/>
      <c r="Q248" s="3"/>
      <c r="R248" s="45"/>
      <c r="S248" s="45"/>
    </row>
    <row r="249" spans="1:19" s="29" customFormat="1">
      <c r="A249" s="174"/>
      <c r="B249" s="3"/>
      <c r="C249" s="3"/>
      <c r="D249" s="3"/>
      <c r="E249" s="3"/>
      <c r="F249" s="3"/>
      <c r="G249" s="10"/>
      <c r="H249" s="3"/>
      <c r="K249" s="3"/>
      <c r="L249" s="3"/>
      <c r="M249" s="3"/>
      <c r="N249" s="3"/>
      <c r="O249" s="3"/>
      <c r="P249" s="3"/>
      <c r="Q249" s="3"/>
      <c r="R249" s="45"/>
      <c r="S249" s="45"/>
    </row>
    <row r="250" spans="1:19" s="29" customFormat="1">
      <c r="A250" s="174"/>
      <c r="B250" s="3"/>
      <c r="C250" s="3"/>
      <c r="D250" s="3"/>
      <c r="E250" s="3"/>
      <c r="F250" s="3"/>
      <c r="G250" s="10"/>
      <c r="H250" s="3"/>
      <c r="K250" s="3"/>
      <c r="L250" s="3"/>
      <c r="M250" s="3"/>
      <c r="N250" s="3"/>
      <c r="O250" s="3"/>
      <c r="P250" s="3"/>
      <c r="Q250" s="3"/>
      <c r="R250" s="45"/>
      <c r="S250" s="45"/>
    </row>
  </sheetData>
  <sheetProtection algorithmName="SHA-512" hashValue="jelwcRsmTANa0zg4G+zGsib7vvMfwHA9XcXNqmAUu2T9QPAP1j590FO6JCimrEYlZX0e1geu/H7g+bCxJb++ZA==" saltValue="ii7mNEZr6/4iNSp+gjFbwA==" spinCount="100000" sheet="1" selectLockedCells="1"/>
  <mergeCells count="228">
    <mergeCell ref="B227:D227"/>
    <mergeCell ref="B233:D233"/>
    <mergeCell ref="D238:F239"/>
    <mergeCell ref="G199:G200"/>
    <mergeCell ref="H199:H200"/>
    <mergeCell ref="B203:C203"/>
    <mergeCell ref="B208:C208"/>
    <mergeCell ref="A213:B214"/>
    <mergeCell ref="C213:C214"/>
    <mergeCell ref="D213:D214"/>
    <mergeCell ref="E213:F213"/>
    <mergeCell ref="G213:G214"/>
    <mergeCell ref="H213:H214"/>
    <mergeCell ref="B204:C204"/>
    <mergeCell ref="E199:F199"/>
    <mergeCell ref="B230:D230"/>
    <mergeCell ref="B231:D231"/>
    <mergeCell ref="B209:C209"/>
    <mergeCell ref="B210:C210"/>
    <mergeCell ref="B229:D229"/>
    <mergeCell ref="B217:C217"/>
    <mergeCell ref="B228:D228"/>
    <mergeCell ref="B226:D226"/>
    <mergeCell ref="B205:C205"/>
    <mergeCell ref="I154:I158"/>
    <mergeCell ref="A158:A159"/>
    <mergeCell ref="B158:C159"/>
    <mergeCell ref="B162:C162"/>
    <mergeCell ref="A165:A166"/>
    <mergeCell ref="B165:C165"/>
    <mergeCell ref="D165:D166"/>
    <mergeCell ref="E165:E166"/>
    <mergeCell ref="F165:F166"/>
    <mergeCell ref="G165:G166"/>
    <mergeCell ref="H165:H166"/>
    <mergeCell ref="B163:C163"/>
    <mergeCell ref="B166:C166"/>
    <mergeCell ref="B160:C160"/>
    <mergeCell ref="A126:A127"/>
    <mergeCell ref="B126:C126"/>
    <mergeCell ref="D126:D127"/>
    <mergeCell ref="E126:E127"/>
    <mergeCell ref="F126:F127"/>
    <mergeCell ref="G126:G127"/>
    <mergeCell ref="H126:H127"/>
    <mergeCell ref="B124:C124"/>
    <mergeCell ref="B127:C127"/>
    <mergeCell ref="F29:F30"/>
    <mergeCell ref="A93:A94"/>
    <mergeCell ref="B93:D93"/>
    <mergeCell ref="E93:E94"/>
    <mergeCell ref="F93:F94"/>
    <mergeCell ref="G93:G94"/>
    <mergeCell ref="H93:H94"/>
    <mergeCell ref="A95:A96"/>
    <mergeCell ref="E95:E96"/>
    <mergeCell ref="F95:F96"/>
    <mergeCell ref="G95:G96"/>
    <mergeCell ref="H95:H96"/>
    <mergeCell ref="H58:H59"/>
    <mergeCell ref="B64:C64"/>
    <mergeCell ref="D66:D69"/>
    <mergeCell ref="B74:C74"/>
    <mergeCell ref="B80:C80"/>
    <mergeCell ref="B94:D94"/>
    <mergeCell ref="B95:D95"/>
    <mergeCell ref="E71:F71"/>
    <mergeCell ref="B75:C75"/>
    <mergeCell ref="B81:C81"/>
    <mergeCell ref="B70:C70"/>
    <mergeCell ref="B71:C71"/>
    <mergeCell ref="B130:C130"/>
    <mergeCell ref="G29:G30"/>
    <mergeCell ref="H29:H30"/>
    <mergeCell ref="B30:D30"/>
    <mergeCell ref="B32:D32"/>
    <mergeCell ref="B34:D34"/>
    <mergeCell ref="B129:C129"/>
    <mergeCell ref="B133:C133"/>
    <mergeCell ref="F140:G140"/>
    <mergeCell ref="B47:D47"/>
    <mergeCell ref="B51:D51"/>
    <mergeCell ref="B55:D55"/>
    <mergeCell ref="B46:D46"/>
    <mergeCell ref="B50:D50"/>
    <mergeCell ref="B137:C137"/>
    <mergeCell ref="B135:C135"/>
    <mergeCell ref="B136:C136"/>
    <mergeCell ref="A140:B140"/>
    <mergeCell ref="A35:A36"/>
    <mergeCell ref="B35:D36"/>
    <mergeCell ref="E35:E36"/>
    <mergeCell ref="H35:H36"/>
    <mergeCell ref="A29:A30"/>
    <mergeCell ref="E29:E30"/>
    <mergeCell ref="D142:D143"/>
    <mergeCell ref="E142:E143"/>
    <mergeCell ref="F142:G142"/>
    <mergeCell ref="A146:B147"/>
    <mergeCell ref="C146:C147"/>
    <mergeCell ref="D146:D147"/>
    <mergeCell ref="E146:F146"/>
    <mergeCell ref="G146:G147"/>
    <mergeCell ref="B150:C150"/>
    <mergeCell ref="F143:G143"/>
    <mergeCell ref="B73:C73"/>
    <mergeCell ref="B77:C77"/>
    <mergeCell ref="B79:C79"/>
    <mergeCell ref="B91:D91"/>
    <mergeCell ref="B61:C61"/>
    <mergeCell ref="B67:C67"/>
    <mergeCell ref="B62:C62"/>
    <mergeCell ref="A58:B59"/>
    <mergeCell ref="D58:D59"/>
    <mergeCell ref="A11:B12"/>
    <mergeCell ref="B17:C17"/>
    <mergeCell ref="B19:C19"/>
    <mergeCell ref="B109:D109"/>
    <mergeCell ref="B102:D102"/>
    <mergeCell ref="B41:D41"/>
    <mergeCell ref="E37:E42"/>
    <mergeCell ref="H37:H42"/>
    <mergeCell ref="B42:D42"/>
    <mergeCell ref="B39:D39"/>
    <mergeCell ref="B40:D40"/>
    <mergeCell ref="B38:D38"/>
    <mergeCell ref="E58:F58"/>
    <mergeCell ref="G58:G59"/>
    <mergeCell ref="E98:E99"/>
    <mergeCell ref="F98:F99"/>
    <mergeCell ref="G98:G99"/>
    <mergeCell ref="H98:H99"/>
    <mergeCell ref="B101:D101"/>
    <mergeCell ref="B45:D45"/>
    <mergeCell ref="B53:D53"/>
    <mergeCell ref="B54:D54"/>
    <mergeCell ref="B65:C65"/>
    <mergeCell ref="B99:D99"/>
    <mergeCell ref="A4:B4"/>
    <mergeCell ref="A7:B7"/>
    <mergeCell ref="D7:G7"/>
    <mergeCell ref="B134:C134"/>
    <mergeCell ref="B20:C20"/>
    <mergeCell ref="B21:C21"/>
    <mergeCell ref="B29:D29"/>
    <mergeCell ref="B69:C69"/>
    <mergeCell ref="B44:D44"/>
    <mergeCell ref="B37:D37"/>
    <mergeCell ref="B63:C63"/>
    <mergeCell ref="B68:C68"/>
    <mergeCell ref="B66:C66"/>
    <mergeCell ref="B22:C22"/>
    <mergeCell ref="D11:D12"/>
    <mergeCell ref="E11:E12"/>
    <mergeCell ref="F11:F12"/>
    <mergeCell ref="B14:C14"/>
    <mergeCell ref="B15:C15"/>
    <mergeCell ref="B16:C16"/>
    <mergeCell ref="B96:D96"/>
    <mergeCell ref="B105:D105"/>
    <mergeCell ref="A98:A99"/>
    <mergeCell ref="B98:D98"/>
    <mergeCell ref="R101:R102"/>
    <mergeCell ref="B110:D110"/>
    <mergeCell ref="B114:D114"/>
    <mergeCell ref="B108:D108"/>
    <mergeCell ref="B112:D112"/>
    <mergeCell ref="B120:C120"/>
    <mergeCell ref="A122:A123"/>
    <mergeCell ref="B122:C122"/>
    <mergeCell ref="D122:D123"/>
    <mergeCell ref="E122:E123"/>
    <mergeCell ref="F122:F123"/>
    <mergeCell ref="G122:G123"/>
    <mergeCell ref="B113:D113"/>
    <mergeCell ref="B123:C123"/>
    <mergeCell ref="H122:H123"/>
    <mergeCell ref="B103:D103"/>
    <mergeCell ref="B104:D104"/>
    <mergeCell ref="H146:H147"/>
    <mergeCell ref="B151:C151"/>
    <mergeCell ref="E155:F155"/>
    <mergeCell ref="E156:F156"/>
    <mergeCell ref="E153:F153"/>
    <mergeCell ref="E154:F154"/>
    <mergeCell ref="G152:G153"/>
    <mergeCell ref="H152:H153"/>
    <mergeCell ref="A154:A157"/>
    <mergeCell ref="B154:C157"/>
    <mergeCell ref="G154:G157"/>
    <mergeCell ref="H154:H157"/>
    <mergeCell ref="E157:F157"/>
    <mergeCell ref="A152:A153"/>
    <mergeCell ref="B152:C153"/>
    <mergeCell ref="E152:F152"/>
    <mergeCell ref="B171:C171"/>
    <mergeCell ref="A167:A168"/>
    <mergeCell ref="D167:D168"/>
    <mergeCell ref="E167:E168"/>
    <mergeCell ref="F167:F168"/>
    <mergeCell ref="G167:G168"/>
    <mergeCell ref="H167:H168"/>
    <mergeCell ref="B170:C170"/>
    <mergeCell ref="B172:C172"/>
    <mergeCell ref="B167:C167"/>
    <mergeCell ref="B168:C168"/>
    <mergeCell ref="B179:C179"/>
    <mergeCell ref="B180:C180"/>
    <mergeCell ref="A175:B176"/>
    <mergeCell ref="C175:C176"/>
    <mergeCell ref="D175:D176"/>
    <mergeCell ref="E175:F175"/>
    <mergeCell ref="G175:G176"/>
    <mergeCell ref="H175:H176"/>
    <mergeCell ref="B178:C178"/>
    <mergeCell ref="E180:F180"/>
    <mergeCell ref="D199:D200"/>
    <mergeCell ref="B216:C216"/>
    <mergeCell ref="A224:B224"/>
    <mergeCell ref="B206:C206"/>
    <mergeCell ref="B195:C195"/>
    <mergeCell ref="B196:C196"/>
    <mergeCell ref="A187:B187"/>
    <mergeCell ref="B190:C190"/>
    <mergeCell ref="B192:C192"/>
    <mergeCell ref="B194:C194"/>
    <mergeCell ref="A199:B200"/>
    <mergeCell ref="C199:C200"/>
  </mergeCells>
  <dataValidations count="3">
    <dataValidation type="list" allowBlank="1" showInputMessage="1" showErrorMessage="1" sqref="A7" xr:uid="{793AD4E0-714B-42C7-B8A4-B65C54CDFCC3}">
      <formula1>$K$1:$K$7</formula1>
    </dataValidation>
    <dataValidation type="list" allowBlank="1" showInputMessage="1" showErrorMessage="1" sqref="E233" xr:uid="{E1D013F6-6BA0-4523-82BB-4DE6C68A9901}">
      <formula1>$K$233:$K$237</formula1>
    </dataValidation>
    <dataValidation type="list" allowBlank="1" showInputMessage="1" showErrorMessage="1" sqref="F143:G143" xr:uid="{CB3F0527-0FF1-4EC6-A040-A5BE3D6CC3C7}">
      <formula1>$L$140:$Q$140</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73"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77" t="s">
        <v>90</v>
      </c>
      <c r="B1" s="378"/>
      <c r="C1" s="378"/>
      <c r="D1" s="378"/>
      <c r="E1" s="378"/>
      <c r="F1" s="378"/>
      <c r="G1" s="378"/>
      <c r="H1" s="379"/>
      <c r="K1" s="3" t="s">
        <v>41</v>
      </c>
    </row>
    <row r="2" spans="1:16">
      <c r="A2" s="380"/>
      <c r="B2" s="281"/>
      <c r="C2" s="281"/>
      <c r="D2" s="281"/>
      <c r="E2" s="281"/>
      <c r="F2" s="281"/>
      <c r="G2" s="282"/>
      <c r="H2" s="283"/>
      <c r="J2" s="6"/>
      <c r="K2" s="6" t="s">
        <v>428</v>
      </c>
    </row>
    <row r="3" spans="1:16" ht="15.6">
      <c r="A3" s="381" t="s">
        <v>378</v>
      </c>
      <c r="B3" s="281"/>
      <c r="C3" s="281"/>
      <c r="D3" s="349" t="s">
        <v>143</v>
      </c>
      <c r="E3" s="349" t="s">
        <v>144</v>
      </c>
      <c r="F3" s="349" t="s">
        <v>145</v>
      </c>
      <c r="G3" s="306" t="s">
        <v>105</v>
      </c>
      <c r="H3" s="292" t="s">
        <v>63</v>
      </c>
      <c r="J3" s="6"/>
      <c r="K3" s="6" t="s">
        <v>45</v>
      </c>
    </row>
    <row r="4" spans="1:16" ht="15.6">
      <c r="A4" s="862">
        <f>Summary!A6</f>
        <v>0</v>
      </c>
      <c r="B4" s="863"/>
      <c r="C4" s="281"/>
      <c r="D4" s="78">
        <f>H84</f>
        <v>0</v>
      </c>
      <c r="E4" s="166">
        <f>H183</f>
        <v>0</v>
      </c>
      <c r="F4" s="133">
        <f>H220</f>
        <v>0</v>
      </c>
      <c r="G4" s="143">
        <f>H234</f>
        <v>0</v>
      </c>
      <c r="H4" s="382">
        <f>H236</f>
        <v>0</v>
      </c>
      <c r="J4" s="6"/>
      <c r="K4" s="6" t="s">
        <v>15</v>
      </c>
    </row>
    <row r="5" spans="1:16">
      <c r="A5" s="380"/>
      <c r="B5" s="281"/>
      <c r="C5" s="281"/>
      <c r="D5" s="281"/>
      <c r="E5" s="281"/>
      <c r="F5" s="281"/>
      <c r="G5" s="282"/>
      <c r="H5" s="283"/>
      <c r="J5" s="6"/>
      <c r="K5" s="6" t="s">
        <v>16</v>
      </c>
    </row>
    <row r="6" spans="1:16" s="4" customFormat="1" ht="15.6">
      <c r="A6" s="381" t="s">
        <v>91</v>
      </c>
      <c r="B6" s="313"/>
      <c r="C6" s="313"/>
      <c r="D6" s="314" t="s">
        <v>35</v>
      </c>
      <c r="E6" s="281"/>
      <c r="F6" s="281"/>
      <c r="G6" s="282"/>
      <c r="H6" s="283"/>
      <c r="J6" s="6"/>
      <c r="K6" s="6" t="s">
        <v>427</v>
      </c>
      <c r="L6" s="3"/>
      <c r="M6" s="3"/>
      <c r="N6" s="3"/>
    </row>
    <row r="7" spans="1:16" ht="15.75" customHeight="1">
      <c r="A7" s="842" t="s">
        <v>428</v>
      </c>
      <c r="B7" s="843"/>
      <c r="D7" s="835">
        <f>Summary!A84</f>
        <v>0</v>
      </c>
      <c r="E7" s="785"/>
      <c r="F7" s="785"/>
      <c r="G7" s="786"/>
      <c r="H7" s="383"/>
      <c r="J7" s="29"/>
      <c r="K7" s="29" t="s">
        <v>426</v>
      </c>
    </row>
    <row r="8" spans="1:16" ht="15.6" thickBot="1">
      <c r="A8" s="380"/>
      <c r="B8" s="315"/>
      <c r="C8" s="281"/>
      <c r="D8" s="281"/>
      <c r="E8" s="281"/>
      <c r="F8" s="281"/>
      <c r="G8" s="282"/>
      <c r="H8" s="283"/>
    </row>
    <row r="9" spans="1:16" ht="16.2" thickBot="1">
      <c r="A9" s="384" t="s">
        <v>126</v>
      </c>
      <c r="B9" s="145"/>
      <c r="C9" s="145"/>
      <c r="D9" s="145"/>
      <c r="E9" s="145"/>
      <c r="F9" s="146"/>
      <c r="G9" s="16"/>
      <c r="H9" s="385"/>
    </row>
    <row r="10" spans="1:16">
      <c r="A10" s="380"/>
      <c r="B10" s="316"/>
      <c r="C10" s="281"/>
      <c r="D10" s="281"/>
      <c r="E10" s="281"/>
      <c r="F10" s="281"/>
      <c r="G10" s="282"/>
      <c r="H10" s="283"/>
    </row>
    <row r="11" spans="1:16" ht="15.75" customHeight="1">
      <c r="A11" s="963" t="s">
        <v>0</v>
      </c>
      <c r="B11" s="964"/>
      <c r="C11" s="153"/>
      <c r="D11" s="985" t="s">
        <v>4</v>
      </c>
      <c r="E11" s="984" t="s">
        <v>81</v>
      </c>
      <c r="F11" s="984" t="s">
        <v>21</v>
      </c>
      <c r="G11" s="317"/>
      <c r="H11" s="386"/>
    </row>
    <row r="12" spans="1:16" ht="15.75" customHeight="1">
      <c r="A12" s="965"/>
      <c r="B12" s="966"/>
      <c r="C12" s="154"/>
      <c r="D12" s="986"/>
      <c r="E12" s="984"/>
      <c r="F12" s="984"/>
      <c r="G12" s="317"/>
      <c r="H12" s="386"/>
    </row>
    <row r="13" spans="1:16" s="29" customFormat="1" ht="15.6">
      <c r="A13" s="387" t="s">
        <v>128</v>
      </c>
      <c r="B13" s="180"/>
      <c r="C13" s="180"/>
      <c r="D13" s="180"/>
      <c r="E13" s="183"/>
      <c r="F13" s="183"/>
      <c r="G13" s="318"/>
      <c r="H13" s="388"/>
      <c r="O13" s="45"/>
      <c r="P13" s="45"/>
    </row>
    <row r="14" spans="1:16">
      <c r="A14" s="389">
        <v>1</v>
      </c>
      <c r="B14" s="987" t="s">
        <v>287</v>
      </c>
      <c r="C14" s="851"/>
      <c r="D14" s="149" t="s">
        <v>2</v>
      </c>
      <c r="E14" s="54" t="s">
        <v>50</v>
      </c>
      <c r="F14" s="30"/>
      <c r="G14" s="278"/>
      <c r="H14" s="304"/>
      <c r="I14" s="148" t="s">
        <v>143</v>
      </c>
      <c r="K14" s="152" t="str">
        <f>IF(F14&lt;65%,"Min. 65% coverage"," ")</f>
        <v>Min. 65% coverage</v>
      </c>
    </row>
    <row r="15" spans="1:16" ht="30.75" customHeight="1">
      <c r="A15" s="389">
        <v>2</v>
      </c>
      <c r="B15" s="987" t="s">
        <v>376</v>
      </c>
      <c r="C15" s="851"/>
      <c r="D15" s="150" t="s">
        <v>51</v>
      </c>
      <c r="E15" s="31" t="s">
        <v>50</v>
      </c>
      <c r="F15" s="547"/>
      <c r="G15" s="278"/>
      <c r="H15" s="283"/>
      <c r="I15" s="148" t="s">
        <v>144</v>
      </c>
      <c r="K15" s="152" t="str">
        <f>IF(F15&lt;65%,"Min. 80% coverage"," ")</f>
        <v>Min. 80% coverage</v>
      </c>
    </row>
    <row r="16" spans="1:16" ht="15" customHeight="1">
      <c r="A16" s="389">
        <v>3</v>
      </c>
      <c r="B16" s="987" t="s">
        <v>375</v>
      </c>
      <c r="C16" s="851"/>
      <c r="D16" s="150" t="s">
        <v>51</v>
      </c>
      <c r="E16" s="31" t="s">
        <v>50</v>
      </c>
      <c r="F16" s="547"/>
      <c r="G16" s="278"/>
      <c r="H16" s="386"/>
      <c r="I16" s="3" t="s">
        <v>143</v>
      </c>
      <c r="K16" s="152" t="str">
        <f>IF(F16&lt;65%,"Min. 65% coverage"," ")</f>
        <v>Min. 65% coverage</v>
      </c>
    </row>
    <row r="17" spans="1:19">
      <c r="A17" s="389">
        <v>4</v>
      </c>
      <c r="B17" s="886" t="s">
        <v>191</v>
      </c>
      <c r="C17" s="884"/>
      <c r="D17" s="147" t="s">
        <v>3</v>
      </c>
      <c r="E17" s="31" t="s">
        <v>50</v>
      </c>
      <c r="F17" s="547"/>
      <c r="G17" s="278"/>
      <c r="H17" s="386"/>
      <c r="I17" s="3" t="s">
        <v>145</v>
      </c>
      <c r="K17" s="152" t="str">
        <f>IF(F17&lt;65%,"Min. 65% coverage"," ")</f>
        <v>Min. 65% coverage</v>
      </c>
    </row>
    <row r="18" spans="1:19" s="29" customFormat="1" ht="15.6">
      <c r="A18" s="390" t="s">
        <v>127</v>
      </c>
      <c r="B18" s="180"/>
      <c r="C18" s="180"/>
      <c r="D18" s="180"/>
      <c r="E18" s="181"/>
      <c r="F18" s="182"/>
      <c r="G18" s="319"/>
      <c r="H18" s="388"/>
      <c r="K18" s="10"/>
      <c r="O18" s="45"/>
      <c r="P18" s="45"/>
    </row>
    <row r="19" spans="1:19" ht="32.25" customHeight="1">
      <c r="A19" s="391">
        <v>5</v>
      </c>
      <c r="B19" s="873" t="s">
        <v>288</v>
      </c>
      <c r="C19" s="989"/>
      <c r="D19" s="151" t="s">
        <v>3</v>
      </c>
      <c r="E19" s="536"/>
      <c r="F19" s="31">
        <f>IFERROR(E19/$F$115,0)</f>
        <v>0</v>
      </c>
      <c r="G19" s="278"/>
      <c r="H19" s="386"/>
      <c r="I19" s="3" t="s">
        <v>144</v>
      </c>
      <c r="K19" s="152" t="str">
        <f>IF($A$7=$K$2,IF(E19=0,"Please input wall length"," ")," ")</f>
        <v>Please input wall length</v>
      </c>
    </row>
    <row r="20" spans="1:19">
      <c r="A20" s="391">
        <v>6</v>
      </c>
      <c r="B20" s="987" t="s">
        <v>289</v>
      </c>
      <c r="C20" s="851"/>
      <c r="D20" s="190" t="s">
        <v>51</v>
      </c>
      <c r="E20" s="31" t="s">
        <v>50</v>
      </c>
      <c r="F20" s="30"/>
      <c r="G20" s="278"/>
      <c r="H20" s="386"/>
      <c r="I20" s="3" t="s">
        <v>144</v>
      </c>
      <c r="K20" s="152" t="str">
        <f>IF($A$7=$K$2,IF(F20&lt;65%,"Min. 65% coverage"," ")," ")</f>
        <v>Min. 65% coverage</v>
      </c>
    </row>
    <row r="21" spans="1:19">
      <c r="A21" s="391">
        <v>7</v>
      </c>
      <c r="B21" s="886" t="s">
        <v>306</v>
      </c>
      <c r="C21" s="884"/>
      <c r="D21" s="150" t="s">
        <v>51</v>
      </c>
      <c r="E21" s="31" t="s">
        <v>50</v>
      </c>
      <c r="F21" s="547"/>
      <c r="G21" s="278"/>
      <c r="H21" s="386"/>
      <c r="I21" s="3" t="s">
        <v>143</v>
      </c>
      <c r="K21" s="152" t="str">
        <f>IF($A$7=$K$2,IF(F21&lt;65%,"Min. 65% coverage"," ")," ")</f>
        <v>Min. 65% coverage</v>
      </c>
    </row>
    <row r="22" spans="1:19">
      <c r="A22" s="391" t="s">
        <v>308</v>
      </c>
      <c r="B22" s="886" t="s">
        <v>307</v>
      </c>
      <c r="C22" s="884"/>
      <c r="D22" s="150" t="s">
        <v>51</v>
      </c>
      <c r="E22" s="31" t="s">
        <v>50</v>
      </c>
      <c r="F22" s="547"/>
      <c r="G22" s="278"/>
      <c r="H22" s="386"/>
      <c r="K22" s="152"/>
    </row>
    <row r="23" spans="1:19">
      <c r="A23" s="380"/>
      <c r="B23" s="281"/>
      <c r="C23" s="281"/>
      <c r="D23" s="281"/>
      <c r="E23" s="281"/>
      <c r="F23" s="281"/>
      <c r="G23" s="282"/>
      <c r="H23" s="283"/>
      <c r="K23" s="6"/>
    </row>
    <row r="24" spans="1:19" ht="15.6">
      <c r="A24" s="392" t="s">
        <v>44</v>
      </c>
      <c r="B24" s="169"/>
      <c r="C24" s="169"/>
      <c r="D24" s="169"/>
      <c r="E24" s="169"/>
      <c r="F24" s="170" t="s">
        <v>43</v>
      </c>
      <c r="G24" s="171">
        <f>VLOOKUP($A$7,'Manpower allocation'!A4:D11,2,FALSE)*100</f>
        <v>45</v>
      </c>
      <c r="H24" s="393" t="s">
        <v>42</v>
      </c>
      <c r="J24" s="497">
        <f>VLOOKUP($A$7,'Manpower allocation'!A4:D11,2,FALSE)*100</f>
        <v>45</v>
      </c>
      <c r="K24" s="6"/>
    </row>
    <row r="25" spans="1:19" ht="15.6">
      <c r="A25" s="380"/>
      <c r="B25" s="320"/>
      <c r="C25" s="321"/>
      <c r="D25" s="281"/>
      <c r="E25" s="281"/>
      <c r="F25" s="281"/>
      <c r="G25" s="282"/>
      <c r="H25" s="283"/>
      <c r="K25" s="6"/>
    </row>
    <row r="26" spans="1:19" s="29" customFormat="1" ht="46.8">
      <c r="A26" s="394" t="s">
        <v>0</v>
      </c>
      <c r="B26" s="41"/>
      <c r="C26" s="41"/>
      <c r="D26" s="42"/>
      <c r="E26" s="43" t="s">
        <v>17</v>
      </c>
      <c r="F26" s="43" t="s">
        <v>114</v>
      </c>
      <c r="G26" s="43" t="s">
        <v>18</v>
      </c>
      <c r="H26" s="395" t="s">
        <v>53</v>
      </c>
      <c r="K26" s="44"/>
      <c r="R26" s="45"/>
      <c r="S26" s="45"/>
    </row>
    <row r="27" spans="1:19" s="29" customFormat="1" ht="15.6">
      <c r="A27" s="396" t="s">
        <v>198</v>
      </c>
      <c r="B27" s="46" t="s">
        <v>214</v>
      </c>
      <c r="C27" s="47"/>
      <c r="D27" s="47"/>
      <c r="E27" s="48"/>
      <c r="F27" s="48"/>
      <c r="G27" s="48"/>
      <c r="H27" s="397"/>
      <c r="R27" s="45"/>
      <c r="S27" s="45"/>
    </row>
    <row r="28" spans="1:19" s="29" customFormat="1" ht="15.6">
      <c r="A28" s="398">
        <v>1</v>
      </c>
      <c r="B28" s="40" t="s">
        <v>338</v>
      </c>
      <c r="C28" s="41"/>
      <c r="D28" s="49"/>
      <c r="E28" s="41"/>
      <c r="F28" s="50"/>
      <c r="G28" s="50"/>
      <c r="H28" s="399"/>
      <c r="R28" s="45"/>
      <c r="S28" s="45"/>
    </row>
    <row r="29" spans="1:19" s="29" customFormat="1">
      <c r="A29" s="980">
        <v>1.1000000000000001</v>
      </c>
      <c r="B29" s="852" t="s">
        <v>290</v>
      </c>
      <c r="C29" s="988"/>
      <c r="D29" s="988"/>
      <c r="E29" s="904">
        <f>VLOOKUP(A29,'Point Allocation'!$A$5:$J$15,MATCH(A7,'Point Allocation'!$A$5:$J$5,0),0)</f>
        <v>45</v>
      </c>
      <c r="F29" s="1014"/>
      <c r="G29" s="1015">
        <f>IFERROR(F29/$F$56,0)</f>
        <v>0</v>
      </c>
      <c r="H29" s="909">
        <f>E29*G29</f>
        <v>0</v>
      </c>
      <c r="R29" s="45"/>
      <c r="S29" s="45"/>
    </row>
    <row r="30" spans="1:19" s="29" customFormat="1" ht="15.6">
      <c r="A30" s="981"/>
      <c r="B30" s="998" t="s">
        <v>401</v>
      </c>
      <c r="C30" s="998"/>
      <c r="D30" s="998"/>
      <c r="E30" s="904"/>
      <c r="F30" s="1014"/>
      <c r="G30" s="1015">
        <f t="shared" ref="G30" si="0">IFERROR(F30/$F$56,0)</f>
        <v>0</v>
      </c>
      <c r="H30" s="909"/>
      <c r="R30" s="45"/>
      <c r="S30" s="45"/>
    </row>
    <row r="31" spans="1:19" s="29" customFormat="1" ht="15.6">
      <c r="A31" s="398">
        <v>2</v>
      </c>
      <c r="B31" s="40" t="s">
        <v>339</v>
      </c>
      <c r="C31" s="51"/>
      <c r="D31" s="49"/>
      <c r="E31" s="52"/>
      <c r="F31" s="8"/>
      <c r="G31" s="22"/>
      <c r="H31" s="400"/>
      <c r="R31" s="53"/>
      <c r="S31" s="45"/>
    </row>
    <row r="32" spans="1:19" s="29" customFormat="1">
      <c r="A32" s="401">
        <v>2.1</v>
      </c>
      <c r="B32" s="885" t="s">
        <v>203</v>
      </c>
      <c r="C32" s="886"/>
      <c r="D32" s="884"/>
      <c r="E32" s="20">
        <f>VLOOKUP(A32,'Point Allocation'!$A$5:$J$15,MATCH(A7,'Point Allocation'!$A$5:$J$5,0),0)</f>
        <v>42</v>
      </c>
      <c r="F32" s="536"/>
      <c r="G32" s="31">
        <f>IFERROR(F32/$F$56,0)</f>
        <v>0</v>
      </c>
      <c r="H32" s="405">
        <f>E32*G32</f>
        <v>0</v>
      </c>
      <c r="R32" s="53"/>
      <c r="S32" s="45"/>
    </row>
    <row r="33" spans="1:19" s="29" customFormat="1" ht="15.6">
      <c r="A33" s="398">
        <v>3</v>
      </c>
      <c r="B33" s="40" t="s">
        <v>340</v>
      </c>
      <c r="C33" s="51"/>
      <c r="D33" s="49"/>
      <c r="E33" s="52"/>
      <c r="F33" s="8"/>
      <c r="G33" s="22"/>
      <c r="H33" s="400"/>
      <c r="R33" s="53"/>
      <c r="S33" s="45"/>
    </row>
    <row r="34" spans="1:19" s="29" customFormat="1" ht="15" customHeight="1">
      <c r="A34" s="401">
        <v>3.1</v>
      </c>
      <c r="B34" s="885" t="s">
        <v>587</v>
      </c>
      <c r="C34" s="886"/>
      <c r="D34" s="884"/>
      <c r="E34" s="20">
        <f>VLOOKUP(A34,'Point Allocation'!$A$5:$J$15,MATCH(A7,'Point Allocation'!$A$5:$J$5,0),0)</f>
        <v>39</v>
      </c>
      <c r="F34" s="37"/>
      <c r="G34" s="31">
        <f>IFERROR(F34/$F$56,0)</f>
        <v>0</v>
      </c>
      <c r="H34" s="419">
        <f>E34*G34</f>
        <v>0</v>
      </c>
      <c r="R34" s="53"/>
      <c r="S34" s="45"/>
    </row>
    <row r="35" spans="1:19" s="29" customFormat="1" ht="31.5" customHeight="1">
      <c r="A35" s="967">
        <v>3.2</v>
      </c>
      <c r="B35" s="969" t="s">
        <v>330</v>
      </c>
      <c r="C35" s="970"/>
      <c r="D35" s="971"/>
      <c r="E35" s="910">
        <f>VLOOKUP(A35,'Point Allocation'!$A$5:$J$15,MATCH(A7,'Point Allocation'!$A$5:$J$5,0),0)</f>
        <v>39</v>
      </c>
      <c r="F35" s="37"/>
      <c r="G35" s="31">
        <f>IFERROR(F35/$F$56,0)</f>
        <v>0</v>
      </c>
      <c r="H35" s="945">
        <f>IF(SUM(J37:J42)&gt;=4,E35*G35,0)</f>
        <v>0</v>
      </c>
      <c r="R35" s="53"/>
      <c r="S35" s="45"/>
    </row>
    <row r="36" spans="1:19" s="29" customFormat="1" ht="31.5" customHeight="1">
      <c r="A36" s="968"/>
      <c r="B36" s="972"/>
      <c r="C36" s="973"/>
      <c r="D36" s="974"/>
      <c r="E36" s="911"/>
      <c r="F36" s="9" t="s">
        <v>130</v>
      </c>
      <c r="G36" s="54" t="s">
        <v>117</v>
      </c>
      <c r="H36" s="947"/>
      <c r="R36" s="53"/>
      <c r="S36" s="45"/>
    </row>
    <row r="37" spans="1:19" s="29" customFormat="1" ht="89.25" customHeight="1">
      <c r="A37" s="402" t="s">
        <v>192</v>
      </c>
      <c r="B37" s="1016" t="s">
        <v>359</v>
      </c>
      <c r="C37" s="1017"/>
      <c r="D37" s="1018"/>
      <c r="E37" s="958"/>
      <c r="F37" s="187" t="s">
        <v>131</v>
      </c>
      <c r="G37" s="546"/>
      <c r="H37" s="946"/>
      <c r="J37" s="55">
        <f t="shared" ref="J37:J42" si="1">IF(G37&gt;=65%,1,0)</f>
        <v>0</v>
      </c>
      <c r="R37" s="53"/>
      <c r="S37" s="45"/>
    </row>
    <row r="38" spans="1:19" s="29" customFormat="1" ht="33.75" customHeight="1">
      <c r="A38" s="402" t="s">
        <v>193</v>
      </c>
      <c r="B38" s="871" t="s">
        <v>215</v>
      </c>
      <c r="C38" s="872"/>
      <c r="D38" s="873"/>
      <c r="E38" s="958"/>
      <c r="F38" s="39" t="s">
        <v>132</v>
      </c>
      <c r="G38" s="547"/>
      <c r="H38" s="946"/>
      <c r="J38" s="55">
        <f t="shared" si="1"/>
        <v>0</v>
      </c>
      <c r="R38" s="53"/>
      <c r="S38" s="45"/>
    </row>
    <row r="39" spans="1:19" s="29" customFormat="1" ht="48.75" customHeight="1">
      <c r="A39" s="402" t="s">
        <v>201</v>
      </c>
      <c r="B39" s="871" t="s">
        <v>216</v>
      </c>
      <c r="C39" s="872"/>
      <c r="D39" s="873"/>
      <c r="E39" s="958"/>
      <c r="F39" s="39" t="s">
        <v>133</v>
      </c>
      <c r="G39" s="547"/>
      <c r="H39" s="946"/>
      <c r="J39" s="55">
        <f t="shared" si="1"/>
        <v>0</v>
      </c>
      <c r="R39" s="53"/>
      <c r="S39" s="45"/>
    </row>
    <row r="40" spans="1:19" s="29" customFormat="1" ht="45">
      <c r="A40" s="402" t="s">
        <v>194</v>
      </c>
      <c r="B40" s="871" t="s">
        <v>217</v>
      </c>
      <c r="C40" s="872"/>
      <c r="D40" s="873"/>
      <c r="E40" s="958"/>
      <c r="F40" s="39" t="s">
        <v>134</v>
      </c>
      <c r="G40" s="547"/>
      <c r="H40" s="946"/>
      <c r="J40" s="55">
        <f t="shared" si="1"/>
        <v>0</v>
      </c>
      <c r="R40" s="53"/>
      <c r="S40" s="45"/>
    </row>
    <row r="41" spans="1:19" s="29" customFormat="1" ht="48.75" customHeight="1">
      <c r="A41" s="402" t="s">
        <v>202</v>
      </c>
      <c r="B41" s="871" t="s">
        <v>218</v>
      </c>
      <c r="C41" s="872"/>
      <c r="D41" s="873"/>
      <c r="E41" s="958"/>
      <c r="F41" s="39" t="s">
        <v>135</v>
      </c>
      <c r="G41" s="547"/>
      <c r="H41" s="946"/>
      <c r="J41" s="55">
        <f t="shared" si="1"/>
        <v>0</v>
      </c>
      <c r="R41" s="53"/>
      <c r="S41" s="45"/>
    </row>
    <row r="42" spans="1:19" s="29" customFormat="1" ht="31.5" customHeight="1">
      <c r="A42" s="402" t="s">
        <v>195</v>
      </c>
      <c r="B42" s="975" t="s">
        <v>345</v>
      </c>
      <c r="C42" s="976"/>
      <c r="D42" s="977"/>
      <c r="E42" s="959"/>
      <c r="F42" s="39" t="s">
        <v>136</v>
      </c>
      <c r="G42" s="547"/>
      <c r="H42" s="947"/>
      <c r="J42" s="55">
        <f t="shared" si="1"/>
        <v>0</v>
      </c>
      <c r="R42" s="53"/>
      <c r="S42" s="45"/>
    </row>
    <row r="43" spans="1:19" s="29" customFormat="1" ht="15.6">
      <c r="A43" s="398" t="s">
        <v>196</v>
      </c>
      <c r="B43" s="40" t="s">
        <v>341</v>
      </c>
      <c r="C43" s="56"/>
      <c r="D43" s="49"/>
      <c r="E43" s="52"/>
      <c r="F43" s="36"/>
      <c r="G43" s="23"/>
      <c r="H43" s="403"/>
      <c r="R43" s="53"/>
      <c r="S43" s="45"/>
    </row>
    <row r="44" spans="1:19" s="29" customFormat="1" ht="31.5" customHeight="1">
      <c r="A44" s="404">
        <v>4.0999999999999996</v>
      </c>
      <c r="B44" s="885" t="s">
        <v>331</v>
      </c>
      <c r="C44" s="886"/>
      <c r="D44" s="884"/>
      <c r="E44" s="20">
        <f>VLOOKUP(A44,'Point Allocation'!$A$5:$J$15,MATCH(A7,'Point Allocation'!$A$5:$J$5,0),0)</f>
        <v>35</v>
      </c>
      <c r="F44" s="536"/>
      <c r="G44" s="31">
        <f>IFERROR(F44/$F$56,0)</f>
        <v>0</v>
      </c>
      <c r="H44" s="405">
        <f>E44*G44</f>
        <v>0</v>
      </c>
      <c r="R44" s="53"/>
      <c r="S44" s="45"/>
    </row>
    <row r="45" spans="1:19" s="29" customFormat="1">
      <c r="A45" s="406">
        <v>4.2</v>
      </c>
      <c r="B45" s="928" t="s">
        <v>348</v>
      </c>
      <c r="C45" s="990"/>
      <c r="D45" s="929"/>
      <c r="E45" s="20">
        <f>VLOOKUP(A45,'Point Allocation'!$A$5:$J$15,MATCH(A7,'Point Allocation'!$A$5:$J$5,0),0)</f>
        <v>35</v>
      </c>
      <c r="F45" s="536"/>
      <c r="G45" s="31">
        <f>IFERROR(F45/$F$56,0)</f>
        <v>0</v>
      </c>
      <c r="H45" s="405">
        <f>E45*G45</f>
        <v>0</v>
      </c>
      <c r="R45" s="53"/>
      <c r="S45" s="45"/>
    </row>
    <row r="46" spans="1:19" s="29" customFormat="1">
      <c r="A46" s="406">
        <v>4.3</v>
      </c>
      <c r="B46" s="960" t="s">
        <v>346</v>
      </c>
      <c r="C46" s="961"/>
      <c r="D46" s="962"/>
      <c r="E46" s="20">
        <f>VLOOKUP(A46,'Point Allocation'!$A$5:$J$15,MATCH(A7,'Point Allocation'!$A$5:$J$5,0),0)</f>
        <v>28</v>
      </c>
      <c r="F46" s="536"/>
      <c r="G46" s="31">
        <f>IFERROR(F46/$F$56,0)</f>
        <v>0</v>
      </c>
      <c r="H46" s="405">
        <f>E46*G46</f>
        <v>0</v>
      </c>
      <c r="R46" s="53"/>
      <c r="S46" s="45"/>
    </row>
    <row r="47" spans="1:19" s="29" customFormat="1">
      <c r="A47" s="404">
        <v>4.4000000000000004</v>
      </c>
      <c r="B47" s="885" t="s">
        <v>347</v>
      </c>
      <c r="C47" s="886"/>
      <c r="D47" s="884"/>
      <c r="E47" s="20">
        <f>VLOOKUP(A47,'Point Allocation'!$A$5:$J$15,MATCH(A7,'Point Allocation'!$A$5:$J$5,0),0)</f>
        <v>28</v>
      </c>
      <c r="F47" s="536"/>
      <c r="G47" s="31">
        <f>IFERROR(F47/$F$56,0)</f>
        <v>0</v>
      </c>
      <c r="H47" s="405">
        <f>E47*G47</f>
        <v>0</v>
      </c>
      <c r="R47" s="53"/>
      <c r="S47" s="45"/>
    </row>
    <row r="48" spans="1:19" s="59" customFormat="1" ht="15.6">
      <c r="A48" s="396" t="s">
        <v>197</v>
      </c>
      <c r="B48" s="46" t="s">
        <v>211</v>
      </c>
      <c r="C48" s="57"/>
      <c r="D48" s="58"/>
      <c r="E48" s="7"/>
      <c r="F48" s="7"/>
      <c r="G48" s="24"/>
      <c r="H48" s="407"/>
      <c r="J48" s="29"/>
      <c r="K48" s="29"/>
      <c r="L48" s="29"/>
      <c r="M48" s="29"/>
      <c r="N48" s="29"/>
      <c r="R48" s="60"/>
    </row>
    <row r="49" spans="1:19" s="59" customFormat="1" ht="15.6">
      <c r="A49" s="408">
        <v>5</v>
      </c>
      <c r="B49" s="40" t="s">
        <v>212</v>
      </c>
      <c r="C49" s="49"/>
      <c r="D49" s="49"/>
      <c r="E49" s="8"/>
      <c r="F49" s="8"/>
      <c r="G49" s="22"/>
      <c r="H49" s="403"/>
      <c r="J49" s="29"/>
      <c r="K49" s="29"/>
      <c r="L49" s="29"/>
      <c r="M49" s="29"/>
      <c r="N49" s="29"/>
      <c r="R49" s="60"/>
    </row>
    <row r="50" spans="1:19" s="29" customFormat="1">
      <c r="A50" s="409">
        <v>5.0999999999999996</v>
      </c>
      <c r="B50" s="844" t="s">
        <v>204</v>
      </c>
      <c r="C50" s="846"/>
      <c r="D50" s="845"/>
      <c r="E50" s="20">
        <f>VLOOKUP(A50,'Point Allocation'!$A$5:$J$15,MATCH(A7,'Point Allocation'!$A$5:$J$5,0),0)</f>
        <v>22</v>
      </c>
      <c r="F50" s="536"/>
      <c r="G50" s="31">
        <f>IFERROR(F50/$F$56,0)</f>
        <v>0</v>
      </c>
      <c r="H50" s="405">
        <f>E50*G50</f>
        <v>0</v>
      </c>
      <c r="R50" s="53"/>
      <c r="S50" s="45"/>
    </row>
    <row r="51" spans="1:19" s="29" customFormat="1">
      <c r="A51" s="409">
        <v>5.2</v>
      </c>
      <c r="B51" s="844" t="s">
        <v>151</v>
      </c>
      <c r="C51" s="846"/>
      <c r="D51" s="845"/>
      <c r="E51" s="20">
        <f>VLOOKUP(A51,'Point Allocation'!$A$5:$J$15,MATCH(A7,'Point Allocation'!$A$5:$J$5,0),0)</f>
        <v>10</v>
      </c>
      <c r="F51" s="536"/>
      <c r="G51" s="31">
        <f>IFERROR(F51/$F$56,0)</f>
        <v>0</v>
      </c>
      <c r="H51" s="405">
        <f>E51*G51</f>
        <v>0</v>
      </c>
      <c r="R51" s="53"/>
      <c r="S51" s="45"/>
    </row>
    <row r="52" spans="1:19" s="29" customFormat="1" ht="15.6">
      <c r="A52" s="410">
        <v>6</v>
      </c>
      <c r="B52" s="61" t="s">
        <v>213</v>
      </c>
      <c r="C52" s="49"/>
      <c r="D52" s="49"/>
      <c r="E52" s="8"/>
      <c r="F52" s="8"/>
      <c r="G52" s="22"/>
      <c r="H52" s="403"/>
      <c r="R52" s="53"/>
      <c r="S52" s="45"/>
    </row>
    <row r="53" spans="1:19" s="29" customFormat="1">
      <c r="A53" s="411">
        <v>6.1</v>
      </c>
      <c r="B53" s="826"/>
      <c r="C53" s="821"/>
      <c r="D53" s="847"/>
      <c r="E53" s="536"/>
      <c r="F53" s="536"/>
      <c r="G53" s="31">
        <f>IFERROR(F53/$F$56,0)</f>
        <v>0</v>
      </c>
      <c r="H53" s="405">
        <f>E53*G53</f>
        <v>0</v>
      </c>
      <c r="R53" s="53"/>
      <c r="S53" s="45"/>
    </row>
    <row r="54" spans="1:19" s="29" customFormat="1">
      <c r="A54" s="411">
        <v>6.2</v>
      </c>
      <c r="B54" s="826"/>
      <c r="C54" s="821"/>
      <c r="D54" s="847"/>
      <c r="E54" s="536"/>
      <c r="F54" s="536"/>
      <c r="G54" s="31">
        <f>IFERROR(F54/$F$56,0)</f>
        <v>0</v>
      </c>
      <c r="H54" s="405">
        <f>E54*G54</f>
        <v>0</v>
      </c>
      <c r="R54" s="53"/>
      <c r="S54" s="45"/>
    </row>
    <row r="55" spans="1:19" s="29" customFormat="1">
      <c r="A55" s="411">
        <v>6.3</v>
      </c>
      <c r="B55" s="826"/>
      <c r="C55" s="821"/>
      <c r="D55" s="847"/>
      <c r="E55" s="536"/>
      <c r="F55" s="536"/>
      <c r="G55" s="31">
        <f>IFERROR(F55/$F$56,0)</f>
        <v>0</v>
      </c>
      <c r="H55" s="405">
        <f>E55*G55</f>
        <v>0</v>
      </c>
      <c r="R55" s="53"/>
      <c r="S55" s="45"/>
    </row>
    <row r="56" spans="1:19" s="29" customFormat="1" ht="15.6">
      <c r="A56" s="412"/>
      <c r="B56" s="322"/>
      <c r="C56" s="323"/>
      <c r="D56" s="323"/>
      <c r="E56" s="324" t="s">
        <v>61</v>
      </c>
      <c r="F56" s="26">
        <f>SUM(F29,F32,F34,F35,F44,F45,F46,F47,F50,F51,F53,F54,F55)</f>
        <v>0</v>
      </c>
      <c r="G56" s="25">
        <f>SUM(G29,G32:G32,G34:G35,G44:G47,G50:G51,G53:G55)</f>
        <v>0</v>
      </c>
      <c r="H56" s="413">
        <f>IFERROR(SUM(H29:H55),0)</f>
        <v>0</v>
      </c>
      <c r="N56" s="62"/>
      <c r="R56" s="53"/>
      <c r="S56" s="45"/>
    </row>
    <row r="57" spans="1:19" s="29" customFormat="1" ht="15.6" thickBot="1">
      <c r="A57" s="491"/>
      <c r="B57" s="492"/>
      <c r="C57" s="493"/>
      <c r="D57" s="493"/>
      <c r="E57" s="493"/>
      <c r="F57" s="493"/>
      <c r="G57" s="480"/>
      <c r="H57" s="639"/>
      <c r="R57" s="53"/>
      <c r="S57" s="45"/>
    </row>
    <row r="58" spans="1:19" s="29" customFormat="1" ht="15.6">
      <c r="A58" s="954" t="s">
        <v>0</v>
      </c>
      <c r="B58" s="955"/>
      <c r="C58" s="646"/>
      <c r="D58" s="978" t="s">
        <v>4</v>
      </c>
      <c r="E58" s="952" t="s">
        <v>1</v>
      </c>
      <c r="F58" s="953"/>
      <c r="G58" s="948" t="s">
        <v>21</v>
      </c>
      <c r="H58" s="950" t="s">
        <v>63</v>
      </c>
      <c r="R58" s="53"/>
      <c r="S58" s="45"/>
    </row>
    <row r="59" spans="1:19" s="29" customFormat="1" ht="31.2">
      <c r="A59" s="956"/>
      <c r="B59" s="957"/>
      <c r="C59" s="63"/>
      <c r="D59" s="979"/>
      <c r="E59" s="43" t="s">
        <v>118</v>
      </c>
      <c r="F59" s="43" t="s">
        <v>119</v>
      </c>
      <c r="G59" s="949"/>
      <c r="H59" s="951"/>
      <c r="J59" s="64"/>
      <c r="R59" s="53"/>
      <c r="S59" s="45"/>
    </row>
    <row r="60" spans="1:19" s="29" customFormat="1" ht="15.6">
      <c r="A60" s="415" t="s">
        <v>219</v>
      </c>
      <c r="B60" s="46" t="s">
        <v>148</v>
      </c>
      <c r="C60" s="58"/>
      <c r="D60" s="65"/>
      <c r="E60" s="48"/>
      <c r="F60" s="48"/>
      <c r="G60" s="48"/>
      <c r="H60" s="416"/>
      <c r="J60" s="62"/>
      <c r="K60" s="62"/>
      <c r="L60" s="62"/>
      <c r="M60" s="62"/>
      <c r="R60" s="53"/>
      <c r="S60" s="45"/>
    </row>
    <row r="61" spans="1:19" s="29" customFormat="1" ht="15" customHeight="1">
      <c r="A61" s="417" t="s">
        <v>349</v>
      </c>
      <c r="B61" s="850" t="s">
        <v>595</v>
      </c>
      <c r="C61" s="851"/>
      <c r="D61" s="5" t="s">
        <v>51</v>
      </c>
      <c r="E61" s="9">
        <v>3</v>
      </c>
      <c r="F61" s="9">
        <v>4</v>
      </c>
      <c r="G61" s="66"/>
      <c r="H61" s="405">
        <f>IF(G61&gt;=80%,F61,IF(G61&lt;65%,0,E61))</f>
        <v>0</v>
      </c>
      <c r="R61" s="53"/>
      <c r="S61" s="45"/>
    </row>
    <row r="62" spans="1:19" s="29" customFormat="1">
      <c r="A62" s="417" t="s">
        <v>350</v>
      </c>
      <c r="B62" s="850" t="s">
        <v>596</v>
      </c>
      <c r="C62" s="851"/>
      <c r="D62" s="5" t="s">
        <v>51</v>
      </c>
      <c r="E62" s="9">
        <v>3</v>
      </c>
      <c r="F62" s="9">
        <v>4</v>
      </c>
      <c r="G62" s="66"/>
      <c r="H62" s="405">
        <f>IF(G62&gt;=80%,F62,IF(G62&lt;65%,0,E62))</f>
        <v>0</v>
      </c>
      <c r="R62" s="53"/>
      <c r="S62" s="45"/>
    </row>
    <row r="63" spans="1:19" s="29" customFormat="1">
      <c r="A63" s="418" t="s">
        <v>351</v>
      </c>
      <c r="B63" s="850" t="s">
        <v>588</v>
      </c>
      <c r="C63" s="851"/>
      <c r="D63" s="5" t="s">
        <v>51</v>
      </c>
      <c r="E63" s="9">
        <v>3</v>
      </c>
      <c r="F63" s="9">
        <v>4</v>
      </c>
      <c r="G63" s="66"/>
      <c r="H63" s="405">
        <f>IF(G63&gt;=80%,F63,IF(G63&lt;65%,0,E63))</f>
        <v>0</v>
      </c>
      <c r="R63" s="53"/>
      <c r="S63" s="45"/>
    </row>
    <row r="64" spans="1:19" s="29" customFormat="1" ht="51" customHeight="1">
      <c r="A64" s="417">
        <v>7.2</v>
      </c>
      <c r="B64" s="1019" t="s">
        <v>354</v>
      </c>
      <c r="C64" s="1019"/>
      <c r="D64" s="518" t="s">
        <v>51</v>
      </c>
      <c r="E64" s="540">
        <v>2</v>
      </c>
      <c r="F64" s="540">
        <v>2.5</v>
      </c>
      <c r="G64" s="516"/>
      <c r="H64" s="419">
        <f>IF(H35&gt;0,0,IF(G64&gt;=80%,F64,IF(G64&lt;65%,0,E64)))</f>
        <v>0</v>
      </c>
      <c r="J64" s="11"/>
      <c r="K64" s="11"/>
      <c r="L64" s="11"/>
      <c r="R64" s="53"/>
      <c r="S64" s="45"/>
    </row>
    <row r="65" spans="1:19" s="29" customFormat="1" ht="15" customHeight="1">
      <c r="A65" s="417">
        <v>7.3</v>
      </c>
      <c r="B65" s="885" t="s">
        <v>226</v>
      </c>
      <c r="C65" s="886"/>
      <c r="D65" s="375"/>
      <c r="E65" s="375"/>
      <c r="F65" s="375"/>
      <c r="G65" s="375"/>
      <c r="H65" s="420"/>
      <c r="J65" s="11"/>
      <c r="K65" s="11"/>
      <c r="L65" s="11"/>
      <c r="R65" s="53"/>
      <c r="S65" s="45"/>
    </row>
    <row r="66" spans="1:19" s="29" customFormat="1" ht="32.25" customHeight="1">
      <c r="A66" s="418" t="s">
        <v>220</v>
      </c>
      <c r="B66" s="883" t="s">
        <v>227</v>
      </c>
      <c r="C66" s="884"/>
      <c r="D66" s="856" t="s">
        <v>51</v>
      </c>
      <c r="E66" s="296">
        <v>1</v>
      </c>
      <c r="F66" s="296">
        <v>1.5</v>
      </c>
      <c r="G66" s="67"/>
      <c r="H66" s="298">
        <f>IF(H29+H35&gt;0,0.5,IF(G66&gt;=80%,F66,IF(G66&lt;65%,0,E66)))</f>
        <v>0</v>
      </c>
      <c r="K66" s="11"/>
      <c r="L66" s="11"/>
      <c r="R66" s="53"/>
      <c r="S66" s="45"/>
    </row>
    <row r="67" spans="1:19" s="29" customFormat="1" ht="47.25" customHeight="1">
      <c r="A67" s="418" t="s">
        <v>221</v>
      </c>
      <c r="B67" s="883" t="s">
        <v>228</v>
      </c>
      <c r="C67" s="884"/>
      <c r="D67" s="857"/>
      <c r="E67" s="296">
        <v>1</v>
      </c>
      <c r="F67" s="296">
        <v>1.5</v>
      </c>
      <c r="G67" s="67"/>
      <c r="H67" s="298">
        <f>IF(H29+H35&gt;0,0.5,IF(G67&gt;=80%,F67,IF(G67&lt;65%,0,E67)))</f>
        <v>0</v>
      </c>
      <c r="R67" s="53"/>
      <c r="S67" s="45"/>
    </row>
    <row r="68" spans="1:19" s="29" customFormat="1">
      <c r="A68" s="418" t="s">
        <v>235</v>
      </c>
      <c r="B68" s="883" t="s">
        <v>229</v>
      </c>
      <c r="C68" s="884"/>
      <c r="D68" s="857"/>
      <c r="E68" s="296">
        <v>1</v>
      </c>
      <c r="F68" s="296">
        <v>1.5</v>
      </c>
      <c r="G68" s="67"/>
      <c r="H68" s="298">
        <f>IF(H29+H35&gt;0,0.5,IF(G68&gt;=80%,F68,IF(G68&lt;65%,0,E68)))</f>
        <v>0</v>
      </c>
      <c r="R68" s="53"/>
      <c r="S68" s="45"/>
    </row>
    <row r="69" spans="1:19" s="29" customFormat="1" ht="46.5" customHeight="1">
      <c r="A69" s="418" t="s">
        <v>222</v>
      </c>
      <c r="B69" s="883" t="s">
        <v>230</v>
      </c>
      <c r="C69" s="884"/>
      <c r="D69" s="858"/>
      <c r="E69" s="296">
        <v>1</v>
      </c>
      <c r="F69" s="296">
        <v>1.5</v>
      </c>
      <c r="G69" s="67"/>
      <c r="H69" s="298">
        <f>IF(H29+H35&gt;0,0.5,IF(G69&gt;=80%,F69,IF(G69&lt;65%,0,E69)))</f>
        <v>0</v>
      </c>
      <c r="R69" s="53"/>
      <c r="S69" s="45"/>
    </row>
    <row r="70" spans="1:19" s="29" customFormat="1">
      <c r="A70" s="417">
        <v>7.4</v>
      </c>
      <c r="B70" s="930" t="s">
        <v>441</v>
      </c>
      <c r="C70" s="930"/>
      <c r="D70" s="350" t="s">
        <v>2</v>
      </c>
      <c r="E70" s="296">
        <v>1</v>
      </c>
      <c r="F70" s="296">
        <v>1.5</v>
      </c>
      <c r="G70" s="67"/>
      <c r="H70" s="298">
        <f>IF(G70&gt;=80%,F70,IF(G70&lt;65%,0,E70))</f>
        <v>0</v>
      </c>
      <c r="R70" s="53"/>
      <c r="S70" s="45"/>
    </row>
    <row r="71" spans="1:19" s="29" customFormat="1" ht="15" customHeight="1">
      <c r="A71" s="526">
        <v>7.5</v>
      </c>
      <c r="B71" s="932" t="s">
        <v>422</v>
      </c>
      <c r="C71" s="932"/>
      <c r="D71" s="561" t="s">
        <v>420</v>
      </c>
      <c r="E71" s="855">
        <v>2</v>
      </c>
      <c r="F71" s="855"/>
      <c r="G71" s="546"/>
      <c r="H71" s="519">
        <f>IF(G71&gt;=5%,E71,0)</f>
        <v>0</v>
      </c>
      <c r="R71" s="53"/>
      <c r="S71" s="45"/>
    </row>
    <row r="72" spans="1:19" s="29" customFormat="1" ht="15.6">
      <c r="A72" s="421" t="s">
        <v>223</v>
      </c>
      <c r="B72" s="68" t="s">
        <v>231</v>
      </c>
      <c r="C72" s="69"/>
      <c r="D72" s="70"/>
      <c r="E72" s="71"/>
      <c r="F72" s="71"/>
      <c r="G72" s="71"/>
      <c r="H72" s="422"/>
      <c r="R72" s="53"/>
      <c r="S72" s="45"/>
    </row>
    <row r="73" spans="1:19" s="29" customFormat="1">
      <c r="A73" s="417">
        <v>8.1</v>
      </c>
      <c r="B73" s="852" t="s">
        <v>232</v>
      </c>
      <c r="C73" s="852"/>
      <c r="D73" s="5" t="s">
        <v>51</v>
      </c>
      <c r="E73" s="20">
        <v>2</v>
      </c>
      <c r="F73" s="20">
        <v>2.5</v>
      </c>
      <c r="G73" s="72"/>
      <c r="H73" s="405">
        <f>IF(G73&gt;=80%,F73,IF(G73&lt;65%,0,E73))</f>
        <v>0</v>
      </c>
      <c r="J73" s="73"/>
      <c r="R73" s="53"/>
      <c r="S73" s="45"/>
    </row>
    <row r="74" spans="1:19" s="29" customFormat="1">
      <c r="A74" s="417">
        <v>8.1999999999999993</v>
      </c>
      <c r="B74" s="852" t="s">
        <v>233</v>
      </c>
      <c r="C74" s="852"/>
      <c r="D74" s="5" t="s">
        <v>51</v>
      </c>
      <c r="E74" s="20">
        <v>2</v>
      </c>
      <c r="F74" s="20">
        <v>2.5</v>
      </c>
      <c r="G74" s="72"/>
      <c r="H74" s="405">
        <f>IF(G74&gt;=80%,F74,IF(G74&lt;65%,0,E74))</f>
        <v>0</v>
      </c>
      <c r="J74" s="11"/>
      <c r="K74" s="11"/>
      <c r="L74" s="11"/>
      <c r="R74" s="53"/>
      <c r="S74" s="45"/>
    </row>
    <row r="75" spans="1:19" s="29" customFormat="1">
      <c r="A75" s="417">
        <v>8.3000000000000007</v>
      </c>
      <c r="B75" s="874" t="s">
        <v>147</v>
      </c>
      <c r="C75" s="875"/>
      <c r="D75" s="5" t="s">
        <v>2</v>
      </c>
      <c r="E75" s="20">
        <v>2</v>
      </c>
      <c r="F75" s="20">
        <v>2.5</v>
      </c>
      <c r="G75" s="66"/>
      <c r="H75" s="405">
        <f>IF(G75&gt;=80%,F75,IF(G75&lt;65%,0,E75))</f>
        <v>0</v>
      </c>
      <c r="R75" s="53"/>
      <c r="S75" s="45"/>
    </row>
    <row r="76" spans="1:19" s="29" customFormat="1" ht="15.6">
      <c r="A76" s="421" t="s">
        <v>224</v>
      </c>
      <c r="B76" s="68" t="s">
        <v>234</v>
      </c>
      <c r="C76" s="69"/>
      <c r="D76" s="70"/>
      <c r="E76" s="71"/>
      <c r="F76" s="71"/>
      <c r="G76" s="71"/>
      <c r="H76" s="422"/>
      <c r="R76" s="53"/>
      <c r="S76" s="45"/>
    </row>
    <row r="77" spans="1:19" s="29" customFormat="1" ht="31.5" customHeight="1">
      <c r="A77" s="417">
        <v>9.1</v>
      </c>
      <c r="B77" s="852" t="s">
        <v>371</v>
      </c>
      <c r="C77" s="852"/>
      <c r="D77" s="5" t="s">
        <v>51</v>
      </c>
      <c r="E77" s="20">
        <v>2</v>
      </c>
      <c r="F77" s="20">
        <v>2.5</v>
      </c>
      <c r="G77" s="72"/>
      <c r="H77" s="405">
        <f>IF(G77&gt;=80%,F77,IF(G77&lt;65%,0,E77))</f>
        <v>0</v>
      </c>
      <c r="R77" s="53"/>
      <c r="S77" s="45"/>
    </row>
    <row r="78" spans="1:19" s="29" customFormat="1" ht="15.6">
      <c r="A78" s="423" t="s">
        <v>225</v>
      </c>
      <c r="B78" s="74" t="s">
        <v>213</v>
      </c>
      <c r="C78" s="58"/>
      <c r="D78" s="58"/>
      <c r="E78" s="75"/>
      <c r="F78" s="75"/>
      <c r="G78" s="76"/>
      <c r="H78" s="424"/>
      <c r="R78" s="53"/>
      <c r="S78" s="45"/>
    </row>
    <row r="79" spans="1:19" s="29" customFormat="1">
      <c r="A79" s="417">
        <v>10.1</v>
      </c>
      <c r="B79" s="848"/>
      <c r="C79" s="848"/>
      <c r="D79" s="77"/>
      <c r="E79" s="536"/>
      <c r="F79" s="536"/>
      <c r="G79" s="547"/>
      <c r="H79" s="405">
        <f>IF(G79&gt;=80%,F79,IF(G79&lt;65%,0,E79))</f>
        <v>0</v>
      </c>
      <c r="R79" s="53"/>
      <c r="S79" s="45"/>
    </row>
    <row r="80" spans="1:19" s="29" customFormat="1">
      <c r="A80" s="417">
        <v>10.199999999999999</v>
      </c>
      <c r="B80" s="848"/>
      <c r="C80" s="848"/>
      <c r="D80" s="77"/>
      <c r="E80" s="536"/>
      <c r="F80" s="536"/>
      <c r="G80" s="547"/>
      <c r="H80" s="405">
        <f>IF(G80&gt;=80%,F80,IF(G80&lt;65%,0,E80))</f>
        <v>0</v>
      </c>
      <c r="R80" s="53"/>
      <c r="S80" s="45"/>
    </row>
    <row r="81" spans="1:19" s="29" customFormat="1">
      <c r="A81" s="417">
        <v>10.3</v>
      </c>
      <c r="B81" s="848"/>
      <c r="C81" s="848"/>
      <c r="D81" s="77"/>
      <c r="E81" s="536"/>
      <c r="F81" s="536"/>
      <c r="G81" s="547"/>
      <c r="H81" s="405">
        <f>IF(G81&gt;=80%,F81,IF(G81&lt;65%,0,E81))</f>
        <v>0</v>
      </c>
      <c r="R81" s="53"/>
      <c r="S81" s="45"/>
    </row>
    <row r="82" spans="1:19" s="29" customFormat="1" ht="15.6">
      <c r="A82" s="425"/>
      <c r="B82" s="325"/>
      <c r="C82" s="323"/>
      <c r="D82" s="323"/>
      <c r="E82" s="326"/>
      <c r="F82" s="327"/>
      <c r="G82" s="328" t="s">
        <v>418</v>
      </c>
      <c r="H82" s="426">
        <f>IFERROR((SUM(H61:H81)),0)</f>
        <v>0</v>
      </c>
      <c r="R82" s="53"/>
      <c r="S82" s="45"/>
    </row>
    <row r="83" spans="1:19" s="29" customFormat="1">
      <c r="A83" s="412"/>
      <c r="B83" s="325"/>
      <c r="C83" s="323"/>
      <c r="D83" s="323"/>
      <c r="E83" s="323"/>
      <c r="F83" s="323"/>
      <c r="G83" s="329"/>
      <c r="H83" s="388"/>
      <c r="R83" s="53"/>
      <c r="S83" s="45"/>
    </row>
    <row r="84" spans="1:19" s="29" customFormat="1" ht="15.6">
      <c r="A84" s="412"/>
      <c r="B84" s="325"/>
      <c r="C84" s="323"/>
      <c r="D84" s="323"/>
      <c r="E84" s="323"/>
      <c r="F84" s="323"/>
      <c r="G84" s="330" t="s">
        <v>129</v>
      </c>
      <c r="H84" s="427">
        <f>IFERROR(MIN(G24,H56+H82),0)</f>
        <v>0</v>
      </c>
      <c r="R84" s="53"/>
      <c r="S84" s="45"/>
    </row>
    <row r="85" spans="1:19" s="29" customFormat="1" ht="16.2" thickBot="1">
      <c r="A85" s="491"/>
      <c r="B85" s="492"/>
      <c r="C85" s="493"/>
      <c r="D85" s="493"/>
      <c r="E85" s="493"/>
      <c r="F85" s="493"/>
      <c r="G85" s="496"/>
      <c r="H85" s="495"/>
      <c r="R85" s="53"/>
      <c r="S85" s="45"/>
    </row>
    <row r="86" spans="1:19" s="29" customFormat="1" ht="15.6">
      <c r="A86" s="486" t="s">
        <v>52</v>
      </c>
      <c r="B86" s="487"/>
      <c r="C86" s="487"/>
      <c r="D86" s="487"/>
      <c r="E86" s="487"/>
      <c r="F86" s="488" t="s">
        <v>43</v>
      </c>
      <c r="G86" s="489">
        <f>VLOOKUP($A$7,'Manpower allocation'!A4:D11,3,FALSE)*100</f>
        <v>40</v>
      </c>
      <c r="H86" s="490" t="s">
        <v>42</v>
      </c>
      <c r="J86" s="79">
        <f>VLOOKUP($A$7,'Manpower allocation'!A4:D11,3,FALSE)*100</f>
        <v>40</v>
      </c>
      <c r="R86" s="53"/>
      <c r="S86" s="45"/>
    </row>
    <row r="87" spans="1:19" s="29" customFormat="1" ht="15.6">
      <c r="A87" s="412"/>
      <c r="B87" s="331"/>
      <c r="C87" s="326"/>
      <c r="D87" s="323"/>
      <c r="E87" s="323"/>
      <c r="F87" s="323"/>
      <c r="G87" s="332"/>
      <c r="H87" s="388"/>
      <c r="R87" s="53"/>
      <c r="S87" s="45"/>
    </row>
    <row r="88" spans="1:19" s="29" customFormat="1" ht="46.8">
      <c r="A88" s="549" t="s">
        <v>0</v>
      </c>
      <c r="B88" s="550"/>
      <c r="C88" s="168"/>
      <c r="D88" s="80"/>
      <c r="E88" s="81" t="s">
        <v>17</v>
      </c>
      <c r="F88" s="82" t="s">
        <v>81</v>
      </c>
      <c r="G88" s="82" t="s">
        <v>20</v>
      </c>
      <c r="H88" s="428" t="s">
        <v>53</v>
      </c>
      <c r="R88" s="53"/>
      <c r="S88" s="45"/>
    </row>
    <row r="89" spans="1:19" s="29" customFormat="1" ht="15.6">
      <c r="A89" s="429" t="s">
        <v>303</v>
      </c>
      <c r="B89" s="83" t="s">
        <v>332</v>
      </c>
      <c r="C89" s="84"/>
      <c r="D89" s="84"/>
      <c r="E89" s="85"/>
      <c r="F89" s="85"/>
      <c r="G89" s="85"/>
      <c r="H89" s="430"/>
      <c r="R89" s="53"/>
      <c r="S89" s="45"/>
    </row>
    <row r="90" spans="1:19" s="29" customFormat="1" ht="15.6">
      <c r="A90" s="431">
        <v>1</v>
      </c>
      <c r="B90" s="86" t="s">
        <v>338</v>
      </c>
      <c r="C90" s="87"/>
      <c r="D90" s="87"/>
      <c r="E90" s="88"/>
      <c r="F90" s="88"/>
      <c r="G90" s="88"/>
      <c r="H90" s="432"/>
      <c r="R90" s="53"/>
      <c r="S90" s="45"/>
    </row>
    <row r="91" spans="1:19" s="29" customFormat="1">
      <c r="A91" s="417">
        <v>1.1000000000000001</v>
      </c>
      <c r="B91" s="885" t="s">
        <v>290</v>
      </c>
      <c r="C91" s="846"/>
      <c r="D91" s="845"/>
      <c r="E91" s="89">
        <f>VLOOKUP(A91,'Point Allocation'!$A$20:$J$40,MATCH(A7,'Point Allocation'!$A$20:$J$20,0),0)</f>
        <v>30</v>
      </c>
      <c r="F91" s="90"/>
      <c r="G91" s="91">
        <f>IFERROR(F91/$F$115,0)</f>
        <v>0</v>
      </c>
      <c r="H91" s="433">
        <f>E91*G91</f>
        <v>0</v>
      </c>
      <c r="R91" s="45"/>
      <c r="S91" s="45"/>
    </row>
    <row r="92" spans="1:19" s="29" customFormat="1" ht="15.6">
      <c r="A92" s="434">
        <v>2</v>
      </c>
      <c r="B92" s="92" t="s">
        <v>339</v>
      </c>
      <c r="C92" s="93"/>
      <c r="D92" s="94"/>
      <c r="E92" s="94"/>
      <c r="F92" s="95"/>
      <c r="G92" s="96"/>
      <c r="H92" s="435"/>
      <c r="R92" s="53"/>
      <c r="S92" s="45"/>
    </row>
    <row r="93" spans="1:19" s="29" customFormat="1">
      <c r="A93" s="849">
        <v>2.1</v>
      </c>
      <c r="B93" s="844" t="s">
        <v>207</v>
      </c>
      <c r="C93" s="846"/>
      <c r="D93" s="845"/>
      <c r="E93" s="853">
        <f>VLOOKUP(A93,'Point Allocation'!$A$20:$J$40,MATCH(A7,'Point Allocation'!$A$20:$J$20,0),0)</f>
        <v>28</v>
      </c>
      <c r="F93" s="854"/>
      <c r="G93" s="914">
        <f>IFERROR(F93/$F$115,0)</f>
        <v>0</v>
      </c>
      <c r="H93" s="921">
        <f>E93*G93</f>
        <v>0</v>
      </c>
      <c r="R93" s="53"/>
      <c r="S93" s="45"/>
    </row>
    <row r="94" spans="1:19" s="29" customFormat="1" ht="15.6">
      <c r="A94" s="841"/>
      <c r="B94" s="836" t="s">
        <v>120</v>
      </c>
      <c r="C94" s="837"/>
      <c r="D94" s="838"/>
      <c r="E94" s="853"/>
      <c r="F94" s="854"/>
      <c r="G94" s="914"/>
      <c r="H94" s="921"/>
      <c r="R94" s="53"/>
      <c r="S94" s="45"/>
    </row>
    <row r="95" spans="1:19" s="29" customFormat="1">
      <c r="A95" s="849">
        <v>2.2000000000000002</v>
      </c>
      <c r="B95" s="885" t="s">
        <v>178</v>
      </c>
      <c r="C95" s="886"/>
      <c r="D95" s="884"/>
      <c r="E95" s="853">
        <f>VLOOKUP(A95,'Point Allocation'!$A$20:$J$40,MATCH(A7,'Point Allocation'!$A$20:$J$20,0),0)</f>
        <v>28</v>
      </c>
      <c r="F95" s="854"/>
      <c r="G95" s="914">
        <f>IFERROR(F95/$F$115,0)</f>
        <v>0</v>
      </c>
      <c r="H95" s="921">
        <f>E95*G95</f>
        <v>0</v>
      </c>
      <c r="R95" s="53"/>
      <c r="S95" s="45"/>
    </row>
    <row r="96" spans="1:19" s="29" customFormat="1" ht="15.6">
      <c r="A96" s="882"/>
      <c r="B96" s="836" t="s">
        <v>120</v>
      </c>
      <c r="C96" s="837"/>
      <c r="D96" s="838"/>
      <c r="E96" s="853"/>
      <c r="F96" s="854"/>
      <c r="G96" s="914"/>
      <c r="H96" s="921"/>
      <c r="R96" s="53"/>
      <c r="S96" s="45"/>
    </row>
    <row r="97" spans="1:19" s="29" customFormat="1" ht="15.6">
      <c r="A97" s="431">
        <v>3</v>
      </c>
      <c r="B97" s="86" t="s">
        <v>340</v>
      </c>
      <c r="C97" s="93"/>
      <c r="D97" s="93"/>
      <c r="E97" s="95"/>
      <c r="F97" s="95"/>
      <c r="G97" s="96"/>
      <c r="H97" s="436"/>
      <c r="R97" s="53"/>
      <c r="S97" s="45"/>
    </row>
    <row r="98" spans="1:19" s="29" customFormat="1">
      <c r="A98" s="849">
        <v>3.1</v>
      </c>
      <c r="B98" s="844" t="s">
        <v>208</v>
      </c>
      <c r="C98" s="846"/>
      <c r="D98" s="845"/>
      <c r="E98" s="853">
        <f>VLOOKUP(A98,'Point Allocation'!$A$20:$J$40,MATCH(A7,'Point Allocation'!$A$20:$J$20,0),0)</f>
        <v>27</v>
      </c>
      <c r="F98" s="854"/>
      <c r="G98" s="914">
        <f>IFERROR(F98/$F$115,0)</f>
        <v>0</v>
      </c>
      <c r="H98" s="921">
        <f>E98*G98</f>
        <v>0</v>
      </c>
      <c r="R98" s="53"/>
      <c r="S98" s="45"/>
    </row>
    <row r="99" spans="1:19" s="29" customFormat="1" ht="15.6">
      <c r="A99" s="841"/>
      <c r="B99" s="836" t="s">
        <v>286</v>
      </c>
      <c r="C99" s="837"/>
      <c r="D99" s="838"/>
      <c r="E99" s="853"/>
      <c r="F99" s="854"/>
      <c r="G99" s="914"/>
      <c r="H99" s="921"/>
      <c r="R99" s="53"/>
      <c r="S99" s="45"/>
    </row>
    <row r="100" spans="1:19" s="29" customFormat="1" ht="15.6">
      <c r="A100" s="431">
        <v>4</v>
      </c>
      <c r="B100" s="86" t="s">
        <v>341</v>
      </c>
      <c r="C100" s="93"/>
      <c r="D100" s="93"/>
      <c r="E100" s="95"/>
      <c r="F100" s="95"/>
      <c r="G100" s="96"/>
      <c r="H100" s="436"/>
      <c r="R100" s="53"/>
      <c r="S100" s="45"/>
    </row>
    <row r="101" spans="1:19" s="29" customFormat="1" ht="30" customHeight="1">
      <c r="A101" s="418" t="s">
        <v>205</v>
      </c>
      <c r="B101" s="871" t="s">
        <v>292</v>
      </c>
      <c r="C101" s="872"/>
      <c r="D101" s="873"/>
      <c r="E101" s="97">
        <f>VLOOKUP(A101,'Point Allocation'!$A$20:$J$40,MATCH(A7,'Point Allocation'!$A$20:$J$20,0),0)</f>
        <v>25</v>
      </c>
      <c r="F101" s="537"/>
      <c r="G101" s="538">
        <f>IFERROR(F101/$F$115,0)</f>
        <v>0</v>
      </c>
      <c r="H101" s="437">
        <f>E101*G101</f>
        <v>0</v>
      </c>
      <c r="R101" s="912"/>
      <c r="S101" s="45"/>
    </row>
    <row r="102" spans="1:19" s="29" customFormat="1">
      <c r="A102" s="418" t="s">
        <v>206</v>
      </c>
      <c r="B102" s="871" t="s">
        <v>293</v>
      </c>
      <c r="C102" s="872"/>
      <c r="D102" s="873"/>
      <c r="E102" s="97">
        <f>VLOOKUP(A102,'Point Allocation'!$A$20:$J$40,MATCH(A7,'Point Allocation'!$A$20:$J$20,0),0)</f>
        <v>25</v>
      </c>
      <c r="F102" s="537"/>
      <c r="G102" s="538">
        <f>IFERROR(F102/$F$115,0)</f>
        <v>0</v>
      </c>
      <c r="H102" s="437">
        <f>E102*G102</f>
        <v>0</v>
      </c>
      <c r="R102" s="912"/>
      <c r="S102" s="45"/>
    </row>
    <row r="103" spans="1:19" s="29" customFormat="1">
      <c r="A103" s="417">
        <v>4.2</v>
      </c>
      <c r="B103" s="874" t="s">
        <v>209</v>
      </c>
      <c r="C103" s="931"/>
      <c r="D103" s="875"/>
      <c r="E103" s="97">
        <f>VLOOKUP(A103,'Point Allocation'!$A$20:$J$40,MATCH(A7,'Point Allocation'!$A$20:$J$20,0),0)</f>
        <v>25</v>
      </c>
      <c r="F103" s="537"/>
      <c r="G103" s="538">
        <f>IFERROR(F103/$F$115,0)</f>
        <v>0</v>
      </c>
      <c r="H103" s="437">
        <f>E103*G103</f>
        <v>0</v>
      </c>
      <c r="R103" s="53"/>
      <c r="S103" s="45"/>
    </row>
    <row r="104" spans="1:19" s="29" customFormat="1">
      <c r="A104" s="417">
        <v>4.3</v>
      </c>
      <c r="B104" s="922" t="s">
        <v>159</v>
      </c>
      <c r="C104" s="923"/>
      <c r="D104" s="924"/>
      <c r="E104" s="97">
        <f>VLOOKUP(A104,'Point Allocation'!$A$20:$J$40,MATCH(A7,'Point Allocation'!$A$20:$J$20,0),0)</f>
        <v>25</v>
      </c>
      <c r="F104" s="537"/>
      <c r="G104" s="538">
        <f>IFERROR(F104/$F$115,0)</f>
        <v>0</v>
      </c>
      <c r="H104" s="438">
        <f>E104*G104</f>
        <v>0</v>
      </c>
      <c r="R104" s="53"/>
      <c r="S104" s="45"/>
    </row>
    <row r="105" spans="1:19" s="29" customFormat="1">
      <c r="A105" s="417">
        <v>4.4000000000000004</v>
      </c>
      <c r="B105" s="922" t="s">
        <v>355</v>
      </c>
      <c r="C105" s="923"/>
      <c r="D105" s="924"/>
      <c r="E105" s="97">
        <f>VLOOKUP(A105,'Point Allocation'!$A$20:$J$40,MATCH(A7,'Point Allocation'!$A$20:$J$20,0),0)</f>
        <v>22</v>
      </c>
      <c r="F105" s="537"/>
      <c r="G105" s="538">
        <f>IFERROR(F105/$F$115,0)</f>
        <v>0</v>
      </c>
      <c r="H105" s="438">
        <f>E105*G105</f>
        <v>0</v>
      </c>
      <c r="R105" s="53"/>
      <c r="S105" s="45"/>
    </row>
    <row r="106" spans="1:19" s="29" customFormat="1" ht="15.6">
      <c r="A106" s="439" t="s">
        <v>304</v>
      </c>
      <c r="B106" s="99" t="s">
        <v>236</v>
      </c>
      <c r="C106" s="100"/>
      <c r="D106" s="101"/>
      <c r="E106" s="102"/>
      <c r="F106" s="103"/>
      <c r="G106" s="104"/>
      <c r="H106" s="440"/>
      <c r="R106" s="53"/>
      <c r="S106" s="45"/>
    </row>
    <row r="107" spans="1:19" s="29" customFormat="1" ht="15.6">
      <c r="A107" s="431">
        <v>5</v>
      </c>
      <c r="B107" s="86" t="s">
        <v>237</v>
      </c>
      <c r="C107" s="93"/>
      <c r="D107" s="93"/>
      <c r="E107" s="95"/>
      <c r="F107" s="95"/>
      <c r="G107" s="96"/>
      <c r="H107" s="436"/>
      <c r="R107" s="53"/>
      <c r="S107" s="45"/>
    </row>
    <row r="108" spans="1:19" s="29" customFormat="1">
      <c r="A108" s="417">
        <v>5.0999999999999996</v>
      </c>
      <c r="B108" s="844" t="s">
        <v>210</v>
      </c>
      <c r="C108" s="846"/>
      <c r="D108" s="845"/>
      <c r="E108" s="105">
        <f>VLOOKUP(A108,'Point Allocation'!$A$20:$J$40,MATCH(A7,'Point Allocation'!$A$20:$J$20,0),0)</f>
        <v>16</v>
      </c>
      <c r="F108" s="156"/>
      <c r="G108" s="538">
        <f>IFERROR(F108/$F$115,0)</f>
        <v>0</v>
      </c>
      <c r="H108" s="441">
        <f>E108*G108</f>
        <v>0</v>
      </c>
      <c r="R108" s="53"/>
      <c r="S108" s="45"/>
    </row>
    <row r="109" spans="1:19" s="29" customFormat="1">
      <c r="A109" s="417">
        <v>5.2</v>
      </c>
      <c r="B109" s="844" t="s">
        <v>356</v>
      </c>
      <c r="C109" s="846"/>
      <c r="D109" s="845"/>
      <c r="E109" s="105">
        <f>VLOOKUP(A109,'Point Allocation'!$A$20:$J$40,MATCH(A7,'Point Allocation'!$A$20:$J$20,0),0)</f>
        <v>5</v>
      </c>
      <c r="F109" s="90"/>
      <c r="G109" s="538">
        <f>IFERROR(F109/$F$115,0)</f>
        <v>0</v>
      </c>
      <c r="H109" s="441">
        <f>E109*G109</f>
        <v>0</v>
      </c>
      <c r="R109" s="53"/>
      <c r="S109" s="45"/>
    </row>
    <row r="110" spans="1:19" s="29" customFormat="1">
      <c r="A110" s="417">
        <v>5.3</v>
      </c>
      <c r="B110" s="844" t="s">
        <v>357</v>
      </c>
      <c r="C110" s="846"/>
      <c r="D110" s="845"/>
      <c r="E110" s="105">
        <f>VLOOKUP(A110,'Point Allocation'!$A$20:$J$40,MATCH(A7,'Point Allocation'!$A$20:$J$20,0),0)</f>
        <v>0</v>
      </c>
      <c r="F110" s="155"/>
      <c r="G110" s="538">
        <f>IFERROR(F110/$F$115,0)</f>
        <v>0</v>
      </c>
      <c r="H110" s="442">
        <f>E110*G110</f>
        <v>0</v>
      </c>
      <c r="R110" s="53"/>
      <c r="S110" s="45"/>
    </row>
    <row r="111" spans="1:19" s="29" customFormat="1" ht="15.6">
      <c r="A111" s="443">
        <v>6</v>
      </c>
      <c r="B111" s="106" t="s">
        <v>213</v>
      </c>
      <c r="C111" s="93"/>
      <c r="D111" s="93"/>
      <c r="E111" s="95"/>
      <c r="F111" s="95"/>
      <c r="G111" s="96"/>
      <c r="H111" s="436"/>
      <c r="R111" s="53"/>
      <c r="S111" s="45"/>
    </row>
    <row r="112" spans="1:19" s="29" customFormat="1">
      <c r="A112" s="444">
        <v>6.1</v>
      </c>
      <c r="B112" s="826"/>
      <c r="C112" s="821"/>
      <c r="D112" s="847"/>
      <c r="E112" s="537"/>
      <c r="F112" s="537"/>
      <c r="G112" s="538">
        <f>IFERROR(F112/$F$115,0)</f>
        <v>0</v>
      </c>
      <c r="H112" s="442">
        <f>E112*G112</f>
        <v>0</v>
      </c>
      <c r="R112" s="53"/>
      <c r="S112" s="45"/>
    </row>
    <row r="113" spans="1:19" s="29" customFormat="1">
      <c r="A113" s="444">
        <v>6.2</v>
      </c>
      <c r="B113" s="826"/>
      <c r="C113" s="821"/>
      <c r="D113" s="847"/>
      <c r="E113" s="537"/>
      <c r="F113" s="537"/>
      <c r="G113" s="538">
        <f>IFERROR(F113/$F$115,0)</f>
        <v>0</v>
      </c>
      <c r="H113" s="442">
        <f>E113*G113</f>
        <v>0</v>
      </c>
      <c r="R113" s="53"/>
      <c r="S113" s="45"/>
    </row>
    <row r="114" spans="1:19" s="29" customFormat="1">
      <c r="A114" s="444">
        <v>6.3</v>
      </c>
      <c r="B114" s="848"/>
      <c r="C114" s="848"/>
      <c r="D114" s="848"/>
      <c r="E114" s="537"/>
      <c r="F114" s="537"/>
      <c r="G114" s="538">
        <f>IFERROR(F114/$F$115,0)</f>
        <v>0</v>
      </c>
      <c r="H114" s="442">
        <f>E114*G114</f>
        <v>0</v>
      </c>
      <c r="R114" s="53"/>
      <c r="S114" s="45"/>
    </row>
    <row r="115" spans="1:19" s="29" customFormat="1" ht="15.6">
      <c r="A115" s="425"/>
      <c r="B115" s="325"/>
      <c r="C115" s="323"/>
      <c r="D115" s="323"/>
      <c r="E115" s="330" t="s">
        <v>62</v>
      </c>
      <c r="F115" s="333">
        <f>SUM(F91:F114)+E19</f>
        <v>0</v>
      </c>
      <c r="G115" s="334">
        <f>SUM(G91:G114)+F19</f>
        <v>0</v>
      </c>
      <c r="H115" s="445">
        <f>IFERROR(SUM(H91:H114),0)</f>
        <v>0</v>
      </c>
      <c r="R115" s="53"/>
      <c r="S115" s="45"/>
    </row>
    <row r="116" spans="1:19" s="29" customFormat="1" ht="15.6" thickBot="1">
      <c r="A116" s="491"/>
      <c r="B116" s="492"/>
      <c r="C116" s="493"/>
      <c r="D116" s="493"/>
      <c r="E116" s="493"/>
      <c r="F116" s="493"/>
      <c r="G116" s="480"/>
      <c r="H116" s="639"/>
      <c r="R116" s="53"/>
      <c r="S116" s="45"/>
    </row>
    <row r="117" spans="1:19" s="29" customFormat="1" ht="31.2">
      <c r="A117" s="640" t="s">
        <v>0</v>
      </c>
      <c r="B117" s="641"/>
      <c r="C117" s="641"/>
      <c r="D117" s="642" t="s">
        <v>17</v>
      </c>
      <c r="E117" s="643" t="s">
        <v>81</v>
      </c>
      <c r="F117" s="644" t="s">
        <v>335</v>
      </c>
      <c r="G117" s="644" t="s">
        <v>336</v>
      </c>
      <c r="H117" s="645" t="s">
        <v>53</v>
      </c>
      <c r="R117" s="53"/>
      <c r="S117" s="45"/>
    </row>
    <row r="118" spans="1:19" s="29" customFormat="1" ht="15.6">
      <c r="A118" s="429" t="s">
        <v>238</v>
      </c>
      <c r="B118" s="83" t="s">
        <v>333</v>
      </c>
      <c r="C118" s="84"/>
      <c r="D118" s="85"/>
      <c r="E118" s="85"/>
      <c r="F118" s="85"/>
      <c r="G118" s="85"/>
      <c r="H118" s="430"/>
      <c r="R118" s="53"/>
      <c r="S118" s="45"/>
    </row>
    <row r="119" spans="1:19" s="29" customFormat="1" ht="15.6">
      <c r="A119" s="431">
        <v>7</v>
      </c>
      <c r="B119" s="86" t="s">
        <v>338</v>
      </c>
      <c r="C119" s="87"/>
      <c r="D119" s="88"/>
      <c r="E119" s="88"/>
      <c r="F119" s="88"/>
      <c r="G119" s="88"/>
      <c r="H119" s="432"/>
      <c r="R119" s="53"/>
      <c r="S119" s="45"/>
    </row>
    <row r="120" spans="1:19" s="29" customFormat="1" ht="15" customHeight="1">
      <c r="A120" s="404">
        <v>7.1</v>
      </c>
      <c r="B120" s="885" t="s">
        <v>290</v>
      </c>
      <c r="C120" s="884"/>
      <c r="D120" s="98">
        <f>VLOOKUP(A120,'Point Allocation'!$A$20:$J$41,MATCH(A7,'Point Allocation'!$A$20:$J$20,0),0)</f>
        <v>10</v>
      </c>
      <c r="E120" s="89">
        <f>F91</f>
        <v>0</v>
      </c>
      <c r="F120" s="89">
        <f>F29</f>
        <v>0</v>
      </c>
      <c r="G120" s="91">
        <f>IFERROR(SUM(E120:F120)/SUM($E$138:$F$138),0)</f>
        <v>0</v>
      </c>
      <c r="H120" s="433">
        <f>D120*G120</f>
        <v>0</v>
      </c>
      <c r="R120" s="53"/>
      <c r="S120" s="45"/>
    </row>
    <row r="121" spans="1:19" s="29" customFormat="1" ht="15.6">
      <c r="A121" s="434">
        <v>8</v>
      </c>
      <c r="B121" s="92" t="s">
        <v>339</v>
      </c>
      <c r="C121" s="93"/>
      <c r="D121" s="94"/>
      <c r="E121" s="95"/>
      <c r="F121" s="95"/>
      <c r="G121" s="96"/>
      <c r="H121" s="435"/>
      <c r="R121" s="53"/>
      <c r="S121" s="45"/>
    </row>
    <row r="122" spans="1:19" s="29" customFormat="1">
      <c r="A122" s="849">
        <v>8.1</v>
      </c>
      <c r="B122" s="844" t="s">
        <v>337</v>
      </c>
      <c r="C122" s="845"/>
      <c r="D122" s="925">
        <f>VLOOKUP(A122,'Point Allocation'!$A$20:$J$41,MATCH(A7,'Point Allocation'!$A$20:$J$20,0),0)</f>
        <v>8</v>
      </c>
      <c r="E122" s="927">
        <f>F93</f>
        <v>0</v>
      </c>
      <c r="F122" s="859"/>
      <c r="G122" s="860">
        <f>IFERROR(SUM(E122:F123)/SUM($E$138:$F$138),0)</f>
        <v>0</v>
      </c>
      <c r="H122" s="921">
        <f>D122*G122</f>
        <v>0</v>
      </c>
      <c r="R122" s="53"/>
      <c r="S122" s="45"/>
    </row>
    <row r="123" spans="1:19" s="29" customFormat="1" ht="15.6">
      <c r="A123" s="882"/>
      <c r="B123" s="836" t="s">
        <v>120</v>
      </c>
      <c r="C123" s="838"/>
      <c r="D123" s="926"/>
      <c r="E123" s="927"/>
      <c r="F123" s="859"/>
      <c r="G123" s="861"/>
      <c r="H123" s="921"/>
      <c r="R123" s="53"/>
      <c r="S123" s="45"/>
    </row>
    <row r="124" spans="1:19" s="29" customFormat="1">
      <c r="A124" s="404">
        <v>8.1999999999999993</v>
      </c>
      <c r="B124" s="885" t="s">
        <v>178</v>
      </c>
      <c r="C124" s="884"/>
      <c r="D124" s="98">
        <f>VLOOKUP(A124,'Point Allocation'!$A$20:$J$41,MATCH(A7,'Point Allocation'!$A$20:$J$20,0),0)</f>
        <v>8</v>
      </c>
      <c r="E124" s="189">
        <f>F95</f>
        <v>0</v>
      </c>
      <c r="F124" s="548"/>
      <c r="G124" s="91">
        <f>IFERROR(SUM(E124:F124)/SUM($E$138:$F$138),0)</f>
        <v>0</v>
      </c>
      <c r="H124" s="437">
        <f>D124*G124</f>
        <v>0</v>
      </c>
      <c r="R124" s="53"/>
      <c r="S124" s="45"/>
    </row>
    <row r="125" spans="1:19" s="29" customFormat="1" ht="15.6">
      <c r="A125" s="431">
        <v>9</v>
      </c>
      <c r="B125" s="86" t="s">
        <v>340</v>
      </c>
      <c r="C125" s="93"/>
      <c r="D125" s="95"/>
      <c r="E125" s="95"/>
      <c r="F125" s="95"/>
      <c r="G125" s="96"/>
      <c r="H125" s="436"/>
      <c r="R125" s="53"/>
      <c r="S125" s="45"/>
    </row>
    <row r="126" spans="1:19" s="29" customFormat="1">
      <c r="A126" s="849">
        <v>9.1</v>
      </c>
      <c r="B126" s="844" t="s">
        <v>381</v>
      </c>
      <c r="C126" s="845"/>
      <c r="D126" s="925">
        <f>VLOOKUP(A126,'Point Allocation'!$A$20:$J$41,MATCH(A7,'Point Allocation'!$A$20:$J$20,0),0)</f>
        <v>6</v>
      </c>
      <c r="E126" s="859"/>
      <c r="F126" s="859"/>
      <c r="G126" s="914">
        <f>IFERROR(SUM(E126:F127)/SUM($E$138:$F$138),0)</f>
        <v>0</v>
      </c>
      <c r="H126" s="921">
        <f>D126*G126</f>
        <v>0</v>
      </c>
      <c r="R126" s="53"/>
      <c r="S126" s="45"/>
    </row>
    <row r="127" spans="1:19" s="29" customFormat="1" ht="15.6">
      <c r="A127" s="882"/>
      <c r="B127" s="836" t="s">
        <v>5</v>
      </c>
      <c r="C127" s="838"/>
      <c r="D127" s="926"/>
      <c r="E127" s="859"/>
      <c r="F127" s="859"/>
      <c r="G127" s="914"/>
      <c r="H127" s="921"/>
      <c r="R127" s="53"/>
      <c r="S127" s="45"/>
    </row>
    <row r="128" spans="1:19" s="29" customFormat="1" ht="15.6">
      <c r="A128" s="431">
        <v>10</v>
      </c>
      <c r="B128" s="86" t="s">
        <v>342</v>
      </c>
      <c r="C128" s="93"/>
      <c r="D128" s="95"/>
      <c r="E128" s="95"/>
      <c r="F128" s="95"/>
      <c r="G128" s="96"/>
      <c r="H128" s="436"/>
      <c r="R128" s="53"/>
      <c r="S128" s="45"/>
    </row>
    <row r="129" spans="1:19" s="29" customFormat="1" ht="15" customHeight="1">
      <c r="A129" s="409">
        <v>10.1</v>
      </c>
      <c r="B129" s="844" t="s">
        <v>382</v>
      </c>
      <c r="C129" s="845"/>
      <c r="D129" s="98">
        <f>VLOOKUP(A129,'Point Allocation'!$A$20:$J$41,MATCH(A7,'Point Allocation'!$A$20:$J$20,0),0)</f>
        <v>4</v>
      </c>
      <c r="E129" s="548"/>
      <c r="F129" s="548"/>
      <c r="G129" s="91">
        <f>IFERROR(SUM(E129:F129)/SUM($E$138:$F$138),0)</f>
        <v>0</v>
      </c>
      <c r="H129" s="437">
        <f>D129*G129</f>
        <v>0</v>
      </c>
      <c r="R129" s="53"/>
      <c r="S129" s="45"/>
    </row>
    <row r="130" spans="1:19" s="29" customFormat="1" ht="32.25" customHeight="1">
      <c r="A130" s="406">
        <v>10.199999999999999</v>
      </c>
      <c r="B130" s="928" t="s">
        <v>353</v>
      </c>
      <c r="C130" s="929"/>
      <c r="D130" s="98">
        <f>VLOOKUP(A130,'Point Allocation'!$A$20:$J$41,MATCH(A7,'Point Allocation'!$A$20:$J$20,0),0)</f>
        <v>4</v>
      </c>
      <c r="E130" s="188"/>
      <c r="F130" s="548"/>
      <c r="G130" s="538">
        <f>IFERROR(SUM(E130:F130)/SUM($E$138:$F$138),0)</f>
        <v>0</v>
      </c>
      <c r="H130" s="437">
        <f>D130*G130</f>
        <v>0</v>
      </c>
      <c r="R130" s="53"/>
      <c r="S130" s="45"/>
    </row>
    <row r="131" spans="1:19" s="29" customFormat="1" ht="15.6">
      <c r="A131" s="439" t="s">
        <v>239</v>
      </c>
      <c r="B131" s="99" t="s">
        <v>262</v>
      </c>
      <c r="C131" s="100"/>
      <c r="D131" s="102"/>
      <c r="E131" s="103"/>
      <c r="F131" s="103"/>
      <c r="G131" s="104"/>
      <c r="H131" s="440"/>
      <c r="R131" s="53"/>
      <c r="S131" s="45"/>
    </row>
    <row r="132" spans="1:19" s="29" customFormat="1" ht="15.6">
      <c r="A132" s="431">
        <v>11</v>
      </c>
      <c r="B132" s="86" t="s">
        <v>263</v>
      </c>
      <c r="C132" s="93"/>
      <c r="D132" s="95"/>
      <c r="E132" s="95"/>
      <c r="F132" s="95"/>
      <c r="G132" s="96"/>
      <c r="H132" s="436"/>
      <c r="R132" s="53"/>
      <c r="S132" s="45"/>
    </row>
    <row r="133" spans="1:19" s="29" customFormat="1">
      <c r="A133" s="409">
        <v>11.1</v>
      </c>
      <c r="B133" s="844" t="s">
        <v>593</v>
      </c>
      <c r="C133" s="845"/>
      <c r="D133" s="98">
        <f>VLOOKUP(A133,'Point Allocation'!$A$20:$J$41,MATCH(A7,'Point Allocation'!$A$20:$J$20,0),0)</f>
        <v>2</v>
      </c>
      <c r="E133" s="548"/>
      <c r="F133" s="548"/>
      <c r="G133" s="538">
        <f>IFERROR(SUM(E133:F133)/SUM($E$138:$F$138),0)</f>
        <v>0</v>
      </c>
      <c r="H133" s="437">
        <f t="shared" ref="H133:H137" si="2">D133*G133</f>
        <v>0</v>
      </c>
      <c r="R133" s="53"/>
      <c r="S133" s="45"/>
    </row>
    <row r="134" spans="1:19" s="29" customFormat="1">
      <c r="A134" s="446">
        <v>11.2</v>
      </c>
      <c r="B134" s="874" t="s">
        <v>344</v>
      </c>
      <c r="C134" s="875"/>
      <c r="D134" s="189">
        <f>VLOOKUP(A133,'Point Allocation'!$A$20:$J$41,MATCH(A7,'Point Allocation'!$A$20:$J$20,0),0)</f>
        <v>2</v>
      </c>
      <c r="E134" s="548"/>
      <c r="F134" s="548"/>
      <c r="G134" s="538">
        <f>IFERROR(SUM(E134:F134)/SUM($E$138:$F$138),0)</f>
        <v>0</v>
      </c>
      <c r="H134" s="437">
        <f t="shared" si="2"/>
        <v>0</v>
      </c>
      <c r="R134" s="53"/>
      <c r="S134" s="45"/>
    </row>
    <row r="135" spans="1:19" s="29" customFormat="1">
      <c r="A135" s="409">
        <v>11.3</v>
      </c>
      <c r="B135" s="874" t="s">
        <v>352</v>
      </c>
      <c r="C135" s="875"/>
      <c r="D135" s="98">
        <f>VLOOKUP(A135,'Point Allocation'!$A$20:$J$41,MATCH(A7,'Point Allocation'!$A$20:$J$20,0),0)</f>
        <v>0</v>
      </c>
      <c r="E135" s="548"/>
      <c r="F135" s="548"/>
      <c r="G135" s="538">
        <f>IFERROR(SUM(E135:F135)/SUM($E$138:$F$138),0)</f>
        <v>0</v>
      </c>
      <c r="H135" s="437">
        <f t="shared" si="2"/>
        <v>0</v>
      </c>
      <c r="R135" s="53"/>
      <c r="S135" s="45"/>
    </row>
    <row r="136" spans="1:19" s="29" customFormat="1">
      <c r="A136" s="447">
        <v>11.4</v>
      </c>
      <c r="B136" s="866"/>
      <c r="C136" s="867"/>
      <c r="D136" s="537"/>
      <c r="E136" s="548"/>
      <c r="F136" s="548"/>
      <c r="G136" s="538">
        <f>IFERROR(SUM(E136:F136)/SUM($E$138:$F$138),0)</f>
        <v>0</v>
      </c>
      <c r="H136" s="437">
        <f t="shared" si="2"/>
        <v>0</v>
      </c>
      <c r="R136" s="53"/>
      <c r="S136" s="45"/>
    </row>
    <row r="137" spans="1:19" s="29" customFormat="1">
      <c r="A137" s="447">
        <v>11.5</v>
      </c>
      <c r="B137" s="866"/>
      <c r="C137" s="867"/>
      <c r="D137" s="537"/>
      <c r="E137" s="548"/>
      <c r="F137" s="548"/>
      <c r="G137" s="538">
        <f>IFERROR(SUM(E137:F137)/SUM($E$138:$F$138),0)</f>
        <v>0</v>
      </c>
      <c r="H137" s="437">
        <f t="shared" si="2"/>
        <v>0</v>
      </c>
      <c r="R137" s="53"/>
      <c r="S137" s="45"/>
    </row>
    <row r="138" spans="1:19" s="29" customFormat="1" ht="15.6">
      <c r="A138" s="412"/>
      <c r="B138" s="325"/>
      <c r="C138" s="323"/>
      <c r="D138" s="330" t="s">
        <v>140</v>
      </c>
      <c r="E138" s="333">
        <f>SUM(E120:E137)</f>
        <v>0</v>
      </c>
      <c r="F138" s="335">
        <f>SUM(F120:F137)</f>
        <v>0</v>
      </c>
      <c r="G138" s="336">
        <f>SUM(G120:G137)</f>
        <v>0</v>
      </c>
      <c r="H138" s="448">
        <f>IFERROR(SUM(H120:H137),0)</f>
        <v>0</v>
      </c>
      <c r="R138" s="53"/>
      <c r="S138" s="45"/>
    </row>
    <row r="139" spans="1:19" s="29" customFormat="1">
      <c r="A139" s="414"/>
      <c r="B139" s="325"/>
      <c r="C139" s="323"/>
      <c r="D139" s="323"/>
      <c r="E139" s="323"/>
      <c r="F139" s="323"/>
      <c r="G139" s="332"/>
      <c r="H139" s="388"/>
      <c r="R139" s="53"/>
      <c r="S139" s="45"/>
    </row>
    <row r="140" spans="1:19" s="29" customFormat="1" ht="46.8">
      <c r="A140" s="868" t="s">
        <v>0</v>
      </c>
      <c r="B140" s="869"/>
      <c r="C140" s="176"/>
      <c r="D140" s="545" t="s">
        <v>58</v>
      </c>
      <c r="E140" s="545" t="s">
        <v>59</v>
      </c>
      <c r="F140" s="870" t="s">
        <v>60</v>
      </c>
      <c r="G140" s="870"/>
      <c r="H140" s="449" t="s">
        <v>63</v>
      </c>
      <c r="K140" s="107" t="s">
        <v>72</v>
      </c>
      <c r="L140" s="107">
        <v>1</v>
      </c>
      <c r="M140" s="107">
        <v>2</v>
      </c>
      <c r="N140" s="107">
        <v>3</v>
      </c>
      <c r="O140" s="107">
        <v>4</v>
      </c>
      <c r="P140" s="107">
        <v>5</v>
      </c>
      <c r="Q140" s="107">
        <v>6</v>
      </c>
      <c r="R140" s="53"/>
      <c r="S140" s="45"/>
    </row>
    <row r="141" spans="1:19" s="29" customFormat="1" ht="15.6">
      <c r="A141" s="450" t="s">
        <v>240</v>
      </c>
      <c r="B141" s="130" t="s">
        <v>148</v>
      </c>
      <c r="C141" s="175"/>
      <c r="D141" s="57"/>
      <c r="E141" s="57"/>
      <c r="F141" s="58"/>
      <c r="G141" s="108"/>
      <c r="H141" s="451"/>
      <c r="K141" s="107" t="s">
        <v>74</v>
      </c>
      <c r="L141" s="107" t="s">
        <v>73</v>
      </c>
      <c r="M141" s="107">
        <v>1</v>
      </c>
      <c r="N141" s="107">
        <v>2</v>
      </c>
      <c r="O141" s="107">
        <v>3</v>
      </c>
      <c r="P141" s="107">
        <v>4</v>
      </c>
      <c r="Q141" s="107">
        <v>4</v>
      </c>
      <c r="R141" s="53"/>
      <c r="S141" s="45"/>
    </row>
    <row r="142" spans="1:19" s="29" customFormat="1">
      <c r="A142" s="391" t="s">
        <v>241</v>
      </c>
      <c r="B142" s="520" t="s">
        <v>442</v>
      </c>
      <c r="C142" s="177" t="s">
        <v>56</v>
      </c>
      <c r="D142" s="854"/>
      <c r="E142" s="854"/>
      <c r="F142" s="892" t="str">
        <f>IF(D142&gt;9,D142/E142," ")</f>
        <v xml:space="preserve"> </v>
      </c>
      <c r="G142" s="892"/>
      <c r="H142" s="437">
        <f>IF(D142="",0,IF(D142&lt;9,2,IF((D142/E142)=0,2,IF((D142/E142)&lt;10%,1.5,IF((D142/E142)&lt;15%,1,IF((D142/E142)&lt;20%,0.5,0))))))</f>
        <v>0</v>
      </c>
      <c r="K142" s="107" t="s">
        <v>75</v>
      </c>
      <c r="L142" s="107" t="s">
        <v>73</v>
      </c>
      <c r="M142" s="107">
        <v>5</v>
      </c>
      <c r="N142" s="107">
        <v>15</v>
      </c>
      <c r="O142" s="107">
        <v>25</v>
      </c>
      <c r="P142" s="107">
        <v>35</v>
      </c>
      <c r="Q142" s="107">
        <v>35</v>
      </c>
      <c r="R142" s="53"/>
      <c r="S142" s="45"/>
    </row>
    <row r="143" spans="1:19" s="29" customFormat="1">
      <c r="A143" s="391" t="s">
        <v>242</v>
      </c>
      <c r="B143" s="520" t="s">
        <v>443</v>
      </c>
      <c r="C143" s="177" t="s">
        <v>57</v>
      </c>
      <c r="D143" s="854"/>
      <c r="E143" s="854"/>
      <c r="F143" s="893"/>
      <c r="G143" s="893"/>
      <c r="H143" s="437">
        <f>IF(E142="",0,IF(E142&lt;15,HLOOKUP(F143,K140:Q147,4,FALSE),IF(E142&lt;45,HLOOKUP(F143,K140:Q147,5,FALSE),IF(E142&lt;90,HLOOKUP(F143,K140:Q147,6,FALSE),IF(E142&lt;135,HLOOKUP(F143,K140:Q147,7,FALSE),IF(E142&gt;=135,HLOOKUP(F143,K140:Q147,8,FALSE),3))))))</f>
        <v>0</v>
      </c>
      <c r="J143" s="55"/>
      <c r="K143" s="107" t="s">
        <v>76</v>
      </c>
      <c r="L143" s="107">
        <v>3</v>
      </c>
      <c r="M143" s="107">
        <v>3</v>
      </c>
      <c r="N143" s="107">
        <v>3</v>
      </c>
      <c r="O143" s="107">
        <v>2.5</v>
      </c>
      <c r="P143" s="107">
        <v>1.5</v>
      </c>
      <c r="Q143" s="107">
        <v>0</v>
      </c>
      <c r="R143" s="53"/>
      <c r="S143" s="45"/>
    </row>
    <row r="144" spans="1:19" s="29" customFormat="1">
      <c r="A144" s="412"/>
      <c r="B144" s="325"/>
      <c r="C144" s="332"/>
      <c r="D144" s="337"/>
      <c r="E144" s="337"/>
      <c r="F144" s="337"/>
      <c r="G144" s="337"/>
      <c r="H144" s="452"/>
      <c r="J144" s="55"/>
      <c r="K144" s="107" t="s">
        <v>77</v>
      </c>
      <c r="L144" s="107">
        <v>3</v>
      </c>
      <c r="M144" s="107">
        <v>3</v>
      </c>
      <c r="N144" s="107">
        <v>2.5</v>
      </c>
      <c r="O144" s="107">
        <v>1.5</v>
      </c>
      <c r="P144" s="107">
        <v>1</v>
      </c>
      <c r="Q144" s="107">
        <v>0</v>
      </c>
      <c r="R144" s="53"/>
      <c r="S144" s="45"/>
    </row>
    <row r="145" spans="1:19" s="29" customFormat="1" ht="15.6">
      <c r="A145" s="412"/>
      <c r="B145" s="338"/>
      <c r="C145" s="332"/>
      <c r="D145" s="332"/>
      <c r="E145" s="332"/>
      <c r="F145" s="323"/>
      <c r="G145" s="339"/>
      <c r="H145" s="453"/>
      <c r="J145" s="55"/>
      <c r="K145" s="107" t="s">
        <v>78</v>
      </c>
      <c r="L145" s="107">
        <v>3</v>
      </c>
      <c r="M145" s="107">
        <v>2.5</v>
      </c>
      <c r="N145" s="107">
        <v>1.5</v>
      </c>
      <c r="O145" s="107">
        <v>1</v>
      </c>
      <c r="P145" s="107">
        <v>0</v>
      </c>
      <c r="Q145" s="107">
        <v>0</v>
      </c>
      <c r="R145" s="53"/>
      <c r="S145" s="45"/>
    </row>
    <row r="146" spans="1:19" s="29" customFormat="1" ht="15.75" customHeight="1">
      <c r="A146" s="876" t="s">
        <v>0</v>
      </c>
      <c r="B146" s="877"/>
      <c r="C146" s="991"/>
      <c r="D146" s="880" t="s">
        <v>4</v>
      </c>
      <c r="E146" s="895" t="s">
        <v>1</v>
      </c>
      <c r="F146" s="881"/>
      <c r="G146" s="896" t="s">
        <v>21</v>
      </c>
      <c r="H146" s="890" t="s">
        <v>63</v>
      </c>
      <c r="J146" s="55"/>
      <c r="K146" s="107" t="s">
        <v>79</v>
      </c>
      <c r="L146" s="107">
        <v>3</v>
      </c>
      <c r="M146" s="107">
        <v>1.5</v>
      </c>
      <c r="N146" s="107">
        <v>1</v>
      </c>
      <c r="O146" s="107">
        <v>0</v>
      </c>
      <c r="P146" s="107">
        <v>0</v>
      </c>
      <c r="Q146" s="107">
        <v>0</v>
      </c>
      <c r="R146" s="53"/>
      <c r="S146" s="45"/>
    </row>
    <row r="147" spans="1:19" s="29" customFormat="1" ht="30" customHeight="1">
      <c r="A147" s="878"/>
      <c r="B147" s="879"/>
      <c r="C147" s="992"/>
      <c r="D147" s="881"/>
      <c r="E147" s="545" t="s">
        <v>65</v>
      </c>
      <c r="F147" s="545" t="s">
        <v>66</v>
      </c>
      <c r="G147" s="897"/>
      <c r="H147" s="891"/>
      <c r="J147" s="55"/>
      <c r="K147" s="107" t="s">
        <v>80</v>
      </c>
      <c r="L147" s="107">
        <v>3</v>
      </c>
      <c r="M147" s="107">
        <v>1</v>
      </c>
      <c r="N147" s="107">
        <v>0</v>
      </c>
      <c r="O147" s="107">
        <v>0</v>
      </c>
      <c r="P147" s="107">
        <v>0</v>
      </c>
      <c r="Q147" s="107">
        <v>0</v>
      </c>
      <c r="R147" s="53"/>
      <c r="S147" s="45"/>
    </row>
    <row r="148" spans="1:19" s="29" customFormat="1" ht="15.6">
      <c r="A148" s="454" t="s">
        <v>243</v>
      </c>
      <c r="B148" s="109" t="s">
        <v>264</v>
      </c>
      <c r="C148" s="110"/>
      <c r="D148" s="110"/>
      <c r="E148" s="110"/>
      <c r="F148" s="114"/>
      <c r="G148" s="115"/>
      <c r="H148" s="455"/>
      <c r="K148" s="107" t="s">
        <v>74</v>
      </c>
      <c r="L148" s="107" t="s">
        <v>73</v>
      </c>
      <c r="M148" s="107">
        <v>1</v>
      </c>
      <c r="N148" s="107">
        <v>2</v>
      </c>
      <c r="O148" s="107">
        <v>3</v>
      </c>
      <c r="P148" s="107">
        <v>4</v>
      </c>
      <c r="Q148" s="107">
        <v>4</v>
      </c>
      <c r="R148" s="53"/>
      <c r="S148" s="45"/>
    </row>
    <row r="149" spans="1:19" s="29" customFormat="1" ht="15.6">
      <c r="A149" s="456" t="s">
        <v>244</v>
      </c>
      <c r="B149" s="158" t="s">
        <v>231</v>
      </c>
      <c r="C149" s="159"/>
      <c r="D149" s="160"/>
      <c r="E149" s="161"/>
      <c r="F149" s="161"/>
      <c r="G149" s="162"/>
      <c r="H149" s="457"/>
      <c r="J149" s="55"/>
      <c r="R149" s="53"/>
      <c r="S149" s="45"/>
    </row>
    <row r="150" spans="1:19" s="29" customFormat="1">
      <c r="A150" s="418" t="s">
        <v>245</v>
      </c>
      <c r="B150" s="885" t="s">
        <v>424</v>
      </c>
      <c r="C150" s="884"/>
      <c r="D150" s="163" t="s">
        <v>51</v>
      </c>
      <c r="E150" s="541">
        <v>2</v>
      </c>
      <c r="F150" s="541">
        <v>3</v>
      </c>
      <c r="G150" s="27"/>
      <c r="H150" s="405">
        <f t="shared" ref="H150:H159" si="3">IF(G150&gt;=80%,F150,IF(G150&lt;65%,0,E150))</f>
        <v>0</v>
      </c>
      <c r="R150" s="53"/>
      <c r="S150" s="45"/>
    </row>
    <row r="151" spans="1:19" s="29" customFormat="1">
      <c r="A151" s="418" t="s">
        <v>246</v>
      </c>
      <c r="B151" s="844" t="s">
        <v>423</v>
      </c>
      <c r="C151" s="845"/>
      <c r="D151" s="164" t="s">
        <v>51</v>
      </c>
      <c r="E151" s="20">
        <v>2</v>
      </c>
      <c r="F151" s="20">
        <v>3</v>
      </c>
      <c r="G151" s="547"/>
      <c r="H151" s="405">
        <f>IF(G151&gt;=80%,F151,IF(G151&lt;65%,0,E151))</f>
        <v>0</v>
      </c>
      <c r="R151" s="53"/>
      <c r="S151" s="45"/>
    </row>
    <row r="152" spans="1:19" s="29" customFormat="1" ht="30">
      <c r="A152" s="839" t="s">
        <v>247</v>
      </c>
      <c r="B152" s="915" t="s">
        <v>448</v>
      </c>
      <c r="C152" s="916"/>
      <c r="D152" s="521" t="s">
        <v>446</v>
      </c>
      <c r="E152" s="907">
        <v>2.5</v>
      </c>
      <c r="F152" s="908"/>
      <c r="G152" s="940"/>
      <c r="H152" s="938">
        <f>IF(G152&gt;=35,E153,IF(G152&gt;=30,E152,0))</f>
        <v>0</v>
      </c>
      <c r="R152" s="53"/>
      <c r="S152" s="45"/>
    </row>
    <row r="153" spans="1:19" s="29" customFormat="1" ht="30">
      <c r="A153" s="841"/>
      <c r="B153" s="917"/>
      <c r="C153" s="918"/>
      <c r="D153" s="521" t="s">
        <v>447</v>
      </c>
      <c r="E153" s="907">
        <v>3</v>
      </c>
      <c r="F153" s="908"/>
      <c r="G153" s="941"/>
      <c r="H153" s="939"/>
      <c r="R153" s="53"/>
      <c r="S153" s="45"/>
    </row>
    <row r="154" spans="1:19" s="29" customFormat="1" ht="31.5" customHeight="1">
      <c r="A154" s="839" t="s">
        <v>248</v>
      </c>
      <c r="B154" s="915" t="s">
        <v>449</v>
      </c>
      <c r="C154" s="933"/>
      <c r="D154" s="165" t="s">
        <v>372</v>
      </c>
      <c r="E154" s="864">
        <v>4</v>
      </c>
      <c r="F154" s="865"/>
      <c r="G154" s="942"/>
      <c r="H154" s="945">
        <f>IF(G154&gt;=80,E154,IF(G154&gt;=70,E155,IF(G154&gt;=60,E156,IF(G154&gt;=50,E157,0))))</f>
        <v>0</v>
      </c>
      <c r="I154" s="913"/>
      <c r="R154" s="53"/>
      <c r="S154" s="45"/>
    </row>
    <row r="155" spans="1:19" s="29" customFormat="1" ht="31.5" customHeight="1">
      <c r="A155" s="840"/>
      <c r="B155" s="934"/>
      <c r="C155" s="935"/>
      <c r="D155" s="165" t="s">
        <v>373</v>
      </c>
      <c r="E155" s="864">
        <v>3</v>
      </c>
      <c r="F155" s="865"/>
      <c r="G155" s="943"/>
      <c r="H155" s="946"/>
      <c r="I155" s="913"/>
      <c r="R155" s="53"/>
      <c r="S155" s="45"/>
    </row>
    <row r="156" spans="1:19" s="29" customFormat="1" ht="31.5" customHeight="1">
      <c r="A156" s="840"/>
      <c r="B156" s="934"/>
      <c r="C156" s="935"/>
      <c r="D156" s="165" t="s">
        <v>411</v>
      </c>
      <c r="E156" s="864">
        <v>2</v>
      </c>
      <c r="F156" s="865"/>
      <c r="G156" s="943"/>
      <c r="H156" s="946"/>
      <c r="I156" s="913"/>
      <c r="R156" s="53"/>
      <c r="S156" s="45"/>
    </row>
    <row r="157" spans="1:19" s="29" customFormat="1" ht="31.5" customHeight="1">
      <c r="A157" s="841"/>
      <c r="B157" s="936"/>
      <c r="C157" s="937"/>
      <c r="D157" s="165" t="s">
        <v>412</v>
      </c>
      <c r="E157" s="864">
        <v>1</v>
      </c>
      <c r="F157" s="865"/>
      <c r="G157" s="944"/>
      <c r="H157" s="947"/>
      <c r="I157" s="913"/>
      <c r="R157" s="53"/>
      <c r="S157" s="45"/>
    </row>
    <row r="158" spans="1:19" s="29" customFormat="1" ht="31.5" customHeight="1">
      <c r="A158" s="839" t="s">
        <v>414</v>
      </c>
      <c r="B158" s="915" t="s">
        <v>444</v>
      </c>
      <c r="C158" s="933"/>
      <c r="D158" s="165" t="s">
        <v>67</v>
      </c>
      <c r="E158" s="376">
        <v>3.5</v>
      </c>
      <c r="F158" s="376">
        <v>4</v>
      </c>
      <c r="G158" s="27"/>
      <c r="H158" s="405">
        <f t="shared" si="3"/>
        <v>0</v>
      </c>
      <c r="I158" s="913"/>
      <c r="R158" s="53"/>
      <c r="S158" s="45"/>
    </row>
    <row r="159" spans="1:19" s="29" customFormat="1" ht="30">
      <c r="A159" s="841"/>
      <c r="B159" s="936"/>
      <c r="C159" s="937"/>
      <c r="D159" s="165" t="s">
        <v>68</v>
      </c>
      <c r="E159" s="376">
        <v>2.5</v>
      </c>
      <c r="F159" s="376">
        <v>3</v>
      </c>
      <c r="G159" s="27"/>
      <c r="H159" s="405">
        <f t="shared" si="3"/>
        <v>0</v>
      </c>
      <c r="R159" s="53"/>
      <c r="S159" s="45"/>
    </row>
    <row r="160" spans="1:19" s="29" customFormat="1">
      <c r="A160" s="522" t="s">
        <v>594</v>
      </c>
      <c r="B160" s="999" t="s">
        <v>421</v>
      </c>
      <c r="C160" s="1000"/>
      <c r="D160" s="523" t="s">
        <v>51</v>
      </c>
      <c r="E160" s="551">
        <v>2</v>
      </c>
      <c r="F160" s="551">
        <v>2.5</v>
      </c>
      <c r="G160" s="27"/>
      <c r="H160" s="298">
        <f>IF(G160&gt;=80%,F160,IF(G160&lt;65%,0,E160))</f>
        <v>0</v>
      </c>
      <c r="R160" s="53"/>
      <c r="S160" s="45"/>
    </row>
    <row r="161" spans="1:19" s="29" customFormat="1" ht="15.6">
      <c r="A161" s="431" t="s">
        <v>249</v>
      </c>
      <c r="B161" s="86" t="s">
        <v>299</v>
      </c>
      <c r="C161" s="93"/>
      <c r="D161" s="160"/>
      <c r="E161" s="161"/>
      <c r="F161" s="161"/>
      <c r="G161" s="162"/>
      <c r="H161" s="457"/>
      <c r="I161" s="172"/>
      <c r="R161" s="53"/>
      <c r="S161" s="45"/>
    </row>
    <row r="162" spans="1:19" s="29" customFormat="1" ht="32.25" customHeight="1">
      <c r="A162" s="418" t="s">
        <v>250</v>
      </c>
      <c r="B162" s="936" t="s">
        <v>597</v>
      </c>
      <c r="C162" s="937"/>
      <c r="D162" s="543" t="s">
        <v>51</v>
      </c>
      <c r="E162" s="541">
        <v>2</v>
      </c>
      <c r="F162" s="541">
        <v>2.5</v>
      </c>
      <c r="G162" s="27"/>
      <c r="H162" s="405">
        <f>IF(G162&gt;=80%,F162,IF(G162&lt;65%,0,E162))</f>
        <v>0</v>
      </c>
      <c r="R162" s="53"/>
      <c r="S162" s="45"/>
    </row>
    <row r="163" spans="1:19" s="29" customFormat="1" ht="29.25" customHeight="1">
      <c r="A163" s="418" t="s">
        <v>251</v>
      </c>
      <c r="B163" s="999" t="s">
        <v>445</v>
      </c>
      <c r="C163" s="1000"/>
      <c r="D163" s="543" t="s">
        <v>51</v>
      </c>
      <c r="E163" s="541">
        <v>2</v>
      </c>
      <c r="F163" s="541">
        <v>2.5</v>
      </c>
      <c r="G163" s="27"/>
      <c r="H163" s="405">
        <f>IF(G163&gt;=80%,F163,IF(G163&lt;65%,0,E163))</f>
        <v>0</v>
      </c>
      <c r="R163" s="53"/>
      <c r="S163" s="45"/>
    </row>
    <row r="164" spans="1:19" s="29" customFormat="1" ht="15.6">
      <c r="A164" s="431">
        <v>15</v>
      </c>
      <c r="B164" s="86" t="s">
        <v>278</v>
      </c>
      <c r="C164" s="93"/>
      <c r="D164" s="160"/>
      <c r="E164" s="161"/>
      <c r="F164" s="161"/>
      <c r="G164" s="162"/>
      <c r="H164" s="457"/>
      <c r="I164" s="172"/>
      <c r="R164" s="53"/>
      <c r="S164" s="45"/>
    </row>
    <row r="165" spans="1:19" s="29" customFormat="1">
      <c r="A165" s="839" t="s">
        <v>252</v>
      </c>
      <c r="B165" s="936" t="s">
        <v>297</v>
      </c>
      <c r="C165" s="937"/>
      <c r="D165" s="919" t="s">
        <v>51</v>
      </c>
      <c r="E165" s="910">
        <v>2.5</v>
      </c>
      <c r="F165" s="910">
        <v>4</v>
      </c>
      <c r="G165" s="899"/>
      <c r="H165" s="945">
        <f>IF(G165&gt;=80%,F165,IF(G165&lt;65%,0,E165))</f>
        <v>0</v>
      </c>
      <c r="I165" s="172"/>
      <c r="R165" s="53"/>
      <c r="S165" s="45"/>
    </row>
    <row r="166" spans="1:19" s="29" customFormat="1" ht="15.6">
      <c r="A166" s="841"/>
      <c r="B166" s="998" t="s">
        <v>298</v>
      </c>
      <c r="C166" s="998"/>
      <c r="D166" s="920"/>
      <c r="E166" s="911"/>
      <c r="F166" s="911"/>
      <c r="G166" s="900"/>
      <c r="H166" s="947"/>
      <c r="I166" s="172"/>
      <c r="R166" s="53"/>
      <c r="S166" s="45"/>
    </row>
    <row r="167" spans="1:19" s="29" customFormat="1">
      <c r="A167" s="839" t="s">
        <v>253</v>
      </c>
      <c r="B167" s="885" t="s">
        <v>146</v>
      </c>
      <c r="C167" s="884"/>
      <c r="D167" s="769" t="s">
        <v>51</v>
      </c>
      <c r="E167" s="906">
        <v>2.5</v>
      </c>
      <c r="F167" s="906">
        <v>4</v>
      </c>
      <c r="G167" s="905"/>
      <c r="H167" s="909">
        <f>IF(G167&gt;=80%,F167,IF(G167&lt;65%,0,E167))</f>
        <v>0</v>
      </c>
      <c r="I167" s="172"/>
      <c r="R167" s="53"/>
      <c r="S167" s="45"/>
    </row>
    <row r="168" spans="1:19" s="29" customFormat="1" ht="15.6">
      <c r="A168" s="841"/>
      <c r="B168" s="998" t="s">
        <v>120</v>
      </c>
      <c r="C168" s="998"/>
      <c r="D168" s="769"/>
      <c r="E168" s="906"/>
      <c r="F168" s="906"/>
      <c r="G168" s="905"/>
      <c r="H168" s="909"/>
      <c r="I168" s="172"/>
      <c r="R168" s="53"/>
      <c r="S168" s="45"/>
    </row>
    <row r="169" spans="1:19" s="29" customFormat="1" ht="15.6">
      <c r="A169" s="443">
        <v>16</v>
      </c>
      <c r="B169" s="106" t="s">
        <v>213</v>
      </c>
      <c r="C169" s="93"/>
      <c r="D169" s="93"/>
      <c r="E169" s="95"/>
      <c r="F169" s="95"/>
      <c r="G169" s="96"/>
      <c r="H169" s="436"/>
      <c r="R169" s="60"/>
      <c r="S169" s="45"/>
    </row>
    <row r="170" spans="1:19" s="29" customFormat="1">
      <c r="A170" s="418" t="s">
        <v>255</v>
      </c>
      <c r="B170" s="826"/>
      <c r="C170" s="821"/>
      <c r="D170" s="111"/>
      <c r="E170" s="537"/>
      <c r="F170" s="537"/>
      <c r="G170" s="67"/>
      <c r="H170" s="542">
        <f>IF(G170&gt;=80%,F170,IF(G170&lt;65%,0,E170))</f>
        <v>0</v>
      </c>
      <c r="R170" s="53"/>
      <c r="S170" s="45"/>
    </row>
    <row r="171" spans="1:19" s="29" customFormat="1">
      <c r="A171" s="418" t="s">
        <v>256</v>
      </c>
      <c r="B171" s="826"/>
      <c r="C171" s="821"/>
      <c r="D171" s="111"/>
      <c r="E171" s="537"/>
      <c r="F171" s="537"/>
      <c r="G171" s="67"/>
      <c r="H171" s="542">
        <f>IF(G171&gt;=80%,F171,IF(G171&lt;65%,0,E171))</f>
        <v>0</v>
      </c>
      <c r="R171" s="53"/>
      <c r="S171" s="45"/>
    </row>
    <row r="172" spans="1:19" s="29" customFormat="1">
      <c r="A172" s="418" t="s">
        <v>257</v>
      </c>
      <c r="B172" s="826"/>
      <c r="C172" s="821"/>
      <c r="D172" s="111"/>
      <c r="E172" s="537"/>
      <c r="F172" s="537"/>
      <c r="G172" s="67"/>
      <c r="H172" s="542">
        <f>IF(G172&gt;=80%,F172,IF(G172&lt;65%,0,E172))</f>
        <v>0</v>
      </c>
      <c r="R172" s="53"/>
      <c r="S172" s="45"/>
    </row>
    <row r="173" spans="1:19" s="29" customFormat="1" ht="15.6">
      <c r="A173" s="425"/>
      <c r="B173" s="325"/>
      <c r="C173" s="323"/>
      <c r="D173" s="323"/>
      <c r="E173" s="323"/>
      <c r="F173" s="327"/>
      <c r="G173" s="328" t="s">
        <v>419</v>
      </c>
      <c r="H173" s="458">
        <f>IFERROR((SUM(H142:H172)),0)</f>
        <v>0</v>
      </c>
      <c r="R173" s="53"/>
      <c r="S173" s="45"/>
    </row>
    <row r="174" spans="1:19" s="29" customFormat="1" ht="15.6" thickBot="1">
      <c r="A174" s="491"/>
      <c r="B174" s="492"/>
      <c r="C174" s="493"/>
      <c r="D174" s="493"/>
      <c r="E174" s="493"/>
      <c r="F174" s="493"/>
      <c r="G174" s="480"/>
      <c r="H174" s="639"/>
      <c r="R174" s="53"/>
      <c r="S174" s="45"/>
    </row>
    <row r="175" spans="1:19" s="29" customFormat="1" ht="30.75" customHeight="1">
      <c r="A175" s="995" t="s">
        <v>0</v>
      </c>
      <c r="B175" s="996"/>
      <c r="C175" s="997"/>
      <c r="D175" s="1011" t="s">
        <v>4</v>
      </c>
      <c r="E175" s="902" t="s">
        <v>1</v>
      </c>
      <c r="F175" s="903"/>
      <c r="G175" s="898" t="s">
        <v>21</v>
      </c>
      <c r="H175" s="888" t="s">
        <v>63</v>
      </c>
      <c r="R175" s="53"/>
      <c r="S175" s="45"/>
    </row>
    <row r="176" spans="1:19" s="29" customFormat="1" ht="15.6">
      <c r="A176" s="878"/>
      <c r="B176" s="879"/>
      <c r="C176" s="992"/>
      <c r="D176" s="1012"/>
      <c r="E176" s="545" t="s">
        <v>121</v>
      </c>
      <c r="F176" s="545" t="s">
        <v>122</v>
      </c>
      <c r="G176" s="870"/>
      <c r="H176" s="889"/>
      <c r="R176" s="53"/>
      <c r="S176" s="45"/>
    </row>
    <row r="177" spans="1:19" s="29" customFormat="1" ht="15.6">
      <c r="A177" s="450" t="s">
        <v>254</v>
      </c>
      <c r="B177" s="109" t="s">
        <v>258</v>
      </c>
      <c r="C177" s="110"/>
      <c r="D177" s="110"/>
      <c r="E177" s="110"/>
      <c r="F177" s="114"/>
      <c r="G177" s="115"/>
      <c r="H177" s="455"/>
      <c r="R177" s="53"/>
      <c r="S177" s="45"/>
    </row>
    <row r="178" spans="1:19" s="29" customFormat="1">
      <c r="A178" s="391" t="s">
        <v>300</v>
      </c>
      <c r="B178" s="885" t="s">
        <v>259</v>
      </c>
      <c r="C178" s="886"/>
      <c r="D178" s="5" t="s">
        <v>51</v>
      </c>
      <c r="E178" s="20">
        <v>-1</v>
      </c>
      <c r="F178" s="20">
        <v>-2</v>
      </c>
      <c r="G178" s="28"/>
      <c r="H178" s="405">
        <f>IF(G178&gt;=30%,F178,IF(G178=0%,0,E178))</f>
        <v>0</v>
      </c>
      <c r="R178" s="53"/>
      <c r="S178" s="45"/>
    </row>
    <row r="179" spans="1:19" s="29" customFormat="1">
      <c r="A179" s="391" t="s">
        <v>301</v>
      </c>
      <c r="B179" s="885" t="s">
        <v>260</v>
      </c>
      <c r="C179" s="886"/>
      <c r="D179" s="5" t="s">
        <v>51</v>
      </c>
      <c r="E179" s="20">
        <v>-1</v>
      </c>
      <c r="F179" s="20">
        <v>-1.5</v>
      </c>
      <c r="G179" s="28"/>
      <c r="H179" s="405">
        <f>IF(G179&gt;=30%,F179,IF(G179=0%,0,E179))</f>
        <v>0</v>
      </c>
      <c r="R179" s="53"/>
      <c r="S179" s="45"/>
    </row>
    <row r="180" spans="1:19" s="29" customFormat="1">
      <c r="A180" s="391" t="s">
        <v>302</v>
      </c>
      <c r="B180" s="885" t="s">
        <v>261</v>
      </c>
      <c r="C180" s="886"/>
      <c r="D180" s="5" t="s">
        <v>51</v>
      </c>
      <c r="E180" s="904">
        <v>-1</v>
      </c>
      <c r="F180" s="904"/>
      <c r="G180" s="547"/>
      <c r="H180" s="405">
        <f>IF(G180&gt;0%,E180,0)</f>
        <v>0</v>
      </c>
      <c r="R180" s="53"/>
      <c r="S180" s="45"/>
    </row>
    <row r="181" spans="1:19" s="29" customFormat="1" ht="15.6">
      <c r="A181" s="425"/>
      <c r="B181" s="325"/>
      <c r="C181" s="323"/>
      <c r="D181" s="323"/>
      <c r="E181" s="323"/>
      <c r="F181" s="327"/>
      <c r="G181" s="328" t="s">
        <v>142</v>
      </c>
      <c r="H181" s="458">
        <f>IFERROR(MAX(SUM(H178:H180),-4),0)</f>
        <v>0</v>
      </c>
      <c r="R181" s="45"/>
      <c r="S181" s="45"/>
    </row>
    <row r="182" spans="1:19" s="29" customFormat="1">
      <c r="A182" s="412"/>
      <c r="B182" s="325"/>
      <c r="C182" s="323"/>
      <c r="D182" s="323"/>
      <c r="E182" s="323"/>
      <c r="F182" s="323"/>
      <c r="G182" s="332"/>
      <c r="H182" s="388"/>
      <c r="R182" s="53"/>
      <c r="S182" s="45"/>
    </row>
    <row r="183" spans="1:19" s="29" customFormat="1" ht="15.6">
      <c r="A183" s="412"/>
      <c r="B183" s="325"/>
      <c r="C183" s="323"/>
      <c r="D183" s="323"/>
      <c r="E183" s="323"/>
      <c r="F183" s="323"/>
      <c r="G183" s="330" t="s">
        <v>141</v>
      </c>
      <c r="H183" s="459">
        <f>IFERROR(MIN(SUM(H115+H138+H173+H181),G86),0)</f>
        <v>0</v>
      </c>
      <c r="R183" s="53"/>
      <c r="S183" s="45"/>
    </row>
    <row r="184" spans="1:19" s="29" customFormat="1" ht="16.2" thickBot="1">
      <c r="A184" s="491"/>
      <c r="B184" s="492"/>
      <c r="C184" s="493"/>
      <c r="D184" s="493"/>
      <c r="E184" s="493"/>
      <c r="F184" s="493"/>
      <c r="G184" s="494"/>
      <c r="H184" s="495"/>
      <c r="R184" s="53"/>
      <c r="S184" s="45"/>
    </row>
    <row r="185" spans="1:19" s="29" customFormat="1" ht="15.6">
      <c r="A185" s="481" t="s">
        <v>64</v>
      </c>
      <c r="B185" s="482"/>
      <c r="C185" s="482"/>
      <c r="D185" s="482"/>
      <c r="E185" s="482"/>
      <c r="F185" s="483" t="s">
        <v>43</v>
      </c>
      <c r="G185" s="484">
        <f>VLOOKUP($A$7,'Manpower allocation'!A4:D11,4,FALSE)*100</f>
        <v>15</v>
      </c>
      <c r="H185" s="485" t="s">
        <v>42</v>
      </c>
      <c r="J185" s="112">
        <f>VLOOKUP($A$7,'Manpower allocation'!A4:D11,4,FALSE)*100</f>
        <v>15</v>
      </c>
      <c r="R185" s="53"/>
      <c r="S185" s="45"/>
    </row>
    <row r="186" spans="1:19" s="29" customFormat="1" ht="15.6">
      <c r="A186" s="412"/>
      <c r="B186" s="331"/>
      <c r="C186" s="323"/>
      <c r="D186" s="323"/>
      <c r="E186" s="323"/>
      <c r="F186" s="323"/>
      <c r="G186" s="332"/>
      <c r="H186" s="388"/>
      <c r="R186" s="53"/>
      <c r="S186" s="45"/>
    </row>
    <row r="187" spans="1:19" s="29" customFormat="1" ht="46.8">
      <c r="A187" s="993" t="s">
        <v>0</v>
      </c>
      <c r="B187" s="994"/>
      <c r="C187" s="113"/>
      <c r="D187" s="539" t="s">
        <v>17</v>
      </c>
      <c r="E187" s="539" t="s">
        <v>125</v>
      </c>
      <c r="F187" s="539" t="s">
        <v>109</v>
      </c>
      <c r="G187" s="539" t="s">
        <v>18</v>
      </c>
      <c r="H187" s="544" t="s">
        <v>63</v>
      </c>
      <c r="R187" s="53"/>
      <c r="S187" s="45"/>
    </row>
    <row r="188" spans="1:19" s="29" customFormat="1" ht="15.6">
      <c r="A188" s="454" t="s">
        <v>265</v>
      </c>
      <c r="B188" s="109" t="s">
        <v>358</v>
      </c>
      <c r="C188" s="110"/>
      <c r="D188" s="110"/>
      <c r="E188" s="110"/>
      <c r="F188" s="114"/>
      <c r="G188" s="115"/>
      <c r="H188" s="455"/>
      <c r="R188" s="53"/>
      <c r="S188" s="45"/>
    </row>
    <row r="189" spans="1:19" s="29" customFormat="1" ht="15.6">
      <c r="A189" s="460">
        <v>1</v>
      </c>
      <c r="B189" s="116" t="s">
        <v>338</v>
      </c>
      <c r="C189" s="117"/>
      <c r="D189" s="118"/>
      <c r="E189" s="118"/>
      <c r="F189" s="118"/>
      <c r="G189" s="118"/>
      <c r="H189" s="461"/>
      <c r="R189" s="53"/>
      <c r="S189" s="45"/>
    </row>
    <row r="190" spans="1:19" s="29" customFormat="1">
      <c r="A190" s="409">
        <v>1.1000000000000001</v>
      </c>
      <c r="B190" s="844" t="s">
        <v>290</v>
      </c>
      <c r="C190" s="845"/>
      <c r="D190" s="20">
        <f>VLOOKUP(A190,'Point Allocation'!$A$46:$J$55,MATCH(A7,'Point Allocation'!$A$46:$J$46,0),0)</f>
        <v>15</v>
      </c>
      <c r="E190" s="38"/>
      <c r="F190" s="38"/>
      <c r="G190" s="31">
        <f>MIN(IFERROR(F190/E190,0),100%)</f>
        <v>0</v>
      </c>
      <c r="H190" s="405">
        <f>D190*G190</f>
        <v>0</v>
      </c>
      <c r="R190" s="53"/>
      <c r="S190" s="45"/>
    </row>
    <row r="191" spans="1:19" s="29" customFormat="1" ht="15.6">
      <c r="A191" s="462">
        <v>2</v>
      </c>
      <c r="B191" s="119" t="s">
        <v>339</v>
      </c>
      <c r="C191" s="120"/>
      <c r="D191" s="32"/>
      <c r="E191" s="33"/>
      <c r="F191" s="33"/>
      <c r="G191" s="34"/>
      <c r="H191" s="463"/>
      <c r="R191" s="53"/>
      <c r="S191" s="45"/>
    </row>
    <row r="192" spans="1:19" s="29" customFormat="1" ht="33" customHeight="1">
      <c r="A192" s="464">
        <v>2.1</v>
      </c>
      <c r="B192" s="969" t="s">
        <v>266</v>
      </c>
      <c r="C192" s="971"/>
      <c r="D192" s="20">
        <f>VLOOKUP(A192,'Point Allocation'!$A$46:$J$55,MATCH(A7,'Point Allocation'!$A$46:$J$46,0),0)</f>
        <v>12</v>
      </c>
      <c r="E192" s="38"/>
      <c r="F192" s="38"/>
      <c r="G192" s="31">
        <f>MIN(IFERROR(F192/E192,0),100%)</f>
        <v>0</v>
      </c>
      <c r="H192" s="405">
        <f>D192*G192</f>
        <v>0</v>
      </c>
      <c r="R192" s="53"/>
      <c r="S192" s="45"/>
    </row>
    <row r="193" spans="1:19" s="29" customFormat="1" ht="15.6">
      <c r="A193" s="460">
        <v>3</v>
      </c>
      <c r="B193" s="116" t="s">
        <v>343</v>
      </c>
      <c r="C193" s="121"/>
      <c r="D193" s="35"/>
      <c r="E193" s="35"/>
      <c r="F193" s="35"/>
      <c r="G193" s="34"/>
      <c r="H193" s="465"/>
      <c r="R193" s="53"/>
      <c r="S193" s="45"/>
    </row>
    <row r="194" spans="1:19" s="29" customFormat="1">
      <c r="A194" s="466">
        <v>3.1</v>
      </c>
      <c r="B194" s="850" t="s">
        <v>451</v>
      </c>
      <c r="C194" s="851"/>
      <c r="D194" s="20">
        <f>VLOOKUP(A194,'Point Allocation'!$A$46:$J$55,MATCH(A7,'Point Allocation'!$A$46:$J$46,0),0)</f>
        <v>4</v>
      </c>
      <c r="E194" s="38"/>
      <c r="F194" s="38"/>
      <c r="G194" s="31">
        <f>MIN(IFERROR(F194/E194,0),100%)</f>
        <v>0</v>
      </c>
      <c r="H194" s="405">
        <f>D194*G194</f>
        <v>0</v>
      </c>
      <c r="R194" s="53"/>
      <c r="S194" s="45"/>
    </row>
    <row r="195" spans="1:19" s="29" customFormat="1" ht="32.25" customHeight="1">
      <c r="A195" s="466">
        <v>3.2</v>
      </c>
      <c r="B195" s="850" t="s">
        <v>452</v>
      </c>
      <c r="C195" s="851"/>
      <c r="D195" s="20">
        <f>VLOOKUP(A195,'Point Allocation'!$A$46:$J$55,MATCH(A7,'Point Allocation'!$A$46:$J$46,0),0)</f>
        <v>4</v>
      </c>
      <c r="E195" s="178"/>
      <c r="F195" s="38"/>
      <c r="G195" s="31">
        <f>MIN(IFERROR(F195/E195,0),100%)</f>
        <v>0</v>
      </c>
      <c r="H195" s="405">
        <f>D195*G195</f>
        <v>0</v>
      </c>
      <c r="R195" s="53"/>
      <c r="S195" s="45"/>
    </row>
    <row r="196" spans="1:19" s="29" customFormat="1" ht="32.25" customHeight="1">
      <c r="A196" s="404">
        <v>3.3</v>
      </c>
      <c r="B196" s="885" t="s">
        <v>170</v>
      </c>
      <c r="C196" s="886"/>
      <c r="D196" s="20">
        <f>VLOOKUP(A196,'Point Allocation'!$A$46:$J$55,MATCH(A7,'Point Allocation'!$A$46:$J$46,0),0)</f>
        <v>4</v>
      </c>
      <c r="E196" s="179"/>
      <c r="F196" s="536"/>
      <c r="G196" s="31">
        <f>MIN(IFERROR(F196/E196,0),100%)</f>
        <v>0</v>
      </c>
      <c r="H196" s="405">
        <f>D196*G196</f>
        <v>0</v>
      </c>
      <c r="R196" s="53"/>
      <c r="S196" s="45"/>
    </row>
    <row r="197" spans="1:19" s="29" customFormat="1" ht="15.6">
      <c r="A197" s="412"/>
      <c r="B197" s="325"/>
      <c r="C197" s="323"/>
      <c r="D197" s="324" t="s">
        <v>6</v>
      </c>
      <c r="E197" s="300">
        <f>MAX(SUM(E190:E196),F197)</f>
        <v>0</v>
      </c>
      <c r="F197" s="300">
        <f>SUM(F190:F196)</f>
        <v>0</v>
      </c>
      <c r="G197" s="340">
        <f>IFERROR(MIN(F197/E197,100%),0)</f>
        <v>0</v>
      </c>
      <c r="H197" s="413">
        <f>IFERROR(SUM(H190:H196),0)</f>
        <v>0</v>
      </c>
      <c r="R197" s="53"/>
      <c r="S197" s="45"/>
    </row>
    <row r="198" spans="1:19" s="29" customFormat="1" ht="15.6">
      <c r="A198" s="412"/>
      <c r="B198" s="338"/>
      <c r="C198" s="341"/>
      <c r="D198" s="342"/>
      <c r="E198" s="341"/>
      <c r="F198" s="341"/>
      <c r="G198" s="343"/>
      <c r="H198" s="467"/>
      <c r="R198" s="53"/>
      <c r="S198" s="45"/>
    </row>
    <row r="199" spans="1:19" s="29" customFormat="1" ht="15.6">
      <c r="A199" s="993" t="s">
        <v>0</v>
      </c>
      <c r="B199" s="994"/>
      <c r="C199" s="982"/>
      <c r="D199" s="901" t="s">
        <v>4</v>
      </c>
      <c r="E199" s="901" t="s">
        <v>1</v>
      </c>
      <c r="F199" s="901"/>
      <c r="G199" s="894" t="s">
        <v>21</v>
      </c>
      <c r="H199" s="887" t="s">
        <v>63</v>
      </c>
      <c r="R199" s="53"/>
      <c r="S199" s="45"/>
    </row>
    <row r="200" spans="1:19" s="29" customFormat="1" ht="30.75" customHeight="1">
      <c r="A200" s="1007"/>
      <c r="B200" s="1008"/>
      <c r="C200" s="983"/>
      <c r="D200" s="901"/>
      <c r="E200" s="539" t="s">
        <v>65</v>
      </c>
      <c r="F200" s="539" t="s">
        <v>66</v>
      </c>
      <c r="G200" s="894"/>
      <c r="H200" s="887"/>
      <c r="R200" s="53"/>
      <c r="S200" s="45"/>
    </row>
    <row r="201" spans="1:19" s="29" customFormat="1" ht="15.6">
      <c r="A201" s="415" t="s">
        <v>271</v>
      </c>
      <c r="B201" s="46" t="s">
        <v>272</v>
      </c>
      <c r="C201" s="57"/>
      <c r="D201" s="57"/>
      <c r="E201" s="57"/>
      <c r="F201" s="58"/>
      <c r="G201" s="108"/>
      <c r="H201" s="451"/>
      <c r="R201" s="53"/>
      <c r="S201" s="45"/>
    </row>
    <row r="202" spans="1:19" s="29" customFormat="1" ht="15.6">
      <c r="A202" s="468">
        <v>4</v>
      </c>
      <c r="B202" s="122" t="s">
        <v>341</v>
      </c>
      <c r="C202" s="120"/>
      <c r="D202" s="123"/>
      <c r="E202" s="124"/>
      <c r="F202" s="124"/>
      <c r="G202" s="125"/>
      <c r="H202" s="469"/>
      <c r="R202" s="53"/>
      <c r="S202" s="45"/>
    </row>
    <row r="203" spans="1:19" s="29" customFormat="1">
      <c r="A203" s="409">
        <v>4.0999999999999996</v>
      </c>
      <c r="B203" s="844" t="s">
        <v>164</v>
      </c>
      <c r="C203" s="845"/>
      <c r="D203" s="5" t="s">
        <v>51</v>
      </c>
      <c r="E203" s="20" t="s">
        <v>50</v>
      </c>
      <c r="F203" s="20">
        <f>VLOOKUP(A203,'Point Allocation'!$A$46:$J$55,MATCH(A7,'Point Allocation'!$A$46:$J$46,0),0)</f>
        <v>1.5</v>
      </c>
      <c r="G203" s="547"/>
      <c r="H203" s="405">
        <f>IF(G203&gt;=80%,F203,0)</f>
        <v>0</v>
      </c>
      <c r="R203" s="53"/>
      <c r="S203" s="45"/>
    </row>
    <row r="204" spans="1:19" s="29" customFormat="1">
      <c r="A204" s="409">
        <v>4.2</v>
      </c>
      <c r="B204" s="844" t="s">
        <v>161</v>
      </c>
      <c r="C204" s="845"/>
      <c r="D204" s="5" t="s">
        <v>51</v>
      </c>
      <c r="E204" s="20" t="s">
        <v>50</v>
      </c>
      <c r="F204" s="20">
        <f>VLOOKUP(A204,'Point Allocation'!$A$46:$J$55,MATCH(A7,'Point Allocation'!$A$46:$J$46,0),0)</f>
        <v>1.5</v>
      </c>
      <c r="G204" s="547"/>
      <c r="H204" s="405">
        <f>IF(G204&gt;=80%,F204,0)</f>
        <v>0</v>
      </c>
      <c r="R204" s="53"/>
      <c r="S204" s="45"/>
    </row>
    <row r="205" spans="1:19" s="29" customFormat="1">
      <c r="A205" s="409">
        <v>4.3</v>
      </c>
      <c r="B205" s="844" t="s">
        <v>155</v>
      </c>
      <c r="C205" s="845"/>
      <c r="D205" s="5" t="s">
        <v>3</v>
      </c>
      <c r="E205" s="20" t="s">
        <v>50</v>
      </c>
      <c r="F205" s="20">
        <f>VLOOKUP(A205,'Point Allocation'!$A$46:$J$55,MATCH(A7,'Point Allocation'!$A$46:$J$46,0),0)</f>
        <v>1.5</v>
      </c>
      <c r="G205" s="547"/>
      <c r="H205" s="405">
        <f>IF(G205&gt;=80%,F205,0)</f>
        <v>0</v>
      </c>
      <c r="R205" s="53"/>
      <c r="S205" s="45"/>
    </row>
    <row r="206" spans="1:19" s="29" customFormat="1">
      <c r="A206" s="470">
        <v>4.4000000000000004</v>
      </c>
      <c r="B206" s="874" t="s">
        <v>270</v>
      </c>
      <c r="C206" s="875"/>
      <c r="D206" s="5" t="s">
        <v>3</v>
      </c>
      <c r="E206" s="20" t="s">
        <v>50</v>
      </c>
      <c r="F206" s="20">
        <f>VLOOKUP(A206,'Point Allocation'!$A$46:$J$55,MATCH(A7,'Point Allocation'!$A$46:$J$46,0),0)</f>
        <v>1.5</v>
      </c>
      <c r="G206" s="547"/>
      <c r="H206" s="405">
        <f>IF(G206&gt;=80%,F206,0)</f>
        <v>0</v>
      </c>
      <c r="R206" s="53"/>
      <c r="S206" s="45"/>
    </row>
    <row r="207" spans="1:19" s="29" customFormat="1" ht="15.6">
      <c r="A207" s="468">
        <v>5</v>
      </c>
      <c r="B207" s="122" t="s">
        <v>213</v>
      </c>
      <c r="C207" s="120"/>
      <c r="D207" s="126"/>
      <c r="E207" s="127"/>
      <c r="F207" s="127"/>
      <c r="G207" s="128"/>
      <c r="H207" s="471"/>
      <c r="R207" s="53"/>
      <c r="S207" s="45"/>
    </row>
    <row r="208" spans="1:19" s="29" customFormat="1">
      <c r="A208" s="411">
        <v>5.0999999999999996</v>
      </c>
      <c r="B208" s="826"/>
      <c r="C208" s="847"/>
      <c r="D208" s="530"/>
      <c r="E208" s="536"/>
      <c r="F208" s="536"/>
      <c r="G208" s="547"/>
      <c r="H208" s="542">
        <f>IF(G208&gt;=80%,F208,IF(G208&lt;65%,0,E208))</f>
        <v>0</v>
      </c>
      <c r="R208" s="53"/>
      <c r="S208" s="45"/>
    </row>
    <row r="209" spans="1:19" s="29" customFormat="1">
      <c r="A209" s="411">
        <v>5.2</v>
      </c>
      <c r="B209" s="826"/>
      <c r="C209" s="847"/>
      <c r="D209" s="530"/>
      <c r="E209" s="536"/>
      <c r="F209" s="536"/>
      <c r="G209" s="547"/>
      <c r="H209" s="542">
        <f>IF(G209&gt;=80%,F209,IF(G209&lt;65%,0,E209))</f>
        <v>0</v>
      </c>
      <c r="R209" s="53"/>
      <c r="S209" s="45"/>
    </row>
    <row r="210" spans="1:19" s="29" customFormat="1">
      <c r="A210" s="411">
        <v>5.3</v>
      </c>
      <c r="B210" s="826"/>
      <c r="C210" s="847"/>
      <c r="D210" s="530"/>
      <c r="E210" s="536"/>
      <c r="F210" s="536"/>
      <c r="G210" s="547"/>
      <c r="H210" s="542">
        <f>IF(G210&gt;=80%,F210,IF(G210&lt;65%,0,E210))</f>
        <v>0</v>
      </c>
      <c r="R210" s="53"/>
      <c r="S210" s="45"/>
    </row>
    <row r="211" spans="1:19" s="29" customFormat="1" ht="15.6">
      <c r="A211" s="412"/>
      <c r="B211" s="344"/>
      <c r="C211" s="344"/>
      <c r="D211" s="332"/>
      <c r="E211" s="332"/>
      <c r="F211" s="332"/>
      <c r="G211" s="330" t="s">
        <v>7</v>
      </c>
      <c r="H211" s="445">
        <f>IFERROR(SUM(H203:H206,H208:H210),0)</f>
        <v>0</v>
      </c>
      <c r="R211" s="53"/>
      <c r="S211" s="45"/>
    </row>
    <row r="212" spans="1:19" s="29" customFormat="1">
      <c r="A212" s="412"/>
      <c r="B212" s="325"/>
      <c r="C212" s="323"/>
      <c r="D212" s="323"/>
      <c r="E212" s="323"/>
      <c r="F212" s="323"/>
      <c r="G212" s="332"/>
      <c r="H212" s="388"/>
      <c r="R212" s="53"/>
      <c r="S212" s="45"/>
    </row>
    <row r="213" spans="1:19" s="29" customFormat="1" ht="15.6">
      <c r="A213" s="993" t="s">
        <v>0</v>
      </c>
      <c r="B213" s="994"/>
      <c r="C213" s="982"/>
      <c r="D213" s="894" t="s">
        <v>4</v>
      </c>
      <c r="E213" s="901" t="s">
        <v>1</v>
      </c>
      <c r="F213" s="901"/>
      <c r="G213" s="894" t="s">
        <v>21</v>
      </c>
      <c r="H213" s="887" t="s">
        <v>63</v>
      </c>
      <c r="R213" s="53"/>
      <c r="S213" s="45"/>
    </row>
    <row r="214" spans="1:19" s="29" customFormat="1" ht="31.2">
      <c r="A214" s="1007"/>
      <c r="B214" s="1008"/>
      <c r="C214" s="983"/>
      <c r="D214" s="901"/>
      <c r="E214" s="539" t="s">
        <v>65</v>
      </c>
      <c r="F214" s="539" t="s">
        <v>66</v>
      </c>
      <c r="G214" s="894"/>
      <c r="H214" s="887"/>
      <c r="R214" s="53"/>
      <c r="S214" s="45"/>
    </row>
    <row r="215" spans="1:19" s="29" customFormat="1" ht="15.6">
      <c r="A215" s="454" t="s">
        <v>273</v>
      </c>
      <c r="B215" s="109" t="s">
        <v>234</v>
      </c>
      <c r="C215" s="129"/>
      <c r="D215" s="130"/>
      <c r="E215" s="130"/>
      <c r="F215" s="131"/>
      <c r="G215" s="132"/>
      <c r="H215" s="472"/>
      <c r="R215" s="53"/>
      <c r="S215" s="45"/>
    </row>
    <row r="216" spans="1:19" s="29" customFormat="1" ht="15.6">
      <c r="A216" s="391" t="s">
        <v>199</v>
      </c>
      <c r="B216" s="844" t="s">
        <v>274</v>
      </c>
      <c r="C216" s="845"/>
      <c r="D216" s="98" t="s">
        <v>2</v>
      </c>
      <c r="E216" s="98">
        <v>1</v>
      </c>
      <c r="F216" s="98">
        <v>2</v>
      </c>
      <c r="G216" s="67"/>
      <c r="H216" s="437">
        <f>IF(G216&gt;=80%,F216,IF(G216&lt;65%,0,E216))</f>
        <v>0</v>
      </c>
      <c r="K216" s="135"/>
      <c r="R216" s="53"/>
      <c r="S216" s="45"/>
    </row>
    <row r="217" spans="1:19" s="29" customFormat="1" ht="31.5" customHeight="1">
      <c r="A217" s="473" t="s">
        <v>200</v>
      </c>
      <c r="B217" s="960" t="s">
        <v>275</v>
      </c>
      <c r="C217" s="962"/>
      <c r="D217" s="98" t="s">
        <v>51</v>
      </c>
      <c r="E217" s="98">
        <v>0.5</v>
      </c>
      <c r="F217" s="98">
        <v>1</v>
      </c>
      <c r="G217" s="67"/>
      <c r="H217" s="437">
        <f>IF(G217&gt;=80%,F217,IF(G217&lt;65%,0,E217))</f>
        <v>0</v>
      </c>
      <c r="R217" s="53"/>
      <c r="S217" s="45"/>
    </row>
    <row r="218" spans="1:19" s="29" customFormat="1" ht="15.6">
      <c r="A218" s="412"/>
      <c r="B218" s="325"/>
      <c r="C218" s="323"/>
      <c r="D218" s="323"/>
      <c r="E218" s="323"/>
      <c r="F218" s="326"/>
      <c r="G218" s="330" t="s">
        <v>110</v>
      </c>
      <c r="H218" s="474">
        <f>IFERROR(SUM(H216:H217),0)</f>
        <v>0</v>
      </c>
      <c r="R218" s="53"/>
      <c r="S218" s="45"/>
    </row>
    <row r="219" spans="1:19" s="29" customFormat="1">
      <c r="A219" s="412"/>
      <c r="B219" s="325"/>
      <c r="C219" s="323"/>
      <c r="D219" s="323"/>
      <c r="E219" s="323"/>
      <c r="F219" s="323"/>
      <c r="G219" s="332"/>
      <c r="H219" s="388"/>
      <c r="R219" s="53"/>
      <c r="S219" s="45"/>
    </row>
    <row r="220" spans="1:19" s="29" customFormat="1" ht="15.6">
      <c r="A220" s="412"/>
      <c r="B220" s="325"/>
      <c r="C220" s="323"/>
      <c r="D220" s="323"/>
      <c r="E220" s="323"/>
      <c r="F220" s="323"/>
      <c r="G220" s="330" t="s">
        <v>111</v>
      </c>
      <c r="H220" s="474">
        <f>IFERROR(MIN(SUM(H197+H211+H218),G185),0)</f>
        <v>0</v>
      </c>
      <c r="R220" s="53"/>
      <c r="S220" s="45"/>
    </row>
    <row r="221" spans="1:19" s="29" customFormat="1" ht="16.2" thickBot="1">
      <c r="A221" s="491"/>
      <c r="B221" s="492"/>
      <c r="C221" s="493"/>
      <c r="D221" s="493"/>
      <c r="E221" s="493"/>
      <c r="F221" s="493"/>
      <c r="G221" s="496"/>
      <c r="H221" s="495"/>
      <c r="R221" s="53"/>
      <c r="S221" s="45"/>
    </row>
    <row r="222" spans="1:19" s="29" customFormat="1" ht="15.6">
      <c r="A222" s="633" t="s">
        <v>137</v>
      </c>
      <c r="B222" s="634"/>
      <c r="C222" s="634"/>
      <c r="D222" s="634"/>
      <c r="E222" s="634"/>
      <c r="F222" s="635" t="s">
        <v>43</v>
      </c>
      <c r="G222" s="636">
        <v>20</v>
      </c>
      <c r="H222" s="637" t="s">
        <v>42</v>
      </c>
      <c r="R222" s="53"/>
      <c r="S222" s="45"/>
    </row>
    <row r="223" spans="1:19" s="29" customFormat="1" ht="15.6">
      <c r="A223" s="412"/>
      <c r="B223" s="347"/>
      <c r="C223" s="323"/>
      <c r="D223" s="323"/>
      <c r="E223" s="323"/>
      <c r="F223" s="323"/>
      <c r="G223" s="332"/>
      <c r="H223" s="388"/>
      <c r="R223" s="53"/>
      <c r="S223" s="45"/>
    </row>
    <row r="224" spans="1:19" s="29" customFormat="1" ht="33" customHeight="1">
      <c r="A224" s="1009" t="s">
        <v>0</v>
      </c>
      <c r="B224" s="1010"/>
      <c r="C224" s="136"/>
      <c r="D224" s="136"/>
      <c r="E224" s="137" t="s">
        <v>4</v>
      </c>
      <c r="F224" s="137" t="s">
        <v>70</v>
      </c>
      <c r="G224" s="138" t="s">
        <v>21</v>
      </c>
      <c r="H224" s="475" t="s">
        <v>63</v>
      </c>
      <c r="R224" s="53"/>
      <c r="S224" s="45"/>
    </row>
    <row r="225" spans="1:19" s="29" customFormat="1" ht="15.6">
      <c r="A225" s="454" t="s">
        <v>276</v>
      </c>
      <c r="B225" s="109" t="s">
        <v>277</v>
      </c>
      <c r="C225" s="110"/>
      <c r="D225" s="110"/>
      <c r="E225" s="110"/>
      <c r="F225" s="58"/>
      <c r="G225" s="139"/>
      <c r="H225" s="476"/>
      <c r="J225" s="134"/>
      <c r="R225" s="53"/>
      <c r="S225" s="45"/>
    </row>
    <row r="226" spans="1:19" s="29" customFormat="1" ht="15.6">
      <c r="A226" s="411">
        <v>1.1000000000000001</v>
      </c>
      <c r="B226" s="836" t="s">
        <v>123</v>
      </c>
      <c r="C226" s="837"/>
      <c r="D226" s="838"/>
      <c r="E226" s="167"/>
      <c r="F226" s="140"/>
      <c r="G226" s="141"/>
      <c r="H226" s="441">
        <f t="shared" ref="H226:H231" si="4">F226*G226</f>
        <v>0</v>
      </c>
      <c r="R226" s="53"/>
      <c r="S226" s="45"/>
    </row>
    <row r="227" spans="1:19" s="29" customFormat="1" ht="15.6">
      <c r="A227" s="406">
        <v>1.2</v>
      </c>
      <c r="B227" s="1004" t="s">
        <v>124</v>
      </c>
      <c r="C227" s="1005"/>
      <c r="D227" s="1006"/>
      <c r="E227" s="167"/>
      <c r="F227" s="140"/>
      <c r="G227" s="141"/>
      <c r="H227" s="441">
        <f t="shared" si="4"/>
        <v>0</v>
      </c>
      <c r="R227" s="53"/>
      <c r="S227" s="45"/>
    </row>
    <row r="228" spans="1:19" s="29" customFormat="1" ht="15.6">
      <c r="A228" s="411">
        <v>1.3</v>
      </c>
      <c r="B228" s="836" t="s">
        <v>115</v>
      </c>
      <c r="C228" s="837"/>
      <c r="D228" s="838"/>
      <c r="E228" s="167"/>
      <c r="F228" s="140"/>
      <c r="G228" s="141"/>
      <c r="H228" s="441">
        <f t="shared" si="4"/>
        <v>0</v>
      </c>
      <c r="R228" s="53"/>
      <c r="S228" s="45"/>
    </row>
    <row r="229" spans="1:19" s="29" customFormat="1" ht="15.6">
      <c r="A229" s="411">
        <v>1.4</v>
      </c>
      <c r="B229" s="836" t="s">
        <v>305</v>
      </c>
      <c r="C229" s="837"/>
      <c r="D229" s="838"/>
      <c r="E229" s="167"/>
      <c r="F229" s="140"/>
      <c r="G229" s="141"/>
      <c r="H229" s="441">
        <f t="shared" si="4"/>
        <v>0</v>
      </c>
      <c r="R229" s="53"/>
      <c r="S229" s="45"/>
    </row>
    <row r="230" spans="1:19" s="29" customFormat="1" ht="15.6">
      <c r="A230" s="411">
        <v>1.5</v>
      </c>
      <c r="B230" s="836"/>
      <c r="C230" s="837"/>
      <c r="D230" s="838"/>
      <c r="E230" s="167"/>
      <c r="F230" s="140"/>
      <c r="G230" s="141"/>
      <c r="H230" s="441">
        <f t="shared" si="4"/>
        <v>0</v>
      </c>
      <c r="R230" s="53"/>
      <c r="S230" s="45"/>
    </row>
    <row r="231" spans="1:19" s="29" customFormat="1" ht="15.6">
      <c r="A231" s="411">
        <v>1.6</v>
      </c>
      <c r="B231" s="836"/>
      <c r="C231" s="837"/>
      <c r="D231" s="838"/>
      <c r="E231" s="111"/>
      <c r="F231" s="142"/>
      <c r="G231" s="67"/>
      <c r="H231" s="441">
        <f t="shared" si="4"/>
        <v>0</v>
      </c>
      <c r="R231" s="53"/>
      <c r="S231" s="45"/>
    </row>
    <row r="232" spans="1:19" s="29" customFormat="1" ht="15.6">
      <c r="A232" s="454" t="s">
        <v>279</v>
      </c>
      <c r="B232" s="109" t="s">
        <v>278</v>
      </c>
      <c r="C232" s="110"/>
      <c r="D232" s="110"/>
      <c r="E232" s="110"/>
      <c r="F232" s="58"/>
      <c r="G232" s="139"/>
      <c r="H232" s="476"/>
      <c r="R232" s="53"/>
      <c r="S232" s="45"/>
    </row>
    <row r="233" spans="1:19" s="29" customFormat="1">
      <c r="A233" s="411">
        <v>2.1</v>
      </c>
      <c r="B233" s="1001" t="s">
        <v>138</v>
      </c>
      <c r="C233" s="1002"/>
      <c r="D233" s="1003"/>
      <c r="E233" s="157" t="s">
        <v>410</v>
      </c>
      <c r="F233" s="527">
        <v>2</v>
      </c>
      <c r="G233" s="528"/>
      <c r="H233" s="441">
        <f>IFERROR(VLOOKUP(E233,K234:L237,2,FALSE),0)</f>
        <v>0</v>
      </c>
      <c r="K233" s="29" t="s">
        <v>410</v>
      </c>
      <c r="L233" s="29">
        <v>0</v>
      </c>
      <c r="R233" s="53"/>
      <c r="S233" s="45"/>
    </row>
    <row r="234" spans="1:19" s="29" customFormat="1" ht="15.6">
      <c r="A234" s="412"/>
      <c r="B234" s="322"/>
      <c r="C234" s="323"/>
      <c r="D234" s="323"/>
      <c r="E234" s="323"/>
      <c r="F234" s="323"/>
      <c r="G234" s="330" t="s">
        <v>139</v>
      </c>
      <c r="H234" s="477">
        <f>IFERROR(MIN(SUM(H226:H233),G222),0)</f>
        <v>0</v>
      </c>
      <c r="K234" s="29" t="s">
        <v>406</v>
      </c>
      <c r="L234" s="29">
        <v>2</v>
      </c>
      <c r="R234" s="45"/>
      <c r="S234" s="45"/>
    </row>
    <row r="235" spans="1:19" s="29" customFormat="1">
      <c r="A235" s="412"/>
      <c r="B235" s="325"/>
      <c r="C235" s="323"/>
      <c r="D235" s="323"/>
      <c r="E235" s="323"/>
      <c r="F235" s="323"/>
      <c r="G235" s="332"/>
      <c r="H235" s="388"/>
      <c r="K235" s="29" t="s">
        <v>407</v>
      </c>
      <c r="L235" s="29">
        <v>2</v>
      </c>
      <c r="R235" s="45"/>
      <c r="S235" s="45"/>
    </row>
    <row r="236" spans="1:19" s="29" customFormat="1" ht="15.6">
      <c r="A236" s="412"/>
      <c r="B236" s="325"/>
      <c r="C236" s="323"/>
      <c r="D236" s="323"/>
      <c r="E236" s="323"/>
      <c r="F236" s="323"/>
      <c r="G236" s="330" t="s">
        <v>69</v>
      </c>
      <c r="H236" s="445">
        <f>IFERROR(H84+H183+H220+H234,0)</f>
        <v>0</v>
      </c>
      <c r="K236" s="29" t="s">
        <v>408</v>
      </c>
      <c r="L236" s="29">
        <v>2</v>
      </c>
      <c r="R236" s="45"/>
      <c r="S236" s="45"/>
    </row>
    <row r="237" spans="1:19" s="29" customFormat="1">
      <c r="A237" s="412"/>
      <c r="B237" s="325"/>
      <c r="C237" s="323"/>
      <c r="D237" s="323"/>
      <c r="E237" s="323"/>
      <c r="F237" s="323"/>
      <c r="G237" s="332"/>
      <c r="H237" s="388"/>
      <c r="K237" s="29" t="s">
        <v>409</v>
      </c>
      <c r="L237" s="29">
        <v>2</v>
      </c>
      <c r="R237" s="53"/>
      <c r="S237" s="45"/>
    </row>
    <row r="238" spans="1:19" s="29" customFormat="1" ht="15.75" customHeight="1">
      <c r="A238" s="412"/>
      <c r="B238" s="345" t="s">
        <v>37</v>
      </c>
      <c r="C238" s="332"/>
      <c r="D238" s="1013" t="s">
        <v>415</v>
      </c>
      <c r="E238" s="1013"/>
      <c r="F238" s="1013"/>
      <c r="G238" s="332"/>
      <c r="H238" s="478"/>
      <c r="R238" s="53"/>
      <c r="S238" s="45"/>
    </row>
    <row r="239" spans="1:19" s="29" customFormat="1" ht="15.6">
      <c r="A239" s="412"/>
      <c r="B239" s="346"/>
      <c r="C239" s="332"/>
      <c r="D239" s="1013"/>
      <c r="E239" s="1013"/>
      <c r="F239" s="1013"/>
      <c r="G239" s="332"/>
      <c r="H239" s="478"/>
      <c r="R239" s="53"/>
      <c r="S239" s="45"/>
    </row>
    <row r="240" spans="1:19" s="29" customFormat="1" ht="15.6">
      <c r="A240" s="479" t="s">
        <v>280</v>
      </c>
      <c r="B240" s="346" t="s">
        <v>100</v>
      </c>
      <c r="C240" s="369">
        <f>IFERROR(SUM(G29+G32+G34+G35+G44+G47),0)</f>
        <v>0</v>
      </c>
      <c r="D240" s="332" t="s">
        <v>284</v>
      </c>
      <c r="E240" s="141"/>
      <c r="F240" s="332" t="s">
        <v>285</v>
      </c>
      <c r="G240" s="144">
        <f>MIN(IFERROR(SUM(C240+E240),0),100%)</f>
        <v>0</v>
      </c>
      <c r="H240" s="388"/>
      <c r="M240" s="53"/>
      <c r="N240" s="45"/>
    </row>
    <row r="241" spans="1:19" s="29" customFormat="1" ht="15.6">
      <c r="A241" s="479" t="s">
        <v>281</v>
      </c>
      <c r="B241" s="346" t="s">
        <v>101</v>
      </c>
      <c r="C241" s="369">
        <f>IFERROR(SUM(F19+G91+G93+G95+G98+G101+G102+G103+G104+G105),0)</f>
        <v>0</v>
      </c>
      <c r="D241" s="332" t="s">
        <v>284</v>
      </c>
      <c r="E241" s="141"/>
      <c r="F241" s="332" t="s">
        <v>285</v>
      </c>
      <c r="G241" s="144">
        <f t="shared" ref="G241:G242" si="5">MIN(IFERROR(SUM(C241+E241),0),100%)</f>
        <v>0</v>
      </c>
      <c r="H241" s="388"/>
      <c r="M241" s="53"/>
      <c r="N241" s="45"/>
    </row>
    <row r="242" spans="1:19" s="29" customFormat="1" ht="15.6">
      <c r="A242" s="479" t="s">
        <v>282</v>
      </c>
      <c r="B242" s="346" t="s">
        <v>102</v>
      </c>
      <c r="C242" s="369">
        <f>IFERROR(G197,0)</f>
        <v>0</v>
      </c>
      <c r="D242" s="332" t="s">
        <v>284</v>
      </c>
      <c r="E242" s="141"/>
      <c r="F242" s="303" t="s">
        <v>285</v>
      </c>
      <c r="G242" s="144">
        <f t="shared" si="5"/>
        <v>0</v>
      </c>
      <c r="H242" s="283"/>
      <c r="I242" s="3"/>
      <c r="J242" s="3"/>
      <c r="K242" s="3"/>
      <c r="L242" s="3"/>
      <c r="M242" s="53"/>
      <c r="N242" s="45"/>
    </row>
    <row r="243" spans="1:19" s="29" customFormat="1" ht="15.6" thickBot="1">
      <c r="A243" s="491"/>
      <c r="B243" s="492"/>
      <c r="C243" s="493"/>
      <c r="D243" s="493"/>
      <c r="E243" s="493"/>
      <c r="F243" s="493"/>
      <c r="G243" s="638"/>
      <c r="H243" s="639"/>
      <c r="K243" s="3"/>
      <c r="L243" s="3"/>
      <c r="M243" s="3"/>
      <c r="N243" s="3"/>
      <c r="O243" s="3"/>
      <c r="P243" s="3"/>
      <c r="Q243" s="3"/>
      <c r="R243" s="53"/>
      <c r="S243" s="45"/>
    </row>
    <row r="244" spans="1:19" s="29" customFormat="1">
      <c r="A244" s="174"/>
      <c r="B244" s="3"/>
      <c r="C244" s="3"/>
      <c r="D244" s="3"/>
      <c r="E244" s="3"/>
      <c r="F244" s="3"/>
      <c r="G244" s="10"/>
      <c r="H244" s="3"/>
      <c r="K244" s="3"/>
      <c r="L244" s="3"/>
      <c r="M244" s="3"/>
      <c r="N244" s="3"/>
      <c r="O244" s="3"/>
      <c r="P244" s="3"/>
      <c r="Q244" s="3"/>
      <c r="R244" s="53"/>
      <c r="S244" s="45"/>
    </row>
    <row r="245" spans="1:19" s="29" customFormat="1">
      <c r="A245" s="174"/>
      <c r="B245" s="3"/>
      <c r="C245" s="3"/>
      <c r="D245" s="3"/>
      <c r="E245" s="3"/>
      <c r="F245" s="3"/>
      <c r="G245" s="10"/>
      <c r="H245" s="3"/>
      <c r="K245" s="3"/>
      <c r="L245" s="3"/>
      <c r="M245" s="3"/>
      <c r="N245" s="3"/>
      <c r="O245" s="3"/>
      <c r="P245" s="3"/>
      <c r="Q245" s="3"/>
      <c r="R245" s="53"/>
      <c r="S245" s="45"/>
    </row>
    <row r="246" spans="1:19" s="29" customFormat="1">
      <c r="A246" s="174"/>
      <c r="B246" s="3"/>
      <c r="C246" s="3"/>
      <c r="D246" s="3"/>
      <c r="E246" s="3"/>
      <c r="F246" s="3"/>
      <c r="G246" s="10"/>
      <c r="H246" s="3"/>
      <c r="K246" s="3"/>
      <c r="L246" s="3"/>
      <c r="M246" s="3"/>
      <c r="N246" s="3"/>
      <c r="O246" s="3"/>
      <c r="P246" s="3"/>
      <c r="Q246" s="3"/>
      <c r="R246" s="53"/>
      <c r="S246" s="45"/>
    </row>
    <row r="247" spans="1:19" s="29" customFormat="1">
      <c r="A247" s="174"/>
      <c r="B247" s="3"/>
      <c r="C247" s="3"/>
      <c r="D247" s="3"/>
      <c r="E247" s="3"/>
      <c r="F247" s="3"/>
      <c r="G247" s="10"/>
      <c r="H247" s="3"/>
      <c r="K247" s="3"/>
      <c r="L247" s="3"/>
      <c r="M247" s="3"/>
      <c r="N247" s="3"/>
      <c r="O247" s="3"/>
      <c r="P247" s="3"/>
      <c r="Q247" s="3"/>
      <c r="R247" s="45"/>
      <c r="S247" s="45"/>
    </row>
    <row r="248" spans="1:19" s="29" customFormat="1">
      <c r="A248" s="174"/>
      <c r="B248" s="3"/>
      <c r="C248" s="3"/>
      <c r="D248" s="3"/>
      <c r="E248" s="3"/>
      <c r="F248" s="3"/>
      <c r="G248" s="10"/>
      <c r="H248" s="3"/>
      <c r="K248" s="3"/>
      <c r="L248" s="3"/>
      <c r="M248" s="3"/>
      <c r="N248" s="3"/>
      <c r="O248" s="3"/>
      <c r="P248" s="3"/>
      <c r="Q248" s="3"/>
      <c r="R248" s="45"/>
      <c r="S248" s="45"/>
    </row>
    <row r="249" spans="1:19" s="29" customFormat="1">
      <c r="A249" s="174"/>
      <c r="B249" s="3"/>
      <c r="C249" s="3"/>
      <c r="D249" s="3"/>
      <c r="E249" s="3"/>
      <c r="F249" s="3"/>
      <c r="G249" s="10"/>
      <c r="H249" s="3"/>
      <c r="K249" s="3"/>
      <c r="L249" s="3"/>
      <c r="M249" s="3"/>
      <c r="N249" s="3"/>
      <c r="O249" s="3"/>
      <c r="P249" s="3"/>
      <c r="Q249" s="3"/>
      <c r="R249" s="45"/>
      <c r="S249" s="45"/>
    </row>
    <row r="250" spans="1:19" s="29" customFormat="1">
      <c r="A250" s="174"/>
      <c r="B250" s="3"/>
      <c r="C250" s="3"/>
      <c r="D250" s="3"/>
      <c r="E250" s="3"/>
      <c r="F250" s="3"/>
      <c r="G250" s="10"/>
      <c r="H250" s="3"/>
      <c r="K250" s="3"/>
      <c r="L250" s="3"/>
      <c r="M250" s="3"/>
      <c r="N250" s="3"/>
      <c r="O250" s="3"/>
      <c r="P250" s="3"/>
      <c r="Q250" s="3"/>
      <c r="R250" s="45"/>
      <c r="S250" s="45"/>
    </row>
  </sheetData>
  <sheetProtection algorithmName="SHA-512" hashValue="9ljoRWi6dsPdQ0fl2zMVOEOXzIBiag0Mv/B5czIfi8wdZHAiq46sqQwBUzySrfJWQ1yyi8kYltikXwn5bYI9WA==" saltValue="BgHhFXCDOAJ0dfRUn26/pg==" spinCount="100000" sheet="1" selectLockedCells="1"/>
  <mergeCells count="228">
    <mergeCell ref="B227:D227"/>
    <mergeCell ref="B233:D233"/>
    <mergeCell ref="D238:F239"/>
    <mergeCell ref="G199:G200"/>
    <mergeCell ref="H199:H200"/>
    <mergeCell ref="B203:C203"/>
    <mergeCell ref="B208:C208"/>
    <mergeCell ref="A213:B214"/>
    <mergeCell ref="C213:C214"/>
    <mergeCell ref="D213:D214"/>
    <mergeCell ref="E213:F213"/>
    <mergeCell ref="G213:G214"/>
    <mergeCell ref="H213:H214"/>
    <mergeCell ref="B204:C204"/>
    <mergeCell ref="E199:F199"/>
    <mergeCell ref="B230:D230"/>
    <mergeCell ref="B231:D231"/>
    <mergeCell ref="B209:C209"/>
    <mergeCell ref="B210:C210"/>
    <mergeCell ref="B229:D229"/>
    <mergeCell ref="B217:C217"/>
    <mergeCell ref="B228:D228"/>
    <mergeCell ref="B226:D226"/>
    <mergeCell ref="B205:C205"/>
    <mergeCell ref="I154:I158"/>
    <mergeCell ref="A158:A159"/>
    <mergeCell ref="B158:C159"/>
    <mergeCell ref="B162:C162"/>
    <mergeCell ref="A165:A166"/>
    <mergeCell ref="B165:C165"/>
    <mergeCell ref="D165:D166"/>
    <mergeCell ref="E165:E166"/>
    <mergeCell ref="F165:F166"/>
    <mergeCell ref="G165:G166"/>
    <mergeCell ref="H165:H166"/>
    <mergeCell ref="B163:C163"/>
    <mergeCell ref="B166:C166"/>
    <mergeCell ref="B160:C160"/>
    <mergeCell ref="A126:A127"/>
    <mergeCell ref="B126:C126"/>
    <mergeCell ref="D126:D127"/>
    <mergeCell ref="E126:E127"/>
    <mergeCell ref="F126:F127"/>
    <mergeCell ref="G126:G127"/>
    <mergeCell ref="H126:H127"/>
    <mergeCell ref="B124:C124"/>
    <mergeCell ref="B127:C127"/>
    <mergeCell ref="F29:F30"/>
    <mergeCell ref="A93:A94"/>
    <mergeCell ref="B93:D93"/>
    <mergeCell ref="E93:E94"/>
    <mergeCell ref="F93:F94"/>
    <mergeCell ref="G93:G94"/>
    <mergeCell ref="H93:H94"/>
    <mergeCell ref="A95:A96"/>
    <mergeCell ref="E95:E96"/>
    <mergeCell ref="F95:F96"/>
    <mergeCell ref="G95:G96"/>
    <mergeCell ref="H95:H96"/>
    <mergeCell ref="H58:H59"/>
    <mergeCell ref="B64:C64"/>
    <mergeCell ref="D66:D69"/>
    <mergeCell ref="B74:C74"/>
    <mergeCell ref="B80:C80"/>
    <mergeCell ref="B94:D94"/>
    <mergeCell ref="B95:D95"/>
    <mergeCell ref="E71:F71"/>
    <mergeCell ref="B75:C75"/>
    <mergeCell ref="B81:C81"/>
    <mergeCell ref="B70:C70"/>
    <mergeCell ref="B71:C71"/>
    <mergeCell ref="B130:C130"/>
    <mergeCell ref="G29:G30"/>
    <mergeCell ref="H29:H30"/>
    <mergeCell ref="B30:D30"/>
    <mergeCell ref="B32:D32"/>
    <mergeCell ref="B34:D34"/>
    <mergeCell ref="B129:C129"/>
    <mergeCell ref="B133:C133"/>
    <mergeCell ref="F140:G140"/>
    <mergeCell ref="B47:D47"/>
    <mergeCell ref="B51:D51"/>
    <mergeCell ref="B55:D55"/>
    <mergeCell ref="B46:D46"/>
    <mergeCell ref="B50:D50"/>
    <mergeCell ref="B137:C137"/>
    <mergeCell ref="B135:C135"/>
    <mergeCell ref="B136:C136"/>
    <mergeCell ref="A140:B140"/>
    <mergeCell ref="A35:A36"/>
    <mergeCell ref="B35:D36"/>
    <mergeCell ref="E35:E36"/>
    <mergeCell ref="H35:H36"/>
    <mergeCell ref="A29:A30"/>
    <mergeCell ref="E29:E30"/>
    <mergeCell ref="D142:D143"/>
    <mergeCell ref="E142:E143"/>
    <mergeCell ref="F142:G142"/>
    <mergeCell ref="A146:B147"/>
    <mergeCell ref="C146:C147"/>
    <mergeCell ref="D146:D147"/>
    <mergeCell ref="E146:F146"/>
    <mergeCell ref="G146:G147"/>
    <mergeCell ref="B150:C150"/>
    <mergeCell ref="F143:G143"/>
    <mergeCell ref="B73:C73"/>
    <mergeCell ref="B77:C77"/>
    <mergeCell ref="B79:C79"/>
    <mergeCell ref="B91:D91"/>
    <mergeCell ref="B61:C61"/>
    <mergeCell ref="B67:C67"/>
    <mergeCell ref="B62:C62"/>
    <mergeCell ref="A58:B59"/>
    <mergeCell ref="D58:D59"/>
    <mergeCell ref="A11:B12"/>
    <mergeCell ref="B17:C17"/>
    <mergeCell ref="B19:C19"/>
    <mergeCell ref="B109:D109"/>
    <mergeCell ref="B102:D102"/>
    <mergeCell ref="B41:D41"/>
    <mergeCell ref="E37:E42"/>
    <mergeCell ref="H37:H42"/>
    <mergeCell ref="B42:D42"/>
    <mergeCell ref="B39:D39"/>
    <mergeCell ref="B40:D40"/>
    <mergeCell ref="B38:D38"/>
    <mergeCell ref="E58:F58"/>
    <mergeCell ref="G58:G59"/>
    <mergeCell ref="E98:E99"/>
    <mergeCell ref="F98:F99"/>
    <mergeCell ref="G98:G99"/>
    <mergeCell ref="H98:H99"/>
    <mergeCell ref="B101:D101"/>
    <mergeCell ref="B45:D45"/>
    <mergeCell ref="B53:D53"/>
    <mergeCell ref="B54:D54"/>
    <mergeCell ref="B65:C65"/>
    <mergeCell ref="B99:D99"/>
    <mergeCell ref="A4:B4"/>
    <mergeCell ref="D7:G7"/>
    <mergeCell ref="A7:B7"/>
    <mergeCell ref="B134:C134"/>
    <mergeCell ref="B20:C20"/>
    <mergeCell ref="B21:C21"/>
    <mergeCell ref="B29:D29"/>
    <mergeCell ref="B69:C69"/>
    <mergeCell ref="B44:D44"/>
    <mergeCell ref="B37:D37"/>
    <mergeCell ref="B63:C63"/>
    <mergeCell ref="B68:C68"/>
    <mergeCell ref="B66:C66"/>
    <mergeCell ref="B22:C22"/>
    <mergeCell ref="D11:D12"/>
    <mergeCell ref="E11:E12"/>
    <mergeCell ref="F11:F12"/>
    <mergeCell ref="B14:C14"/>
    <mergeCell ref="B15:C15"/>
    <mergeCell ref="B16:C16"/>
    <mergeCell ref="B96:D96"/>
    <mergeCell ref="B105:D105"/>
    <mergeCell ref="A98:A99"/>
    <mergeCell ref="B98:D98"/>
    <mergeCell ref="R101:R102"/>
    <mergeCell ref="B110:D110"/>
    <mergeCell ref="B114:D114"/>
    <mergeCell ref="B108:D108"/>
    <mergeCell ref="B112:D112"/>
    <mergeCell ref="B120:C120"/>
    <mergeCell ref="A122:A123"/>
    <mergeCell ref="B122:C122"/>
    <mergeCell ref="D122:D123"/>
    <mergeCell ref="E122:E123"/>
    <mergeCell ref="F122:F123"/>
    <mergeCell ref="G122:G123"/>
    <mergeCell ref="B113:D113"/>
    <mergeCell ref="B123:C123"/>
    <mergeCell ref="H122:H123"/>
    <mergeCell ref="B103:D103"/>
    <mergeCell ref="B104:D104"/>
    <mergeCell ref="H146:H147"/>
    <mergeCell ref="B151:C151"/>
    <mergeCell ref="E155:F155"/>
    <mergeCell ref="E156:F156"/>
    <mergeCell ref="E153:F153"/>
    <mergeCell ref="E154:F154"/>
    <mergeCell ref="G152:G153"/>
    <mergeCell ref="H152:H153"/>
    <mergeCell ref="A154:A157"/>
    <mergeCell ref="B154:C157"/>
    <mergeCell ref="G154:G157"/>
    <mergeCell ref="H154:H157"/>
    <mergeCell ref="E157:F157"/>
    <mergeCell ref="A152:A153"/>
    <mergeCell ref="B152:C153"/>
    <mergeCell ref="E152:F152"/>
    <mergeCell ref="B171:C171"/>
    <mergeCell ref="A167:A168"/>
    <mergeCell ref="D167:D168"/>
    <mergeCell ref="E167:E168"/>
    <mergeCell ref="F167:F168"/>
    <mergeCell ref="G167:G168"/>
    <mergeCell ref="H167:H168"/>
    <mergeCell ref="B170:C170"/>
    <mergeCell ref="B172:C172"/>
    <mergeCell ref="B167:C167"/>
    <mergeCell ref="B168:C168"/>
    <mergeCell ref="B179:C179"/>
    <mergeCell ref="B180:C180"/>
    <mergeCell ref="A175:B176"/>
    <mergeCell ref="C175:C176"/>
    <mergeCell ref="D175:D176"/>
    <mergeCell ref="E175:F175"/>
    <mergeCell ref="G175:G176"/>
    <mergeCell ref="H175:H176"/>
    <mergeCell ref="B178:C178"/>
    <mergeCell ref="E180:F180"/>
    <mergeCell ref="D199:D200"/>
    <mergeCell ref="B216:C216"/>
    <mergeCell ref="A224:B224"/>
    <mergeCell ref="B206:C206"/>
    <mergeCell ref="B195:C195"/>
    <mergeCell ref="B196:C196"/>
    <mergeCell ref="A187:B187"/>
    <mergeCell ref="B190:C190"/>
    <mergeCell ref="B192:C192"/>
    <mergeCell ref="B194:C194"/>
    <mergeCell ref="A199:B200"/>
    <mergeCell ref="C199:C200"/>
  </mergeCells>
  <dataValidations count="3">
    <dataValidation type="list" allowBlank="1" showInputMessage="1" showErrorMessage="1" sqref="A7" xr:uid="{9576AA9A-F655-4FD0-B45D-7C896779800B}">
      <formula1>$K$1:$K$7</formula1>
    </dataValidation>
    <dataValidation type="list" allowBlank="1" showInputMessage="1" showErrorMessage="1" sqref="E233" xr:uid="{18B22107-454B-4245-BD98-B6B01115F8F8}">
      <formula1>$K$233:$K$237</formula1>
    </dataValidation>
    <dataValidation type="list" allowBlank="1" showInputMessage="1" showErrorMessage="1" sqref="F143:G143" xr:uid="{1DCD3D51-F458-4330-BC43-30B160C321F0}">
      <formula1>$L$140:$Q$140</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73"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77" t="s">
        <v>90</v>
      </c>
      <c r="B1" s="378"/>
      <c r="C1" s="378"/>
      <c r="D1" s="378"/>
      <c r="E1" s="378"/>
      <c r="F1" s="378"/>
      <c r="G1" s="378"/>
      <c r="H1" s="379"/>
      <c r="K1" s="3" t="s">
        <v>41</v>
      </c>
    </row>
    <row r="2" spans="1:16">
      <c r="A2" s="380"/>
      <c r="B2" s="281"/>
      <c r="C2" s="281"/>
      <c r="D2" s="281"/>
      <c r="E2" s="281"/>
      <c r="F2" s="281"/>
      <c r="G2" s="282"/>
      <c r="H2" s="283"/>
      <c r="J2" s="6"/>
      <c r="K2" s="6" t="s">
        <v>428</v>
      </c>
    </row>
    <row r="3" spans="1:16" ht="15.6">
      <c r="A3" s="381" t="s">
        <v>378</v>
      </c>
      <c r="B3" s="281"/>
      <c r="C3" s="281"/>
      <c r="D3" s="349" t="s">
        <v>143</v>
      </c>
      <c r="E3" s="349" t="s">
        <v>144</v>
      </c>
      <c r="F3" s="349" t="s">
        <v>145</v>
      </c>
      <c r="G3" s="306" t="s">
        <v>105</v>
      </c>
      <c r="H3" s="292" t="s">
        <v>63</v>
      </c>
      <c r="J3" s="6"/>
      <c r="K3" s="6" t="s">
        <v>45</v>
      </c>
    </row>
    <row r="4" spans="1:16" ht="15.6">
      <c r="A4" s="862">
        <f>Summary!A6</f>
        <v>0</v>
      </c>
      <c r="B4" s="863"/>
      <c r="C4" s="281"/>
      <c r="D4" s="78">
        <f>H84</f>
        <v>0</v>
      </c>
      <c r="E4" s="166">
        <f>H183</f>
        <v>0</v>
      </c>
      <c r="F4" s="133">
        <f>H220</f>
        <v>0</v>
      </c>
      <c r="G4" s="143">
        <f>H234</f>
        <v>0</v>
      </c>
      <c r="H4" s="382">
        <f>H236</f>
        <v>0</v>
      </c>
      <c r="J4" s="6"/>
      <c r="K4" s="6" t="s">
        <v>15</v>
      </c>
    </row>
    <row r="5" spans="1:16">
      <c r="A5" s="380"/>
      <c r="B5" s="281"/>
      <c r="C5" s="281"/>
      <c r="D5" s="281"/>
      <c r="E5" s="281"/>
      <c r="F5" s="281"/>
      <c r="G5" s="282"/>
      <c r="H5" s="283"/>
      <c r="J5" s="6"/>
      <c r="K5" s="6" t="s">
        <v>16</v>
      </c>
    </row>
    <row r="6" spans="1:16" s="4" customFormat="1" ht="15.6">
      <c r="A6" s="381" t="s">
        <v>91</v>
      </c>
      <c r="B6" s="313"/>
      <c r="C6" s="313"/>
      <c r="D6" s="314" t="s">
        <v>35</v>
      </c>
      <c r="E6" s="281"/>
      <c r="F6" s="281"/>
      <c r="G6" s="282"/>
      <c r="H6" s="283"/>
      <c r="J6" s="6"/>
      <c r="K6" s="6" t="s">
        <v>427</v>
      </c>
      <c r="L6" s="3"/>
      <c r="M6" s="3"/>
      <c r="N6" s="3"/>
    </row>
    <row r="7" spans="1:16" ht="15.75" customHeight="1">
      <c r="A7" s="842" t="s">
        <v>428</v>
      </c>
      <c r="B7" s="843"/>
      <c r="D7" s="835">
        <f>Summary!A85</f>
        <v>0</v>
      </c>
      <c r="E7" s="785"/>
      <c r="F7" s="785"/>
      <c r="G7" s="786"/>
      <c r="H7" s="383"/>
      <c r="J7" s="29"/>
      <c r="K7" s="29" t="s">
        <v>426</v>
      </c>
    </row>
    <row r="8" spans="1:16" ht="15.6" thickBot="1">
      <c r="A8" s="380"/>
      <c r="B8" s="315"/>
      <c r="C8" s="281"/>
      <c r="D8" s="281"/>
      <c r="E8" s="281"/>
      <c r="F8" s="281"/>
      <c r="G8" s="282"/>
      <c r="H8" s="283"/>
    </row>
    <row r="9" spans="1:16" ht="16.2" thickBot="1">
      <c r="A9" s="384" t="s">
        <v>126</v>
      </c>
      <c r="B9" s="145"/>
      <c r="C9" s="145"/>
      <c r="D9" s="145"/>
      <c r="E9" s="145"/>
      <c r="F9" s="146"/>
      <c r="G9" s="16"/>
      <c r="H9" s="385"/>
    </row>
    <row r="10" spans="1:16">
      <c r="A10" s="380"/>
      <c r="B10" s="316"/>
      <c r="C10" s="281"/>
      <c r="D10" s="281"/>
      <c r="E10" s="281"/>
      <c r="F10" s="281"/>
      <c r="G10" s="282"/>
      <c r="H10" s="283"/>
    </row>
    <row r="11" spans="1:16" ht="15.75" customHeight="1">
      <c r="A11" s="963" t="s">
        <v>0</v>
      </c>
      <c r="B11" s="964"/>
      <c r="C11" s="153"/>
      <c r="D11" s="985" t="s">
        <v>4</v>
      </c>
      <c r="E11" s="984" t="s">
        <v>81</v>
      </c>
      <c r="F11" s="984" t="s">
        <v>21</v>
      </c>
      <c r="G11" s="317"/>
      <c r="H11" s="386"/>
    </row>
    <row r="12" spans="1:16" ht="15.75" customHeight="1">
      <c r="A12" s="965"/>
      <c r="B12" s="966"/>
      <c r="C12" s="154"/>
      <c r="D12" s="986"/>
      <c r="E12" s="984"/>
      <c r="F12" s="984"/>
      <c r="G12" s="317"/>
      <c r="H12" s="386"/>
    </row>
    <row r="13" spans="1:16" s="29" customFormat="1" ht="15.6">
      <c r="A13" s="387" t="s">
        <v>128</v>
      </c>
      <c r="B13" s="180"/>
      <c r="C13" s="180"/>
      <c r="D13" s="180"/>
      <c r="E13" s="183"/>
      <c r="F13" s="183"/>
      <c r="G13" s="318"/>
      <c r="H13" s="388"/>
      <c r="O13" s="45"/>
      <c r="P13" s="45"/>
    </row>
    <row r="14" spans="1:16">
      <c r="A14" s="389">
        <v>1</v>
      </c>
      <c r="B14" s="987" t="s">
        <v>287</v>
      </c>
      <c r="C14" s="851"/>
      <c r="D14" s="149" t="s">
        <v>2</v>
      </c>
      <c r="E14" s="54" t="s">
        <v>50</v>
      </c>
      <c r="F14" s="30"/>
      <c r="G14" s="278"/>
      <c r="H14" s="304"/>
      <c r="I14" s="148" t="s">
        <v>143</v>
      </c>
      <c r="K14" s="152" t="str">
        <f>IF(F14&lt;65%,"Min. 65% coverage"," ")</f>
        <v>Min. 65% coverage</v>
      </c>
    </row>
    <row r="15" spans="1:16" ht="30.75" customHeight="1">
      <c r="A15" s="389">
        <v>2</v>
      </c>
      <c r="B15" s="987" t="s">
        <v>376</v>
      </c>
      <c r="C15" s="851"/>
      <c r="D15" s="150" t="s">
        <v>51</v>
      </c>
      <c r="E15" s="31" t="s">
        <v>50</v>
      </c>
      <c r="F15" s="547"/>
      <c r="G15" s="278"/>
      <c r="H15" s="283"/>
      <c r="I15" s="148" t="s">
        <v>144</v>
      </c>
      <c r="K15" s="152" t="str">
        <f>IF(F15&lt;65%,"Min. 80% coverage"," ")</f>
        <v>Min. 80% coverage</v>
      </c>
    </row>
    <row r="16" spans="1:16" ht="15" customHeight="1">
      <c r="A16" s="389">
        <v>3</v>
      </c>
      <c r="B16" s="987" t="s">
        <v>375</v>
      </c>
      <c r="C16" s="851"/>
      <c r="D16" s="150" t="s">
        <v>51</v>
      </c>
      <c r="E16" s="31" t="s">
        <v>50</v>
      </c>
      <c r="F16" s="547"/>
      <c r="G16" s="278"/>
      <c r="H16" s="386"/>
      <c r="I16" s="3" t="s">
        <v>143</v>
      </c>
      <c r="K16" s="152" t="str">
        <f>IF(F16&lt;65%,"Min. 65% coverage"," ")</f>
        <v>Min. 65% coverage</v>
      </c>
    </row>
    <row r="17" spans="1:19">
      <c r="A17" s="389">
        <v>4</v>
      </c>
      <c r="B17" s="886" t="s">
        <v>191</v>
      </c>
      <c r="C17" s="884"/>
      <c r="D17" s="147" t="s">
        <v>3</v>
      </c>
      <c r="E17" s="31" t="s">
        <v>50</v>
      </c>
      <c r="F17" s="547"/>
      <c r="G17" s="278"/>
      <c r="H17" s="386"/>
      <c r="I17" s="3" t="s">
        <v>145</v>
      </c>
      <c r="K17" s="152" t="str">
        <f>IF(F17&lt;65%,"Min. 65% coverage"," ")</f>
        <v>Min. 65% coverage</v>
      </c>
    </row>
    <row r="18" spans="1:19" s="29" customFormat="1" ht="15.6">
      <c r="A18" s="390" t="s">
        <v>127</v>
      </c>
      <c r="B18" s="180"/>
      <c r="C18" s="180"/>
      <c r="D18" s="180"/>
      <c r="E18" s="181"/>
      <c r="F18" s="182"/>
      <c r="G18" s="319"/>
      <c r="H18" s="388"/>
      <c r="K18" s="10"/>
      <c r="O18" s="45"/>
      <c r="P18" s="45"/>
    </row>
    <row r="19" spans="1:19" ht="32.25" customHeight="1">
      <c r="A19" s="391">
        <v>5</v>
      </c>
      <c r="B19" s="873" t="s">
        <v>288</v>
      </c>
      <c r="C19" s="989"/>
      <c r="D19" s="151" t="s">
        <v>3</v>
      </c>
      <c r="E19" s="536"/>
      <c r="F19" s="31">
        <f>IFERROR(E19/$F$115,0)</f>
        <v>0</v>
      </c>
      <c r="G19" s="278"/>
      <c r="H19" s="386"/>
      <c r="I19" s="3" t="s">
        <v>144</v>
      </c>
      <c r="K19" s="152" t="str">
        <f>IF($A$7=$K$2,IF(E19=0,"Please input wall length"," ")," ")</f>
        <v>Please input wall length</v>
      </c>
    </row>
    <row r="20" spans="1:19">
      <c r="A20" s="391">
        <v>6</v>
      </c>
      <c r="B20" s="987" t="s">
        <v>289</v>
      </c>
      <c r="C20" s="851"/>
      <c r="D20" s="190" t="s">
        <v>51</v>
      </c>
      <c r="E20" s="31" t="s">
        <v>50</v>
      </c>
      <c r="F20" s="30"/>
      <c r="G20" s="278"/>
      <c r="H20" s="386"/>
      <c r="I20" s="3" t="s">
        <v>144</v>
      </c>
      <c r="K20" s="152" t="str">
        <f>IF($A$7=$K$2,IF(F20&lt;65%,"Min. 65% coverage"," ")," ")</f>
        <v>Min. 65% coverage</v>
      </c>
    </row>
    <row r="21" spans="1:19">
      <c r="A21" s="391">
        <v>7</v>
      </c>
      <c r="B21" s="886" t="s">
        <v>306</v>
      </c>
      <c r="C21" s="884"/>
      <c r="D21" s="150" t="s">
        <v>51</v>
      </c>
      <c r="E21" s="31" t="s">
        <v>50</v>
      </c>
      <c r="F21" s="547"/>
      <c r="G21" s="278"/>
      <c r="H21" s="386"/>
      <c r="I21" s="3" t="s">
        <v>143</v>
      </c>
      <c r="K21" s="152" t="str">
        <f>IF($A$7=$K$2,IF(F21&lt;65%,"Min. 65% coverage"," ")," ")</f>
        <v>Min. 65% coverage</v>
      </c>
    </row>
    <row r="22" spans="1:19">
      <c r="A22" s="391" t="s">
        <v>308</v>
      </c>
      <c r="B22" s="886" t="s">
        <v>307</v>
      </c>
      <c r="C22" s="884"/>
      <c r="D22" s="150" t="s">
        <v>51</v>
      </c>
      <c r="E22" s="31" t="s">
        <v>50</v>
      </c>
      <c r="F22" s="547"/>
      <c r="G22" s="278"/>
      <c r="H22" s="386"/>
      <c r="K22" s="152"/>
    </row>
    <row r="23" spans="1:19">
      <c r="A23" s="380"/>
      <c r="B23" s="281"/>
      <c r="C23" s="281"/>
      <c r="D23" s="281"/>
      <c r="E23" s="281"/>
      <c r="F23" s="281"/>
      <c r="G23" s="282"/>
      <c r="H23" s="283"/>
      <c r="K23" s="6"/>
    </row>
    <row r="24" spans="1:19" ht="15.6">
      <c r="A24" s="392" t="s">
        <v>44</v>
      </c>
      <c r="B24" s="169"/>
      <c r="C24" s="169"/>
      <c r="D24" s="169"/>
      <c r="E24" s="169"/>
      <c r="F24" s="170" t="s">
        <v>43</v>
      </c>
      <c r="G24" s="171">
        <f>VLOOKUP($A$7,'Manpower allocation'!A4:D11,2,FALSE)*100</f>
        <v>45</v>
      </c>
      <c r="H24" s="393" t="s">
        <v>42</v>
      </c>
      <c r="J24" s="497">
        <f>VLOOKUP($A$7,'Manpower allocation'!A4:D11,2,FALSE)*100</f>
        <v>45</v>
      </c>
      <c r="K24" s="6"/>
    </row>
    <row r="25" spans="1:19" ht="15.6">
      <c r="A25" s="380"/>
      <c r="B25" s="320"/>
      <c r="C25" s="321"/>
      <c r="D25" s="281"/>
      <c r="E25" s="281"/>
      <c r="F25" s="281"/>
      <c r="G25" s="282"/>
      <c r="H25" s="283"/>
      <c r="K25" s="6"/>
    </row>
    <row r="26" spans="1:19" s="29" customFormat="1" ht="46.8">
      <c r="A26" s="394" t="s">
        <v>0</v>
      </c>
      <c r="B26" s="41"/>
      <c r="C26" s="41"/>
      <c r="D26" s="42"/>
      <c r="E26" s="43" t="s">
        <v>17</v>
      </c>
      <c r="F26" s="43" t="s">
        <v>114</v>
      </c>
      <c r="G26" s="43" t="s">
        <v>18</v>
      </c>
      <c r="H26" s="395" t="s">
        <v>53</v>
      </c>
      <c r="K26" s="44"/>
      <c r="R26" s="45"/>
      <c r="S26" s="45"/>
    </row>
    <row r="27" spans="1:19" s="29" customFormat="1" ht="15.6">
      <c r="A27" s="396" t="s">
        <v>198</v>
      </c>
      <c r="B27" s="46" t="s">
        <v>214</v>
      </c>
      <c r="C27" s="47"/>
      <c r="D27" s="47"/>
      <c r="E27" s="48"/>
      <c r="F27" s="48"/>
      <c r="G27" s="48"/>
      <c r="H27" s="397"/>
      <c r="R27" s="45"/>
      <c r="S27" s="45"/>
    </row>
    <row r="28" spans="1:19" s="29" customFormat="1" ht="15.6">
      <c r="A28" s="398">
        <v>1</v>
      </c>
      <c r="B28" s="40" t="s">
        <v>338</v>
      </c>
      <c r="C28" s="41"/>
      <c r="D28" s="49"/>
      <c r="E28" s="41"/>
      <c r="F28" s="50"/>
      <c r="G28" s="50"/>
      <c r="H28" s="399"/>
      <c r="R28" s="45"/>
      <c r="S28" s="45"/>
    </row>
    <row r="29" spans="1:19" s="29" customFormat="1">
      <c r="A29" s="980">
        <v>1.1000000000000001</v>
      </c>
      <c r="B29" s="852" t="s">
        <v>290</v>
      </c>
      <c r="C29" s="988"/>
      <c r="D29" s="988"/>
      <c r="E29" s="904">
        <f>VLOOKUP(A29,'Point Allocation'!$A$5:$J$15,MATCH(A7,'Point Allocation'!$A$5:$J$5,0),0)</f>
        <v>45</v>
      </c>
      <c r="F29" s="1014"/>
      <c r="G29" s="1015">
        <f>IFERROR(F29/$F$56,0)</f>
        <v>0</v>
      </c>
      <c r="H29" s="909">
        <f>E29*G29</f>
        <v>0</v>
      </c>
      <c r="R29" s="45"/>
      <c r="S29" s="45"/>
    </row>
    <row r="30" spans="1:19" s="29" customFormat="1" ht="15.6">
      <c r="A30" s="981"/>
      <c r="B30" s="998" t="s">
        <v>401</v>
      </c>
      <c r="C30" s="998"/>
      <c r="D30" s="998"/>
      <c r="E30" s="904"/>
      <c r="F30" s="1014"/>
      <c r="G30" s="1015">
        <f t="shared" ref="G30" si="0">IFERROR(F30/$F$56,0)</f>
        <v>0</v>
      </c>
      <c r="H30" s="909"/>
      <c r="R30" s="45"/>
      <c r="S30" s="45"/>
    </row>
    <row r="31" spans="1:19" s="29" customFormat="1" ht="15.6">
      <c r="A31" s="398">
        <v>2</v>
      </c>
      <c r="B31" s="40" t="s">
        <v>339</v>
      </c>
      <c r="C31" s="51"/>
      <c r="D31" s="49"/>
      <c r="E31" s="52"/>
      <c r="F31" s="8"/>
      <c r="G31" s="22"/>
      <c r="H31" s="400"/>
      <c r="R31" s="53"/>
      <c r="S31" s="45"/>
    </row>
    <row r="32" spans="1:19" s="29" customFormat="1">
      <c r="A32" s="401">
        <v>2.1</v>
      </c>
      <c r="B32" s="885" t="s">
        <v>203</v>
      </c>
      <c r="C32" s="886"/>
      <c r="D32" s="884"/>
      <c r="E32" s="20">
        <f>VLOOKUP(A32,'Point Allocation'!$A$5:$J$15,MATCH(A7,'Point Allocation'!$A$5:$J$5,0),0)</f>
        <v>42</v>
      </c>
      <c r="F32" s="536"/>
      <c r="G32" s="31">
        <f>IFERROR(F32/$F$56,0)</f>
        <v>0</v>
      </c>
      <c r="H32" s="405">
        <f>E32*G32</f>
        <v>0</v>
      </c>
      <c r="R32" s="53"/>
      <c r="S32" s="45"/>
    </row>
    <row r="33" spans="1:19" s="29" customFormat="1" ht="15.6">
      <c r="A33" s="398">
        <v>3</v>
      </c>
      <c r="B33" s="40" t="s">
        <v>340</v>
      </c>
      <c r="C33" s="51"/>
      <c r="D33" s="49"/>
      <c r="E33" s="52"/>
      <c r="F33" s="8"/>
      <c r="G33" s="22"/>
      <c r="H33" s="400"/>
      <c r="R33" s="53"/>
      <c r="S33" s="45"/>
    </row>
    <row r="34" spans="1:19" s="29" customFormat="1" ht="15" customHeight="1">
      <c r="A34" s="401">
        <v>3.1</v>
      </c>
      <c r="B34" s="885" t="s">
        <v>587</v>
      </c>
      <c r="C34" s="886"/>
      <c r="D34" s="884"/>
      <c r="E34" s="20">
        <f>VLOOKUP(A34,'Point Allocation'!$A$5:$J$15,MATCH(A7,'Point Allocation'!$A$5:$J$5,0),0)</f>
        <v>39</v>
      </c>
      <c r="F34" s="37"/>
      <c r="G34" s="31">
        <f>IFERROR(F34/$F$56,0)</f>
        <v>0</v>
      </c>
      <c r="H34" s="419">
        <f>E34*G34</f>
        <v>0</v>
      </c>
      <c r="R34" s="53"/>
      <c r="S34" s="45"/>
    </row>
    <row r="35" spans="1:19" s="29" customFormat="1" ht="31.5" customHeight="1">
      <c r="A35" s="967">
        <v>3.2</v>
      </c>
      <c r="B35" s="969" t="s">
        <v>330</v>
      </c>
      <c r="C35" s="970"/>
      <c r="D35" s="971"/>
      <c r="E35" s="910">
        <f>VLOOKUP(A35,'Point Allocation'!$A$5:$J$15,MATCH(A7,'Point Allocation'!$A$5:$J$5,0),0)</f>
        <v>39</v>
      </c>
      <c r="F35" s="37"/>
      <c r="G35" s="31">
        <f>IFERROR(F35/$F$56,0)</f>
        <v>0</v>
      </c>
      <c r="H35" s="945">
        <f>IF(SUM(J37:J42)&gt;=4,E35*G35,0)</f>
        <v>0</v>
      </c>
      <c r="R35" s="53"/>
      <c r="S35" s="45"/>
    </row>
    <row r="36" spans="1:19" s="29" customFormat="1" ht="31.5" customHeight="1">
      <c r="A36" s="968"/>
      <c r="B36" s="972"/>
      <c r="C36" s="973"/>
      <c r="D36" s="974"/>
      <c r="E36" s="911"/>
      <c r="F36" s="9" t="s">
        <v>130</v>
      </c>
      <c r="G36" s="54" t="s">
        <v>117</v>
      </c>
      <c r="H36" s="947"/>
      <c r="R36" s="53"/>
      <c r="S36" s="45"/>
    </row>
    <row r="37" spans="1:19" s="29" customFormat="1" ht="89.25" customHeight="1">
      <c r="A37" s="402" t="s">
        <v>192</v>
      </c>
      <c r="B37" s="1016" t="s">
        <v>359</v>
      </c>
      <c r="C37" s="1017"/>
      <c r="D37" s="1018"/>
      <c r="E37" s="958"/>
      <c r="F37" s="187" t="s">
        <v>131</v>
      </c>
      <c r="G37" s="546"/>
      <c r="H37" s="946"/>
      <c r="J37" s="55">
        <f t="shared" ref="J37:J42" si="1">IF(G37&gt;=65%,1,0)</f>
        <v>0</v>
      </c>
      <c r="R37" s="53"/>
      <c r="S37" s="45"/>
    </row>
    <row r="38" spans="1:19" s="29" customFormat="1" ht="33.75" customHeight="1">
      <c r="A38" s="402" t="s">
        <v>193</v>
      </c>
      <c r="B38" s="871" t="s">
        <v>215</v>
      </c>
      <c r="C38" s="872"/>
      <c r="D38" s="873"/>
      <c r="E38" s="958"/>
      <c r="F38" s="39" t="s">
        <v>132</v>
      </c>
      <c r="G38" s="547"/>
      <c r="H38" s="946"/>
      <c r="J38" s="55">
        <f t="shared" si="1"/>
        <v>0</v>
      </c>
      <c r="R38" s="53"/>
      <c r="S38" s="45"/>
    </row>
    <row r="39" spans="1:19" s="29" customFormat="1" ht="48.75" customHeight="1">
      <c r="A39" s="402" t="s">
        <v>201</v>
      </c>
      <c r="B39" s="871" t="s">
        <v>216</v>
      </c>
      <c r="C39" s="872"/>
      <c r="D39" s="873"/>
      <c r="E39" s="958"/>
      <c r="F39" s="39" t="s">
        <v>133</v>
      </c>
      <c r="G39" s="547"/>
      <c r="H39" s="946"/>
      <c r="J39" s="55">
        <f t="shared" si="1"/>
        <v>0</v>
      </c>
      <c r="R39" s="53"/>
      <c r="S39" s="45"/>
    </row>
    <row r="40" spans="1:19" s="29" customFormat="1" ht="45">
      <c r="A40" s="402" t="s">
        <v>194</v>
      </c>
      <c r="B40" s="871" t="s">
        <v>217</v>
      </c>
      <c r="C40" s="872"/>
      <c r="D40" s="873"/>
      <c r="E40" s="958"/>
      <c r="F40" s="39" t="s">
        <v>134</v>
      </c>
      <c r="G40" s="547"/>
      <c r="H40" s="946"/>
      <c r="J40" s="55">
        <f t="shared" si="1"/>
        <v>0</v>
      </c>
      <c r="R40" s="53"/>
      <c r="S40" s="45"/>
    </row>
    <row r="41" spans="1:19" s="29" customFormat="1" ht="48.75" customHeight="1">
      <c r="A41" s="402" t="s">
        <v>202</v>
      </c>
      <c r="B41" s="871" t="s">
        <v>218</v>
      </c>
      <c r="C41" s="872"/>
      <c r="D41" s="873"/>
      <c r="E41" s="958"/>
      <c r="F41" s="39" t="s">
        <v>135</v>
      </c>
      <c r="G41" s="547"/>
      <c r="H41" s="946"/>
      <c r="J41" s="55">
        <f t="shared" si="1"/>
        <v>0</v>
      </c>
      <c r="R41" s="53"/>
      <c r="S41" s="45"/>
    </row>
    <row r="42" spans="1:19" s="29" customFormat="1" ht="31.5" customHeight="1">
      <c r="A42" s="402" t="s">
        <v>195</v>
      </c>
      <c r="B42" s="975" t="s">
        <v>345</v>
      </c>
      <c r="C42" s="976"/>
      <c r="D42" s="977"/>
      <c r="E42" s="959"/>
      <c r="F42" s="39" t="s">
        <v>136</v>
      </c>
      <c r="G42" s="547"/>
      <c r="H42" s="947"/>
      <c r="J42" s="55">
        <f t="shared" si="1"/>
        <v>0</v>
      </c>
      <c r="R42" s="53"/>
      <c r="S42" s="45"/>
    </row>
    <row r="43" spans="1:19" s="29" customFormat="1" ht="15.6">
      <c r="A43" s="398" t="s">
        <v>196</v>
      </c>
      <c r="B43" s="40" t="s">
        <v>341</v>
      </c>
      <c r="C43" s="56"/>
      <c r="D43" s="49"/>
      <c r="E43" s="52"/>
      <c r="F43" s="36"/>
      <c r="G43" s="23"/>
      <c r="H43" s="403"/>
      <c r="R43" s="53"/>
      <c r="S43" s="45"/>
    </row>
    <row r="44" spans="1:19" s="29" customFormat="1" ht="31.5" customHeight="1">
      <c r="A44" s="404">
        <v>4.0999999999999996</v>
      </c>
      <c r="B44" s="885" t="s">
        <v>331</v>
      </c>
      <c r="C44" s="886"/>
      <c r="D44" s="884"/>
      <c r="E44" s="20">
        <f>VLOOKUP(A44,'Point Allocation'!$A$5:$J$15,MATCH(A7,'Point Allocation'!$A$5:$J$5,0),0)</f>
        <v>35</v>
      </c>
      <c r="F44" s="536"/>
      <c r="G44" s="31">
        <f>IFERROR(F44/$F$56,0)</f>
        <v>0</v>
      </c>
      <c r="H44" s="405">
        <f>E44*G44</f>
        <v>0</v>
      </c>
      <c r="R44" s="53"/>
      <c r="S44" s="45"/>
    </row>
    <row r="45" spans="1:19" s="29" customFormat="1">
      <c r="A45" s="406">
        <v>4.2</v>
      </c>
      <c r="B45" s="928" t="s">
        <v>348</v>
      </c>
      <c r="C45" s="990"/>
      <c r="D45" s="929"/>
      <c r="E45" s="20">
        <f>VLOOKUP(A45,'Point Allocation'!$A$5:$J$15,MATCH(A7,'Point Allocation'!$A$5:$J$5,0),0)</f>
        <v>35</v>
      </c>
      <c r="F45" s="536"/>
      <c r="G45" s="31">
        <f>IFERROR(F45/$F$56,0)</f>
        <v>0</v>
      </c>
      <c r="H45" s="405">
        <f>E45*G45</f>
        <v>0</v>
      </c>
      <c r="R45" s="53"/>
      <c r="S45" s="45"/>
    </row>
    <row r="46" spans="1:19" s="29" customFormat="1">
      <c r="A46" s="406">
        <v>4.3</v>
      </c>
      <c r="B46" s="960" t="s">
        <v>346</v>
      </c>
      <c r="C46" s="961"/>
      <c r="D46" s="962"/>
      <c r="E46" s="20">
        <f>VLOOKUP(A46,'Point Allocation'!$A$5:$J$15,MATCH(A7,'Point Allocation'!$A$5:$J$5,0),0)</f>
        <v>28</v>
      </c>
      <c r="F46" s="536"/>
      <c r="G46" s="31">
        <f>IFERROR(F46/$F$56,0)</f>
        <v>0</v>
      </c>
      <c r="H46" s="405">
        <f>E46*G46</f>
        <v>0</v>
      </c>
      <c r="R46" s="53"/>
      <c r="S46" s="45"/>
    </row>
    <row r="47" spans="1:19" s="29" customFormat="1">
      <c r="A47" s="404">
        <v>4.4000000000000004</v>
      </c>
      <c r="B47" s="885" t="s">
        <v>347</v>
      </c>
      <c r="C47" s="886"/>
      <c r="D47" s="884"/>
      <c r="E47" s="20">
        <f>VLOOKUP(A47,'Point Allocation'!$A$5:$J$15,MATCH(A7,'Point Allocation'!$A$5:$J$5,0),0)</f>
        <v>28</v>
      </c>
      <c r="F47" s="536"/>
      <c r="G47" s="31">
        <f>IFERROR(F47/$F$56,0)</f>
        <v>0</v>
      </c>
      <c r="H47" s="405">
        <f>E47*G47</f>
        <v>0</v>
      </c>
      <c r="R47" s="53"/>
      <c r="S47" s="45"/>
    </row>
    <row r="48" spans="1:19" s="59" customFormat="1" ht="15.6">
      <c r="A48" s="396" t="s">
        <v>197</v>
      </c>
      <c r="B48" s="46" t="s">
        <v>211</v>
      </c>
      <c r="C48" s="57"/>
      <c r="D48" s="58"/>
      <c r="E48" s="7"/>
      <c r="F48" s="7"/>
      <c r="G48" s="24"/>
      <c r="H48" s="407"/>
      <c r="J48" s="29"/>
      <c r="K48" s="29"/>
      <c r="L48" s="29"/>
      <c r="M48" s="29"/>
      <c r="N48" s="29"/>
      <c r="R48" s="60"/>
    </row>
    <row r="49" spans="1:19" s="59" customFormat="1" ht="15.6">
      <c r="A49" s="408">
        <v>5</v>
      </c>
      <c r="B49" s="40" t="s">
        <v>212</v>
      </c>
      <c r="C49" s="49"/>
      <c r="D49" s="49"/>
      <c r="E49" s="8"/>
      <c r="F49" s="8"/>
      <c r="G49" s="22"/>
      <c r="H49" s="403"/>
      <c r="J49" s="29"/>
      <c r="K49" s="29"/>
      <c r="L49" s="29"/>
      <c r="M49" s="29"/>
      <c r="N49" s="29"/>
      <c r="R49" s="60"/>
    </row>
    <row r="50" spans="1:19" s="29" customFormat="1">
      <c r="A50" s="409">
        <v>5.0999999999999996</v>
      </c>
      <c r="B50" s="844" t="s">
        <v>204</v>
      </c>
      <c r="C50" s="846"/>
      <c r="D50" s="845"/>
      <c r="E50" s="20">
        <f>VLOOKUP(A50,'Point Allocation'!$A$5:$J$15,MATCH(A7,'Point Allocation'!$A$5:$J$5,0),0)</f>
        <v>22</v>
      </c>
      <c r="F50" s="536"/>
      <c r="G50" s="31">
        <f>IFERROR(F50/$F$56,0)</f>
        <v>0</v>
      </c>
      <c r="H50" s="405">
        <f>E50*G50</f>
        <v>0</v>
      </c>
      <c r="R50" s="53"/>
      <c r="S50" s="45"/>
    </row>
    <row r="51" spans="1:19" s="29" customFormat="1">
      <c r="A51" s="409">
        <v>5.2</v>
      </c>
      <c r="B51" s="844" t="s">
        <v>151</v>
      </c>
      <c r="C51" s="846"/>
      <c r="D51" s="845"/>
      <c r="E51" s="20">
        <f>VLOOKUP(A51,'Point Allocation'!$A$5:$J$15,MATCH(A7,'Point Allocation'!$A$5:$J$5,0),0)</f>
        <v>10</v>
      </c>
      <c r="F51" s="536"/>
      <c r="G51" s="31">
        <f>IFERROR(F51/$F$56,0)</f>
        <v>0</v>
      </c>
      <c r="H51" s="405">
        <f>E51*G51</f>
        <v>0</v>
      </c>
      <c r="R51" s="53"/>
      <c r="S51" s="45"/>
    </row>
    <row r="52" spans="1:19" s="29" customFormat="1" ht="15.6">
      <c r="A52" s="410">
        <v>6</v>
      </c>
      <c r="B52" s="61" t="s">
        <v>213</v>
      </c>
      <c r="C52" s="49"/>
      <c r="D52" s="49"/>
      <c r="E52" s="8"/>
      <c r="F52" s="8"/>
      <c r="G52" s="22"/>
      <c r="H52" s="403"/>
      <c r="R52" s="53"/>
      <c r="S52" s="45"/>
    </row>
    <row r="53" spans="1:19" s="29" customFormat="1">
      <c r="A53" s="411">
        <v>6.1</v>
      </c>
      <c r="B53" s="826"/>
      <c r="C53" s="821"/>
      <c r="D53" s="847"/>
      <c r="E53" s="536"/>
      <c r="F53" s="536"/>
      <c r="G53" s="31">
        <f>IFERROR(F53/$F$56,0)</f>
        <v>0</v>
      </c>
      <c r="H53" s="405">
        <f>E53*G53</f>
        <v>0</v>
      </c>
      <c r="R53" s="53"/>
      <c r="S53" s="45"/>
    </row>
    <row r="54" spans="1:19" s="29" customFormat="1">
      <c r="A54" s="411">
        <v>6.2</v>
      </c>
      <c r="B54" s="826"/>
      <c r="C54" s="821"/>
      <c r="D54" s="847"/>
      <c r="E54" s="536"/>
      <c r="F54" s="536"/>
      <c r="G54" s="31">
        <f>IFERROR(F54/$F$56,0)</f>
        <v>0</v>
      </c>
      <c r="H54" s="405">
        <f>E54*G54</f>
        <v>0</v>
      </c>
      <c r="R54" s="53"/>
      <c r="S54" s="45"/>
    </row>
    <row r="55" spans="1:19" s="29" customFormat="1">
      <c r="A55" s="411">
        <v>6.3</v>
      </c>
      <c r="B55" s="826"/>
      <c r="C55" s="821"/>
      <c r="D55" s="847"/>
      <c r="E55" s="536"/>
      <c r="F55" s="536"/>
      <c r="G55" s="31">
        <f>IFERROR(F55/$F$56,0)</f>
        <v>0</v>
      </c>
      <c r="H55" s="405">
        <f>E55*G55</f>
        <v>0</v>
      </c>
      <c r="R55" s="53"/>
      <c r="S55" s="45"/>
    </row>
    <row r="56" spans="1:19" s="29" customFormat="1" ht="15.6">
      <c r="A56" s="412"/>
      <c r="B56" s="322"/>
      <c r="C56" s="323"/>
      <c r="D56" s="323"/>
      <c r="E56" s="324" t="s">
        <v>61</v>
      </c>
      <c r="F56" s="26">
        <f>SUM(F29,F32,F34,F35,F44,F45,F46,F47,F50,F51,F53,F54,F55)</f>
        <v>0</v>
      </c>
      <c r="G56" s="25">
        <f>SUM(G29,G32:G32,G34:G35,G44:G47,G50:G51,G53:G55)</f>
        <v>0</v>
      </c>
      <c r="H56" s="413">
        <f>IFERROR(SUM(H29:H55),0)</f>
        <v>0</v>
      </c>
      <c r="N56" s="62"/>
      <c r="R56" s="53"/>
      <c r="S56" s="45"/>
    </row>
    <row r="57" spans="1:19" s="29" customFormat="1" ht="15.6" thickBot="1">
      <c r="A57" s="491"/>
      <c r="B57" s="492"/>
      <c r="C57" s="493"/>
      <c r="D57" s="493"/>
      <c r="E57" s="493"/>
      <c r="F57" s="493"/>
      <c r="G57" s="480"/>
      <c r="H57" s="639"/>
      <c r="R57" s="53"/>
      <c r="S57" s="45"/>
    </row>
    <row r="58" spans="1:19" s="29" customFormat="1" ht="15.6">
      <c r="A58" s="954" t="s">
        <v>0</v>
      </c>
      <c r="B58" s="955"/>
      <c r="C58" s="646"/>
      <c r="D58" s="978" t="s">
        <v>4</v>
      </c>
      <c r="E58" s="952" t="s">
        <v>1</v>
      </c>
      <c r="F58" s="953"/>
      <c r="G58" s="948" t="s">
        <v>21</v>
      </c>
      <c r="H58" s="950" t="s">
        <v>63</v>
      </c>
      <c r="R58" s="53"/>
      <c r="S58" s="45"/>
    </row>
    <row r="59" spans="1:19" s="29" customFormat="1" ht="31.2">
      <c r="A59" s="956"/>
      <c r="B59" s="957"/>
      <c r="C59" s="63"/>
      <c r="D59" s="979"/>
      <c r="E59" s="43" t="s">
        <v>118</v>
      </c>
      <c r="F59" s="43" t="s">
        <v>119</v>
      </c>
      <c r="G59" s="949"/>
      <c r="H59" s="951"/>
      <c r="J59" s="64"/>
      <c r="R59" s="53"/>
      <c r="S59" s="45"/>
    </row>
    <row r="60" spans="1:19" s="29" customFormat="1" ht="15.6">
      <c r="A60" s="415" t="s">
        <v>219</v>
      </c>
      <c r="B60" s="46" t="s">
        <v>148</v>
      </c>
      <c r="C60" s="58"/>
      <c r="D60" s="65"/>
      <c r="E60" s="48"/>
      <c r="F60" s="48"/>
      <c r="G60" s="48"/>
      <c r="H60" s="416"/>
      <c r="J60" s="62"/>
      <c r="K60" s="62"/>
      <c r="L60" s="62"/>
      <c r="M60" s="62"/>
      <c r="R60" s="53"/>
      <c r="S60" s="45"/>
    </row>
    <row r="61" spans="1:19" s="29" customFormat="1" ht="15" customHeight="1">
      <c r="A61" s="417" t="s">
        <v>349</v>
      </c>
      <c r="B61" s="850" t="s">
        <v>595</v>
      </c>
      <c r="C61" s="851"/>
      <c r="D61" s="5" t="s">
        <v>51</v>
      </c>
      <c r="E61" s="9">
        <v>3</v>
      </c>
      <c r="F61" s="9">
        <v>4</v>
      </c>
      <c r="G61" s="66"/>
      <c r="H61" s="405">
        <f>IF(G61&gt;=80%,F61,IF(G61&lt;65%,0,E61))</f>
        <v>0</v>
      </c>
      <c r="R61" s="53"/>
      <c r="S61" s="45"/>
    </row>
    <row r="62" spans="1:19" s="29" customFormat="1">
      <c r="A62" s="417" t="s">
        <v>350</v>
      </c>
      <c r="B62" s="850" t="s">
        <v>596</v>
      </c>
      <c r="C62" s="851"/>
      <c r="D62" s="5" t="s">
        <v>51</v>
      </c>
      <c r="E62" s="9">
        <v>3</v>
      </c>
      <c r="F62" s="9">
        <v>4</v>
      </c>
      <c r="G62" s="66"/>
      <c r="H62" s="405">
        <f>IF(G62&gt;=80%,F62,IF(G62&lt;65%,0,E62))</f>
        <v>0</v>
      </c>
      <c r="R62" s="53"/>
      <c r="S62" s="45"/>
    </row>
    <row r="63" spans="1:19" s="29" customFormat="1">
      <c r="A63" s="418" t="s">
        <v>351</v>
      </c>
      <c r="B63" s="850" t="s">
        <v>588</v>
      </c>
      <c r="C63" s="851"/>
      <c r="D63" s="5" t="s">
        <v>51</v>
      </c>
      <c r="E63" s="9">
        <v>3</v>
      </c>
      <c r="F63" s="9">
        <v>4</v>
      </c>
      <c r="G63" s="66"/>
      <c r="H63" s="405">
        <f>IF(G63&gt;=80%,F63,IF(G63&lt;65%,0,E63))</f>
        <v>0</v>
      </c>
      <c r="R63" s="53"/>
      <c r="S63" s="45"/>
    </row>
    <row r="64" spans="1:19" s="29" customFormat="1" ht="51" customHeight="1">
      <c r="A64" s="417">
        <v>7.2</v>
      </c>
      <c r="B64" s="1019" t="s">
        <v>354</v>
      </c>
      <c r="C64" s="1019"/>
      <c r="D64" s="518" t="s">
        <v>51</v>
      </c>
      <c r="E64" s="540">
        <v>2</v>
      </c>
      <c r="F64" s="540">
        <v>2.5</v>
      </c>
      <c r="G64" s="516"/>
      <c r="H64" s="419">
        <f>IF(H35&gt;0,0,IF(G64&gt;=80%,F64,IF(G64&lt;65%,0,E64)))</f>
        <v>0</v>
      </c>
      <c r="J64" s="11"/>
      <c r="K64" s="11"/>
      <c r="L64" s="11"/>
      <c r="R64" s="53"/>
      <c r="S64" s="45"/>
    </row>
    <row r="65" spans="1:19" s="29" customFormat="1" ht="15" customHeight="1">
      <c r="A65" s="417">
        <v>7.3</v>
      </c>
      <c r="B65" s="885" t="s">
        <v>226</v>
      </c>
      <c r="C65" s="886"/>
      <c r="D65" s="375"/>
      <c r="E65" s="375"/>
      <c r="F65" s="375"/>
      <c r="G65" s="375"/>
      <c r="H65" s="420"/>
      <c r="J65" s="11"/>
      <c r="K65" s="11"/>
      <c r="L65" s="11"/>
      <c r="R65" s="53"/>
      <c r="S65" s="45"/>
    </row>
    <row r="66" spans="1:19" s="29" customFormat="1" ht="32.25" customHeight="1">
      <c r="A66" s="418" t="s">
        <v>220</v>
      </c>
      <c r="B66" s="883" t="s">
        <v>227</v>
      </c>
      <c r="C66" s="884"/>
      <c r="D66" s="856" t="s">
        <v>51</v>
      </c>
      <c r="E66" s="296">
        <v>1</v>
      </c>
      <c r="F66" s="296">
        <v>1.5</v>
      </c>
      <c r="G66" s="67"/>
      <c r="H66" s="298">
        <f>IF(H29+H35&gt;0,0.5,IF(G66&gt;=80%,F66,IF(G66&lt;65%,0,E66)))</f>
        <v>0</v>
      </c>
      <c r="K66" s="11"/>
      <c r="L66" s="11"/>
      <c r="R66" s="53"/>
      <c r="S66" s="45"/>
    </row>
    <row r="67" spans="1:19" s="29" customFormat="1" ht="47.25" customHeight="1">
      <c r="A67" s="418" t="s">
        <v>221</v>
      </c>
      <c r="B67" s="883" t="s">
        <v>228</v>
      </c>
      <c r="C67" s="884"/>
      <c r="D67" s="857"/>
      <c r="E67" s="296">
        <v>1</v>
      </c>
      <c r="F67" s="296">
        <v>1.5</v>
      </c>
      <c r="G67" s="67"/>
      <c r="H67" s="298">
        <f>IF(H29+H35&gt;0,0.5,IF(G67&gt;=80%,F67,IF(G67&lt;65%,0,E67)))</f>
        <v>0</v>
      </c>
      <c r="R67" s="53"/>
      <c r="S67" s="45"/>
    </row>
    <row r="68" spans="1:19" s="29" customFormat="1">
      <c r="A68" s="418" t="s">
        <v>235</v>
      </c>
      <c r="B68" s="883" t="s">
        <v>229</v>
      </c>
      <c r="C68" s="884"/>
      <c r="D68" s="857"/>
      <c r="E68" s="296">
        <v>1</v>
      </c>
      <c r="F68" s="296">
        <v>1.5</v>
      </c>
      <c r="G68" s="67"/>
      <c r="H68" s="298">
        <f>IF(H29+H35&gt;0,0.5,IF(G68&gt;=80%,F68,IF(G68&lt;65%,0,E68)))</f>
        <v>0</v>
      </c>
      <c r="R68" s="53"/>
      <c r="S68" s="45"/>
    </row>
    <row r="69" spans="1:19" s="29" customFormat="1" ht="46.5" customHeight="1">
      <c r="A69" s="418" t="s">
        <v>222</v>
      </c>
      <c r="B69" s="883" t="s">
        <v>230</v>
      </c>
      <c r="C69" s="884"/>
      <c r="D69" s="858"/>
      <c r="E69" s="296">
        <v>1</v>
      </c>
      <c r="F69" s="296">
        <v>1.5</v>
      </c>
      <c r="G69" s="67"/>
      <c r="H69" s="298">
        <f>IF(H29+H35&gt;0,0.5,IF(G69&gt;=80%,F69,IF(G69&lt;65%,0,E69)))</f>
        <v>0</v>
      </c>
      <c r="R69" s="53"/>
      <c r="S69" s="45"/>
    </row>
    <row r="70" spans="1:19" s="29" customFormat="1">
      <c r="A70" s="417">
        <v>7.4</v>
      </c>
      <c r="B70" s="930" t="s">
        <v>441</v>
      </c>
      <c r="C70" s="930"/>
      <c r="D70" s="350" t="s">
        <v>2</v>
      </c>
      <c r="E70" s="296">
        <v>1</v>
      </c>
      <c r="F70" s="296">
        <v>1.5</v>
      </c>
      <c r="G70" s="67"/>
      <c r="H70" s="298">
        <f>IF(G70&gt;=80%,F70,IF(G70&lt;65%,0,E70))</f>
        <v>0</v>
      </c>
      <c r="R70" s="53"/>
      <c r="S70" s="45"/>
    </row>
    <row r="71" spans="1:19" s="29" customFormat="1" ht="15" customHeight="1">
      <c r="A71" s="526">
        <v>7.5</v>
      </c>
      <c r="B71" s="932" t="s">
        <v>422</v>
      </c>
      <c r="C71" s="932"/>
      <c r="D71" s="561" t="s">
        <v>420</v>
      </c>
      <c r="E71" s="855">
        <v>2</v>
      </c>
      <c r="F71" s="855"/>
      <c r="G71" s="546"/>
      <c r="H71" s="519">
        <f>IF(G71&gt;=5%,E71,0)</f>
        <v>0</v>
      </c>
      <c r="R71" s="53"/>
      <c r="S71" s="45"/>
    </row>
    <row r="72" spans="1:19" s="29" customFormat="1" ht="15.6">
      <c r="A72" s="421" t="s">
        <v>223</v>
      </c>
      <c r="B72" s="68" t="s">
        <v>231</v>
      </c>
      <c r="C72" s="69"/>
      <c r="D72" s="70"/>
      <c r="E72" s="71"/>
      <c r="F72" s="71"/>
      <c r="G72" s="71"/>
      <c r="H72" s="422"/>
      <c r="R72" s="53"/>
      <c r="S72" s="45"/>
    </row>
    <row r="73" spans="1:19" s="29" customFormat="1">
      <c r="A73" s="417">
        <v>8.1</v>
      </c>
      <c r="B73" s="852" t="s">
        <v>232</v>
      </c>
      <c r="C73" s="852"/>
      <c r="D73" s="5" t="s">
        <v>51</v>
      </c>
      <c r="E73" s="20">
        <v>2</v>
      </c>
      <c r="F73" s="20">
        <v>2.5</v>
      </c>
      <c r="G73" s="72"/>
      <c r="H73" s="405">
        <f>IF(G73&gt;=80%,F73,IF(G73&lt;65%,0,E73))</f>
        <v>0</v>
      </c>
      <c r="J73" s="73"/>
      <c r="R73" s="53"/>
      <c r="S73" s="45"/>
    </row>
    <row r="74" spans="1:19" s="29" customFormat="1">
      <c r="A74" s="417">
        <v>8.1999999999999993</v>
      </c>
      <c r="B74" s="852" t="s">
        <v>233</v>
      </c>
      <c r="C74" s="852"/>
      <c r="D74" s="5" t="s">
        <v>51</v>
      </c>
      <c r="E74" s="20">
        <v>2</v>
      </c>
      <c r="F74" s="20">
        <v>2.5</v>
      </c>
      <c r="G74" s="72"/>
      <c r="H74" s="405">
        <f>IF(G74&gt;=80%,F74,IF(G74&lt;65%,0,E74))</f>
        <v>0</v>
      </c>
      <c r="J74" s="11"/>
      <c r="K74" s="11"/>
      <c r="L74" s="11"/>
      <c r="R74" s="53"/>
      <c r="S74" s="45"/>
    </row>
    <row r="75" spans="1:19" s="29" customFormat="1">
      <c r="A75" s="417">
        <v>8.3000000000000007</v>
      </c>
      <c r="B75" s="874" t="s">
        <v>147</v>
      </c>
      <c r="C75" s="875"/>
      <c r="D75" s="5" t="s">
        <v>2</v>
      </c>
      <c r="E75" s="20">
        <v>2</v>
      </c>
      <c r="F75" s="20">
        <v>2.5</v>
      </c>
      <c r="G75" s="66"/>
      <c r="H75" s="405">
        <f>IF(G75&gt;=80%,F75,IF(G75&lt;65%,0,E75))</f>
        <v>0</v>
      </c>
      <c r="R75" s="53"/>
      <c r="S75" s="45"/>
    </row>
    <row r="76" spans="1:19" s="29" customFormat="1" ht="15.6">
      <c r="A76" s="421" t="s">
        <v>224</v>
      </c>
      <c r="B76" s="68" t="s">
        <v>234</v>
      </c>
      <c r="C76" s="69"/>
      <c r="D76" s="70"/>
      <c r="E76" s="71"/>
      <c r="F76" s="71"/>
      <c r="G76" s="71"/>
      <c r="H76" s="422"/>
      <c r="R76" s="53"/>
      <c r="S76" s="45"/>
    </row>
    <row r="77" spans="1:19" s="29" customFormat="1" ht="31.5" customHeight="1">
      <c r="A77" s="417">
        <v>9.1</v>
      </c>
      <c r="B77" s="852" t="s">
        <v>371</v>
      </c>
      <c r="C77" s="852"/>
      <c r="D77" s="5" t="s">
        <v>51</v>
      </c>
      <c r="E77" s="20">
        <v>2</v>
      </c>
      <c r="F77" s="20">
        <v>2.5</v>
      </c>
      <c r="G77" s="72"/>
      <c r="H77" s="405">
        <f>IF(G77&gt;=80%,F77,IF(G77&lt;65%,0,E77))</f>
        <v>0</v>
      </c>
      <c r="R77" s="53"/>
      <c r="S77" s="45"/>
    </row>
    <row r="78" spans="1:19" s="29" customFormat="1" ht="15.6">
      <c r="A78" s="423" t="s">
        <v>225</v>
      </c>
      <c r="B78" s="74" t="s">
        <v>213</v>
      </c>
      <c r="C78" s="58"/>
      <c r="D78" s="58"/>
      <c r="E78" s="75"/>
      <c r="F78" s="75"/>
      <c r="G78" s="76"/>
      <c r="H78" s="424"/>
      <c r="R78" s="53"/>
      <c r="S78" s="45"/>
    </row>
    <row r="79" spans="1:19" s="29" customFormat="1">
      <c r="A79" s="417">
        <v>10.1</v>
      </c>
      <c r="B79" s="848"/>
      <c r="C79" s="848"/>
      <c r="D79" s="77"/>
      <c r="E79" s="536"/>
      <c r="F79" s="536"/>
      <c r="G79" s="547"/>
      <c r="H79" s="405">
        <f>IF(G79&gt;=80%,F79,IF(G79&lt;65%,0,E79))</f>
        <v>0</v>
      </c>
      <c r="R79" s="53"/>
      <c r="S79" s="45"/>
    </row>
    <row r="80" spans="1:19" s="29" customFormat="1">
      <c r="A80" s="417">
        <v>10.199999999999999</v>
      </c>
      <c r="B80" s="848"/>
      <c r="C80" s="848"/>
      <c r="D80" s="77"/>
      <c r="E80" s="536"/>
      <c r="F80" s="536"/>
      <c r="G80" s="547"/>
      <c r="H80" s="405">
        <f>IF(G80&gt;=80%,F80,IF(G80&lt;65%,0,E80))</f>
        <v>0</v>
      </c>
      <c r="R80" s="53"/>
      <c r="S80" s="45"/>
    </row>
    <row r="81" spans="1:19" s="29" customFormat="1">
      <c r="A81" s="417">
        <v>10.3</v>
      </c>
      <c r="B81" s="848"/>
      <c r="C81" s="848"/>
      <c r="D81" s="77"/>
      <c r="E81" s="536"/>
      <c r="F81" s="536"/>
      <c r="G81" s="547"/>
      <c r="H81" s="405">
        <f>IF(G81&gt;=80%,F81,IF(G81&lt;65%,0,E81))</f>
        <v>0</v>
      </c>
      <c r="R81" s="53"/>
      <c r="S81" s="45"/>
    </row>
    <row r="82" spans="1:19" s="29" customFormat="1" ht="15.6">
      <c r="A82" s="425"/>
      <c r="B82" s="325"/>
      <c r="C82" s="323"/>
      <c r="D82" s="323"/>
      <c r="E82" s="326"/>
      <c r="F82" s="327"/>
      <c r="G82" s="328" t="s">
        <v>418</v>
      </c>
      <c r="H82" s="426">
        <f>IFERROR((SUM(H61:H81)),0)</f>
        <v>0</v>
      </c>
      <c r="R82" s="53"/>
      <c r="S82" s="45"/>
    </row>
    <row r="83" spans="1:19" s="29" customFormat="1">
      <c r="A83" s="412"/>
      <c r="B83" s="325"/>
      <c r="C83" s="323"/>
      <c r="D83" s="323"/>
      <c r="E83" s="323"/>
      <c r="F83" s="323"/>
      <c r="G83" s="329"/>
      <c r="H83" s="388"/>
      <c r="R83" s="53"/>
      <c r="S83" s="45"/>
    </row>
    <row r="84" spans="1:19" s="29" customFormat="1" ht="15.6">
      <c r="A84" s="412"/>
      <c r="B84" s="325"/>
      <c r="C84" s="323"/>
      <c r="D84" s="323"/>
      <c r="E84" s="323"/>
      <c r="F84" s="323"/>
      <c r="G84" s="330" t="s">
        <v>129</v>
      </c>
      <c r="H84" s="427">
        <f>IFERROR(MIN(G24,H56+H82),0)</f>
        <v>0</v>
      </c>
      <c r="R84" s="53"/>
      <c r="S84" s="45"/>
    </row>
    <row r="85" spans="1:19" s="29" customFormat="1" ht="16.2" thickBot="1">
      <c r="A85" s="491"/>
      <c r="B85" s="492"/>
      <c r="C85" s="493"/>
      <c r="D85" s="493"/>
      <c r="E85" s="493"/>
      <c r="F85" s="493"/>
      <c r="G85" s="496"/>
      <c r="H85" s="495"/>
      <c r="R85" s="53"/>
      <c r="S85" s="45"/>
    </row>
    <row r="86" spans="1:19" s="29" customFormat="1" ht="15.6">
      <c r="A86" s="486" t="s">
        <v>52</v>
      </c>
      <c r="B86" s="487"/>
      <c r="C86" s="487"/>
      <c r="D86" s="487"/>
      <c r="E86" s="487"/>
      <c r="F86" s="488" t="s">
        <v>43</v>
      </c>
      <c r="G86" s="489">
        <f>VLOOKUP($A$7,'Manpower allocation'!A4:D11,3,FALSE)*100</f>
        <v>40</v>
      </c>
      <c r="H86" s="490" t="s">
        <v>42</v>
      </c>
      <c r="J86" s="79">
        <f>VLOOKUP($A$7,'Manpower allocation'!A4:D11,3,FALSE)*100</f>
        <v>40</v>
      </c>
      <c r="R86" s="53"/>
      <c r="S86" s="45"/>
    </row>
    <row r="87" spans="1:19" s="29" customFormat="1" ht="15.6">
      <c r="A87" s="412"/>
      <c r="B87" s="331"/>
      <c r="C87" s="326"/>
      <c r="D87" s="323"/>
      <c r="E87" s="323"/>
      <c r="F87" s="323"/>
      <c r="G87" s="332"/>
      <c r="H87" s="388"/>
      <c r="R87" s="53"/>
      <c r="S87" s="45"/>
    </row>
    <row r="88" spans="1:19" s="29" customFormat="1" ht="46.8">
      <c r="A88" s="549" t="s">
        <v>0</v>
      </c>
      <c r="B88" s="550"/>
      <c r="C88" s="168"/>
      <c r="D88" s="80"/>
      <c r="E88" s="81" t="s">
        <v>17</v>
      </c>
      <c r="F88" s="82" t="s">
        <v>81</v>
      </c>
      <c r="G88" s="82" t="s">
        <v>20</v>
      </c>
      <c r="H88" s="428" t="s">
        <v>53</v>
      </c>
      <c r="R88" s="53"/>
      <c r="S88" s="45"/>
    </row>
    <row r="89" spans="1:19" s="29" customFormat="1" ht="15.6">
      <c r="A89" s="429" t="s">
        <v>303</v>
      </c>
      <c r="B89" s="83" t="s">
        <v>332</v>
      </c>
      <c r="C89" s="84"/>
      <c r="D89" s="84"/>
      <c r="E89" s="85"/>
      <c r="F89" s="85"/>
      <c r="G89" s="85"/>
      <c r="H89" s="430"/>
      <c r="R89" s="53"/>
      <c r="S89" s="45"/>
    </row>
    <row r="90" spans="1:19" s="29" customFormat="1" ht="15.6">
      <c r="A90" s="431">
        <v>1</v>
      </c>
      <c r="B90" s="86" t="s">
        <v>338</v>
      </c>
      <c r="C90" s="87"/>
      <c r="D90" s="87"/>
      <c r="E90" s="88"/>
      <c r="F90" s="88"/>
      <c r="G90" s="88"/>
      <c r="H90" s="432"/>
      <c r="R90" s="53"/>
      <c r="S90" s="45"/>
    </row>
    <row r="91" spans="1:19" s="29" customFormat="1">
      <c r="A91" s="417">
        <v>1.1000000000000001</v>
      </c>
      <c r="B91" s="885" t="s">
        <v>290</v>
      </c>
      <c r="C91" s="846"/>
      <c r="D91" s="845"/>
      <c r="E91" s="89">
        <f>VLOOKUP(A91,'Point Allocation'!$A$20:$J$40,MATCH(A7,'Point Allocation'!$A$20:$J$20,0),0)</f>
        <v>30</v>
      </c>
      <c r="F91" s="90"/>
      <c r="G91" s="91">
        <f>IFERROR(F91/$F$115,0)</f>
        <v>0</v>
      </c>
      <c r="H91" s="433">
        <f>E91*G91</f>
        <v>0</v>
      </c>
      <c r="R91" s="45"/>
      <c r="S91" s="45"/>
    </row>
    <row r="92" spans="1:19" s="29" customFormat="1" ht="15.6">
      <c r="A92" s="434">
        <v>2</v>
      </c>
      <c r="B92" s="92" t="s">
        <v>339</v>
      </c>
      <c r="C92" s="93"/>
      <c r="D92" s="94"/>
      <c r="E92" s="94"/>
      <c r="F92" s="95"/>
      <c r="G92" s="96"/>
      <c r="H92" s="435"/>
      <c r="R92" s="53"/>
      <c r="S92" s="45"/>
    </row>
    <row r="93" spans="1:19" s="29" customFormat="1">
      <c r="A93" s="849">
        <v>2.1</v>
      </c>
      <c r="B93" s="844" t="s">
        <v>207</v>
      </c>
      <c r="C93" s="846"/>
      <c r="D93" s="845"/>
      <c r="E93" s="853">
        <f>VLOOKUP(A93,'Point Allocation'!$A$20:$J$40,MATCH(A7,'Point Allocation'!$A$20:$J$20,0),0)</f>
        <v>28</v>
      </c>
      <c r="F93" s="854"/>
      <c r="G93" s="914">
        <f>IFERROR(F93/$F$115,0)</f>
        <v>0</v>
      </c>
      <c r="H93" s="921">
        <f>E93*G93</f>
        <v>0</v>
      </c>
      <c r="R93" s="53"/>
      <c r="S93" s="45"/>
    </row>
    <row r="94" spans="1:19" s="29" customFormat="1" ht="15.6">
      <c r="A94" s="841"/>
      <c r="B94" s="836" t="s">
        <v>120</v>
      </c>
      <c r="C94" s="837"/>
      <c r="D94" s="838"/>
      <c r="E94" s="853"/>
      <c r="F94" s="854"/>
      <c r="G94" s="914"/>
      <c r="H94" s="921"/>
      <c r="R94" s="53"/>
      <c r="S94" s="45"/>
    </row>
    <row r="95" spans="1:19" s="29" customFormat="1">
      <c r="A95" s="849">
        <v>2.2000000000000002</v>
      </c>
      <c r="B95" s="885" t="s">
        <v>178</v>
      </c>
      <c r="C95" s="886"/>
      <c r="D95" s="884"/>
      <c r="E95" s="853">
        <f>VLOOKUP(A95,'Point Allocation'!$A$20:$J$40,MATCH(A7,'Point Allocation'!$A$20:$J$20,0),0)</f>
        <v>28</v>
      </c>
      <c r="F95" s="854"/>
      <c r="G95" s="914">
        <f>IFERROR(F95/$F$115,0)</f>
        <v>0</v>
      </c>
      <c r="H95" s="921">
        <f>E95*G95</f>
        <v>0</v>
      </c>
      <c r="R95" s="53"/>
      <c r="S95" s="45"/>
    </row>
    <row r="96" spans="1:19" s="29" customFormat="1" ht="15.6">
      <c r="A96" s="882"/>
      <c r="B96" s="836" t="s">
        <v>120</v>
      </c>
      <c r="C96" s="837"/>
      <c r="D96" s="838"/>
      <c r="E96" s="853"/>
      <c r="F96" s="854"/>
      <c r="G96" s="914"/>
      <c r="H96" s="921"/>
      <c r="R96" s="53"/>
      <c r="S96" s="45"/>
    </row>
    <row r="97" spans="1:19" s="29" customFormat="1" ht="15.6">
      <c r="A97" s="431">
        <v>3</v>
      </c>
      <c r="B97" s="86" t="s">
        <v>340</v>
      </c>
      <c r="C97" s="93"/>
      <c r="D97" s="93"/>
      <c r="E97" s="95"/>
      <c r="F97" s="95"/>
      <c r="G97" s="96"/>
      <c r="H97" s="436"/>
      <c r="R97" s="53"/>
      <c r="S97" s="45"/>
    </row>
    <row r="98" spans="1:19" s="29" customFormat="1">
      <c r="A98" s="849">
        <v>3.1</v>
      </c>
      <c r="B98" s="844" t="s">
        <v>208</v>
      </c>
      <c r="C98" s="846"/>
      <c r="D98" s="845"/>
      <c r="E98" s="853">
        <f>VLOOKUP(A98,'Point Allocation'!$A$20:$J$40,MATCH(A7,'Point Allocation'!$A$20:$J$20,0),0)</f>
        <v>27</v>
      </c>
      <c r="F98" s="854"/>
      <c r="G98" s="914">
        <f>IFERROR(F98/$F$115,0)</f>
        <v>0</v>
      </c>
      <c r="H98" s="921">
        <f>E98*G98</f>
        <v>0</v>
      </c>
      <c r="R98" s="53"/>
      <c r="S98" s="45"/>
    </row>
    <row r="99" spans="1:19" s="29" customFormat="1" ht="15.6">
      <c r="A99" s="841"/>
      <c r="B99" s="836" t="s">
        <v>286</v>
      </c>
      <c r="C99" s="837"/>
      <c r="D99" s="838"/>
      <c r="E99" s="853"/>
      <c r="F99" s="854"/>
      <c r="G99" s="914"/>
      <c r="H99" s="921"/>
      <c r="R99" s="53"/>
      <c r="S99" s="45"/>
    </row>
    <row r="100" spans="1:19" s="29" customFormat="1" ht="15.6">
      <c r="A100" s="431">
        <v>4</v>
      </c>
      <c r="B100" s="86" t="s">
        <v>341</v>
      </c>
      <c r="C100" s="93"/>
      <c r="D100" s="93"/>
      <c r="E100" s="95"/>
      <c r="F100" s="95"/>
      <c r="G100" s="96"/>
      <c r="H100" s="436"/>
      <c r="R100" s="53"/>
      <c r="S100" s="45"/>
    </row>
    <row r="101" spans="1:19" s="29" customFormat="1" ht="30" customHeight="1">
      <c r="A101" s="418" t="s">
        <v>205</v>
      </c>
      <c r="B101" s="871" t="s">
        <v>292</v>
      </c>
      <c r="C101" s="872"/>
      <c r="D101" s="873"/>
      <c r="E101" s="97">
        <f>VLOOKUP(A101,'Point Allocation'!$A$20:$J$40,MATCH(A7,'Point Allocation'!$A$20:$J$20,0),0)</f>
        <v>25</v>
      </c>
      <c r="F101" s="537"/>
      <c r="G101" s="538">
        <f>IFERROR(F101/$F$115,0)</f>
        <v>0</v>
      </c>
      <c r="H101" s="437">
        <f>E101*G101</f>
        <v>0</v>
      </c>
      <c r="R101" s="912"/>
      <c r="S101" s="45"/>
    </row>
    <row r="102" spans="1:19" s="29" customFormat="1">
      <c r="A102" s="418" t="s">
        <v>206</v>
      </c>
      <c r="B102" s="871" t="s">
        <v>293</v>
      </c>
      <c r="C102" s="872"/>
      <c r="D102" s="873"/>
      <c r="E102" s="97">
        <f>VLOOKUP(A102,'Point Allocation'!$A$20:$J$40,MATCH(A7,'Point Allocation'!$A$20:$J$20,0),0)</f>
        <v>25</v>
      </c>
      <c r="F102" s="537"/>
      <c r="G102" s="538">
        <f>IFERROR(F102/$F$115,0)</f>
        <v>0</v>
      </c>
      <c r="H102" s="437">
        <f>E102*G102</f>
        <v>0</v>
      </c>
      <c r="R102" s="912"/>
      <c r="S102" s="45"/>
    </row>
    <row r="103" spans="1:19" s="29" customFormat="1">
      <c r="A103" s="417">
        <v>4.2</v>
      </c>
      <c r="B103" s="874" t="s">
        <v>209</v>
      </c>
      <c r="C103" s="931"/>
      <c r="D103" s="875"/>
      <c r="E103" s="97">
        <f>VLOOKUP(A103,'Point Allocation'!$A$20:$J$40,MATCH(A7,'Point Allocation'!$A$20:$J$20,0),0)</f>
        <v>25</v>
      </c>
      <c r="F103" s="537"/>
      <c r="G103" s="538">
        <f>IFERROR(F103/$F$115,0)</f>
        <v>0</v>
      </c>
      <c r="H103" s="437">
        <f>E103*G103</f>
        <v>0</v>
      </c>
      <c r="R103" s="53"/>
      <c r="S103" s="45"/>
    </row>
    <row r="104" spans="1:19" s="29" customFormat="1">
      <c r="A104" s="417">
        <v>4.3</v>
      </c>
      <c r="B104" s="922" t="s">
        <v>159</v>
      </c>
      <c r="C104" s="923"/>
      <c r="D104" s="924"/>
      <c r="E104" s="97">
        <f>VLOOKUP(A104,'Point Allocation'!$A$20:$J$40,MATCH(A7,'Point Allocation'!$A$20:$J$20,0),0)</f>
        <v>25</v>
      </c>
      <c r="F104" s="537"/>
      <c r="G104" s="538">
        <f>IFERROR(F104/$F$115,0)</f>
        <v>0</v>
      </c>
      <c r="H104" s="438">
        <f>E104*G104</f>
        <v>0</v>
      </c>
      <c r="R104" s="53"/>
      <c r="S104" s="45"/>
    </row>
    <row r="105" spans="1:19" s="29" customFormat="1">
      <c r="A105" s="417">
        <v>4.4000000000000004</v>
      </c>
      <c r="B105" s="922" t="s">
        <v>355</v>
      </c>
      <c r="C105" s="923"/>
      <c r="D105" s="924"/>
      <c r="E105" s="97">
        <f>VLOOKUP(A105,'Point Allocation'!$A$20:$J$40,MATCH(A7,'Point Allocation'!$A$20:$J$20,0),0)</f>
        <v>22</v>
      </c>
      <c r="F105" s="537"/>
      <c r="G105" s="538">
        <f>IFERROR(F105/$F$115,0)</f>
        <v>0</v>
      </c>
      <c r="H105" s="438">
        <f>E105*G105</f>
        <v>0</v>
      </c>
      <c r="R105" s="53"/>
      <c r="S105" s="45"/>
    </row>
    <row r="106" spans="1:19" s="29" customFormat="1" ht="15.6">
      <c r="A106" s="439" t="s">
        <v>304</v>
      </c>
      <c r="B106" s="99" t="s">
        <v>236</v>
      </c>
      <c r="C106" s="100"/>
      <c r="D106" s="101"/>
      <c r="E106" s="102"/>
      <c r="F106" s="103"/>
      <c r="G106" s="104"/>
      <c r="H106" s="440"/>
      <c r="R106" s="53"/>
      <c r="S106" s="45"/>
    </row>
    <row r="107" spans="1:19" s="29" customFormat="1" ht="15.6">
      <c r="A107" s="431">
        <v>5</v>
      </c>
      <c r="B107" s="86" t="s">
        <v>237</v>
      </c>
      <c r="C107" s="93"/>
      <c r="D107" s="93"/>
      <c r="E107" s="95"/>
      <c r="F107" s="95"/>
      <c r="G107" s="96"/>
      <c r="H107" s="436"/>
      <c r="R107" s="53"/>
      <c r="S107" s="45"/>
    </row>
    <row r="108" spans="1:19" s="29" customFormat="1">
      <c r="A108" s="417">
        <v>5.0999999999999996</v>
      </c>
      <c r="B108" s="844" t="s">
        <v>210</v>
      </c>
      <c r="C108" s="846"/>
      <c r="D108" s="845"/>
      <c r="E108" s="105">
        <f>VLOOKUP(A108,'Point Allocation'!$A$20:$J$40,MATCH(A7,'Point Allocation'!$A$20:$J$20,0),0)</f>
        <v>16</v>
      </c>
      <c r="F108" s="156"/>
      <c r="G108" s="538">
        <f>IFERROR(F108/$F$115,0)</f>
        <v>0</v>
      </c>
      <c r="H108" s="441">
        <f>E108*G108</f>
        <v>0</v>
      </c>
      <c r="R108" s="53"/>
      <c r="S108" s="45"/>
    </row>
    <row r="109" spans="1:19" s="29" customFormat="1">
      <c r="A109" s="417">
        <v>5.2</v>
      </c>
      <c r="B109" s="844" t="s">
        <v>356</v>
      </c>
      <c r="C109" s="846"/>
      <c r="D109" s="845"/>
      <c r="E109" s="105">
        <f>VLOOKUP(A109,'Point Allocation'!$A$20:$J$40,MATCH(A7,'Point Allocation'!$A$20:$J$20,0),0)</f>
        <v>5</v>
      </c>
      <c r="F109" s="90"/>
      <c r="G109" s="538">
        <f>IFERROR(F109/$F$115,0)</f>
        <v>0</v>
      </c>
      <c r="H109" s="441">
        <f>E109*G109</f>
        <v>0</v>
      </c>
      <c r="R109" s="53"/>
      <c r="S109" s="45"/>
    </row>
    <row r="110" spans="1:19" s="29" customFormat="1">
      <c r="A110" s="417">
        <v>5.3</v>
      </c>
      <c r="B110" s="844" t="s">
        <v>357</v>
      </c>
      <c r="C110" s="846"/>
      <c r="D110" s="845"/>
      <c r="E110" s="105">
        <f>VLOOKUP(A110,'Point Allocation'!$A$20:$J$40,MATCH(A7,'Point Allocation'!$A$20:$J$20,0),0)</f>
        <v>0</v>
      </c>
      <c r="F110" s="155"/>
      <c r="G110" s="538">
        <f>IFERROR(F110/$F$115,0)</f>
        <v>0</v>
      </c>
      <c r="H110" s="442">
        <f>E110*G110</f>
        <v>0</v>
      </c>
      <c r="R110" s="53"/>
      <c r="S110" s="45"/>
    </row>
    <row r="111" spans="1:19" s="29" customFormat="1" ht="15.6">
      <c r="A111" s="443">
        <v>6</v>
      </c>
      <c r="B111" s="106" t="s">
        <v>213</v>
      </c>
      <c r="C111" s="93"/>
      <c r="D111" s="93"/>
      <c r="E111" s="95"/>
      <c r="F111" s="95"/>
      <c r="G111" s="96"/>
      <c r="H111" s="436"/>
      <c r="R111" s="53"/>
      <c r="S111" s="45"/>
    </row>
    <row r="112" spans="1:19" s="29" customFormat="1">
      <c r="A112" s="444">
        <v>6.1</v>
      </c>
      <c r="B112" s="826"/>
      <c r="C112" s="821"/>
      <c r="D112" s="847"/>
      <c r="E112" s="537"/>
      <c r="F112" s="537"/>
      <c r="G112" s="538">
        <f>IFERROR(F112/$F$115,0)</f>
        <v>0</v>
      </c>
      <c r="H112" s="442">
        <f>E112*G112</f>
        <v>0</v>
      </c>
      <c r="R112" s="53"/>
      <c r="S112" s="45"/>
    </row>
    <row r="113" spans="1:19" s="29" customFormat="1">
      <c r="A113" s="444">
        <v>6.2</v>
      </c>
      <c r="B113" s="826"/>
      <c r="C113" s="821"/>
      <c r="D113" s="847"/>
      <c r="E113" s="537"/>
      <c r="F113" s="537"/>
      <c r="G113" s="538">
        <f>IFERROR(F113/$F$115,0)</f>
        <v>0</v>
      </c>
      <c r="H113" s="442">
        <f>E113*G113</f>
        <v>0</v>
      </c>
      <c r="R113" s="53"/>
      <c r="S113" s="45"/>
    </row>
    <row r="114" spans="1:19" s="29" customFormat="1">
      <c r="A114" s="444">
        <v>6.3</v>
      </c>
      <c r="B114" s="848"/>
      <c r="C114" s="848"/>
      <c r="D114" s="848"/>
      <c r="E114" s="537"/>
      <c r="F114" s="537"/>
      <c r="G114" s="538">
        <f>IFERROR(F114/$F$115,0)</f>
        <v>0</v>
      </c>
      <c r="H114" s="442">
        <f>E114*G114</f>
        <v>0</v>
      </c>
      <c r="R114" s="53"/>
      <c r="S114" s="45"/>
    </row>
    <row r="115" spans="1:19" s="29" customFormat="1" ht="15.6">
      <c r="A115" s="425"/>
      <c r="B115" s="325"/>
      <c r="C115" s="323"/>
      <c r="D115" s="323"/>
      <c r="E115" s="330" t="s">
        <v>62</v>
      </c>
      <c r="F115" s="333">
        <f>SUM(F91:F114)+E19</f>
        <v>0</v>
      </c>
      <c r="G115" s="334">
        <f>SUM(G91:G114)+F19</f>
        <v>0</v>
      </c>
      <c r="H115" s="445">
        <f>IFERROR(SUM(H91:H114),0)</f>
        <v>0</v>
      </c>
      <c r="R115" s="53"/>
      <c r="S115" s="45"/>
    </row>
    <row r="116" spans="1:19" s="29" customFormat="1" ht="15.6" thickBot="1">
      <c r="A116" s="491"/>
      <c r="B116" s="492"/>
      <c r="C116" s="493"/>
      <c r="D116" s="493"/>
      <c r="E116" s="493"/>
      <c r="F116" s="493"/>
      <c r="G116" s="480"/>
      <c r="H116" s="639"/>
      <c r="R116" s="53"/>
      <c r="S116" s="45"/>
    </row>
    <row r="117" spans="1:19" s="29" customFormat="1" ht="31.2">
      <c r="A117" s="640" t="s">
        <v>0</v>
      </c>
      <c r="B117" s="641"/>
      <c r="C117" s="641"/>
      <c r="D117" s="642" t="s">
        <v>17</v>
      </c>
      <c r="E117" s="643" t="s">
        <v>81</v>
      </c>
      <c r="F117" s="644" t="s">
        <v>335</v>
      </c>
      <c r="G117" s="644" t="s">
        <v>336</v>
      </c>
      <c r="H117" s="645" t="s">
        <v>53</v>
      </c>
      <c r="R117" s="53"/>
      <c r="S117" s="45"/>
    </row>
    <row r="118" spans="1:19" s="29" customFormat="1" ht="15.6">
      <c r="A118" s="429" t="s">
        <v>238</v>
      </c>
      <c r="B118" s="83" t="s">
        <v>333</v>
      </c>
      <c r="C118" s="84"/>
      <c r="D118" s="85"/>
      <c r="E118" s="85"/>
      <c r="F118" s="85"/>
      <c r="G118" s="85"/>
      <c r="H118" s="430"/>
      <c r="R118" s="53"/>
      <c r="S118" s="45"/>
    </row>
    <row r="119" spans="1:19" s="29" customFormat="1" ht="15.6">
      <c r="A119" s="431">
        <v>7</v>
      </c>
      <c r="B119" s="86" t="s">
        <v>338</v>
      </c>
      <c r="C119" s="87"/>
      <c r="D119" s="88"/>
      <c r="E119" s="88"/>
      <c r="F119" s="88"/>
      <c r="G119" s="88"/>
      <c r="H119" s="432"/>
      <c r="R119" s="53"/>
      <c r="S119" s="45"/>
    </row>
    <row r="120" spans="1:19" s="29" customFormat="1" ht="15" customHeight="1">
      <c r="A120" s="404">
        <v>7.1</v>
      </c>
      <c r="B120" s="885" t="s">
        <v>290</v>
      </c>
      <c r="C120" s="884"/>
      <c r="D120" s="98">
        <f>VLOOKUP(A120,'Point Allocation'!$A$20:$J$41,MATCH(A7,'Point Allocation'!$A$20:$J$20,0),0)</f>
        <v>10</v>
      </c>
      <c r="E120" s="89">
        <f>F91</f>
        <v>0</v>
      </c>
      <c r="F120" s="89">
        <f>F29</f>
        <v>0</v>
      </c>
      <c r="G120" s="91">
        <f>IFERROR(SUM(E120:F120)/SUM($E$138:$F$138),0)</f>
        <v>0</v>
      </c>
      <c r="H120" s="433">
        <f>D120*G120</f>
        <v>0</v>
      </c>
      <c r="R120" s="53"/>
      <c r="S120" s="45"/>
    </row>
    <row r="121" spans="1:19" s="29" customFormat="1" ht="15.6">
      <c r="A121" s="434">
        <v>8</v>
      </c>
      <c r="B121" s="92" t="s">
        <v>339</v>
      </c>
      <c r="C121" s="93"/>
      <c r="D121" s="94"/>
      <c r="E121" s="95"/>
      <c r="F121" s="95"/>
      <c r="G121" s="96"/>
      <c r="H121" s="435"/>
      <c r="R121" s="53"/>
      <c r="S121" s="45"/>
    </row>
    <row r="122" spans="1:19" s="29" customFormat="1">
      <c r="A122" s="849">
        <v>8.1</v>
      </c>
      <c r="B122" s="844" t="s">
        <v>337</v>
      </c>
      <c r="C122" s="845"/>
      <c r="D122" s="925">
        <f>VLOOKUP(A122,'Point Allocation'!$A$20:$J$41,MATCH(A7,'Point Allocation'!$A$20:$J$20,0),0)</f>
        <v>8</v>
      </c>
      <c r="E122" s="927">
        <f>F93</f>
        <v>0</v>
      </c>
      <c r="F122" s="859"/>
      <c r="G122" s="860">
        <f>IFERROR(SUM(E122:F123)/SUM($E$138:$F$138),0)</f>
        <v>0</v>
      </c>
      <c r="H122" s="921">
        <f>D122*G122</f>
        <v>0</v>
      </c>
      <c r="R122" s="53"/>
      <c r="S122" s="45"/>
    </row>
    <row r="123" spans="1:19" s="29" customFormat="1" ht="15.6">
      <c r="A123" s="882"/>
      <c r="B123" s="836" t="s">
        <v>120</v>
      </c>
      <c r="C123" s="838"/>
      <c r="D123" s="926"/>
      <c r="E123" s="927"/>
      <c r="F123" s="859"/>
      <c r="G123" s="861"/>
      <c r="H123" s="921"/>
      <c r="R123" s="53"/>
      <c r="S123" s="45"/>
    </row>
    <row r="124" spans="1:19" s="29" customFormat="1">
      <c r="A124" s="404">
        <v>8.1999999999999993</v>
      </c>
      <c r="B124" s="885" t="s">
        <v>178</v>
      </c>
      <c r="C124" s="884"/>
      <c r="D124" s="98">
        <f>VLOOKUP(A124,'Point Allocation'!$A$20:$J$41,MATCH(A7,'Point Allocation'!$A$20:$J$20,0),0)</f>
        <v>8</v>
      </c>
      <c r="E124" s="189">
        <f>F95</f>
        <v>0</v>
      </c>
      <c r="F124" s="548"/>
      <c r="G124" s="91">
        <f>IFERROR(SUM(E124:F124)/SUM($E$138:$F$138),0)</f>
        <v>0</v>
      </c>
      <c r="H124" s="437">
        <f>D124*G124</f>
        <v>0</v>
      </c>
      <c r="R124" s="53"/>
      <c r="S124" s="45"/>
    </row>
    <row r="125" spans="1:19" s="29" customFormat="1" ht="15.6">
      <c r="A125" s="431">
        <v>9</v>
      </c>
      <c r="B125" s="86" t="s">
        <v>340</v>
      </c>
      <c r="C125" s="93"/>
      <c r="D125" s="95"/>
      <c r="E125" s="95"/>
      <c r="F125" s="95"/>
      <c r="G125" s="96"/>
      <c r="H125" s="436"/>
      <c r="R125" s="53"/>
      <c r="S125" s="45"/>
    </row>
    <row r="126" spans="1:19" s="29" customFormat="1">
      <c r="A126" s="849">
        <v>9.1</v>
      </c>
      <c r="B126" s="844" t="s">
        <v>381</v>
      </c>
      <c r="C126" s="845"/>
      <c r="D126" s="925">
        <f>VLOOKUP(A126,'Point Allocation'!$A$20:$J$41,MATCH(A7,'Point Allocation'!$A$20:$J$20,0),0)</f>
        <v>6</v>
      </c>
      <c r="E126" s="859"/>
      <c r="F126" s="859"/>
      <c r="G126" s="914">
        <f>IFERROR(SUM(E126:F127)/SUM($E$138:$F$138),0)</f>
        <v>0</v>
      </c>
      <c r="H126" s="921">
        <f>D126*G126</f>
        <v>0</v>
      </c>
      <c r="R126" s="53"/>
      <c r="S126" s="45"/>
    </row>
    <row r="127" spans="1:19" s="29" customFormat="1" ht="15.6">
      <c r="A127" s="882"/>
      <c r="B127" s="836" t="s">
        <v>5</v>
      </c>
      <c r="C127" s="838"/>
      <c r="D127" s="926"/>
      <c r="E127" s="859"/>
      <c r="F127" s="859"/>
      <c r="G127" s="914"/>
      <c r="H127" s="921"/>
      <c r="R127" s="53"/>
      <c r="S127" s="45"/>
    </row>
    <row r="128" spans="1:19" s="29" customFormat="1" ht="15.6">
      <c r="A128" s="431">
        <v>10</v>
      </c>
      <c r="B128" s="86" t="s">
        <v>342</v>
      </c>
      <c r="C128" s="93"/>
      <c r="D128" s="95"/>
      <c r="E128" s="95"/>
      <c r="F128" s="95"/>
      <c r="G128" s="96"/>
      <c r="H128" s="436"/>
      <c r="R128" s="53"/>
      <c r="S128" s="45"/>
    </row>
    <row r="129" spans="1:19" s="29" customFormat="1" ht="15" customHeight="1">
      <c r="A129" s="409">
        <v>10.1</v>
      </c>
      <c r="B129" s="844" t="s">
        <v>382</v>
      </c>
      <c r="C129" s="845"/>
      <c r="D129" s="98">
        <f>VLOOKUP(A129,'Point Allocation'!$A$20:$J$41,MATCH(A7,'Point Allocation'!$A$20:$J$20,0),0)</f>
        <v>4</v>
      </c>
      <c r="E129" s="548"/>
      <c r="F129" s="548"/>
      <c r="G129" s="91">
        <f>IFERROR(SUM(E129:F129)/SUM($E$138:$F$138),0)</f>
        <v>0</v>
      </c>
      <c r="H129" s="437">
        <f>D129*G129</f>
        <v>0</v>
      </c>
      <c r="R129" s="53"/>
      <c r="S129" s="45"/>
    </row>
    <row r="130" spans="1:19" s="29" customFormat="1" ht="32.25" customHeight="1">
      <c r="A130" s="406">
        <v>10.199999999999999</v>
      </c>
      <c r="B130" s="928" t="s">
        <v>353</v>
      </c>
      <c r="C130" s="929"/>
      <c r="D130" s="98">
        <f>VLOOKUP(A130,'Point Allocation'!$A$20:$J$41,MATCH(A7,'Point Allocation'!$A$20:$J$20,0),0)</f>
        <v>4</v>
      </c>
      <c r="E130" s="188"/>
      <c r="F130" s="548"/>
      <c r="G130" s="538">
        <f>IFERROR(SUM(E130:F130)/SUM($E$138:$F$138),0)</f>
        <v>0</v>
      </c>
      <c r="H130" s="437">
        <f>D130*G130</f>
        <v>0</v>
      </c>
      <c r="R130" s="53"/>
      <c r="S130" s="45"/>
    </row>
    <row r="131" spans="1:19" s="29" customFormat="1" ht="15.6">
      <c r="A131" s="439" t="s">
        <v>239</v>
      </c>
      <c r="B131" s="99" t="s">
        <v>262</v>
      </c>
      <c r="C131" s="100"/>
      <c r="D131" s="102"/>
      <c r="E131" s="103"/>
      <c r="F131" s="103"/>
      <c r="G131" s="104"/>
      <c r="H131" s="440"/>
      <c r="R131" s="53"/>
      <c r="S131" s="45"/>
    </row>
    <row r="132" spans="1:19" s="29" customFormat="1" ht="15.6">
      <c r="A132" s="431">
        <v>11</v>
      </c>
      <c r="B132" s="86" t="s">
        <v>263</v>
      </c>
      <c r="C132" s="93"/>
      <c r="D132" s="95"/>
      <c r="E132" s="95"/>
      <c r="F132" s="95"/>
      <c r="G132" s="96"/>
      <c r="H132" s="436"/>
      <c r="R132" s="53"/>
      <c r="S132" s="45"/>
    </row>
    <row r="133" spans="1:19" s="29" customFormat="1">
      <c r="A133" s="409">
        <v>11.1</v>
      </c>
      <c r="B133" s="844" t="s">
        <v>593</v>
      </c>
      <c r="C133" s="845"/>
      <c r="D133" s="98">
        <f>VLOOKUP(A133,'Point Allocation'!$A$20:$J$41,MATCH(A7,'Point Allocation'!$A$20:$J$20,0),0)</f>
        <v>2</v>
      </c>
      <c r="E133" s="548"/>
      <c r="F133" s="548"/>
      <c r="G133" s="538">
        <f>IFERROR(SUM(E133:F133)/SUM($E$138:$F$138),0)</f>
        <v>0</v>
      </c>
      <c r="H133" s="437">
        <f t="shared" ref="H133:H137" si="2">D133*G133</f>
        <v>0</v>
      </c>
      <c r="R133" s="53"/>
      <c r="S133" s="45"/>
    </row>
    <row r="134" spans="1:19" s="29" customFormat="1">
      <c r="A134" s="446">
        <v>11.2</v>
      </c>
      <c r="B134" s="874" t="s">
        <v>344</v>
      </c>
      <c r="C134" s="875"/>
      <c r="D134" s="189">
        <f>VLOOKUP(A133,'Point Allocation'!$A$20:$J$41,MATCH(A7,'Point Allocation'!$A$20:$J$20,0),0)</f>
        <v>2</v>
      </c>
      <c r="E134" s="548"/>
      <c r="F134" s="548"/>
      <c r="G134" s="538">
        <f>IFERROR(SUM(E134:F134)/SUM($E$138:$F$138),0)</f>
        <v>0</v>
      </c>
      <c r="H134" s="437">
        <f t="shared" si="2"/>
        <v>0</v>
      </c>
      <c r="R134" s="53"/>
      <c r="S134" s="45"/>
    </row>
    <row r="135" spans="1:19" s="29" customFormat="1">
      <c r="A135" s="409">
        <v>11.3</v>
      </c>
      <c r="B135" s="874" t="s">
        <v>352</v>
      </c>
      <c r="C135" s="875"/>
      <c r="D135" s="98">
        <f>VLOOKUP(A135,'Point Allocation'!$A$20:$J$41,MATCH(A7,'Point Allocation'!$A$20:$J$20,0),0)</f>
        <v>0</v>
      </c>
      <c r="E135" s="548"/>
      <c r="F135" s="548"/>
      <c r="G135" s="538">
        <f>IFERROR(SUM(E135:F135)/SUM($E$138:$F$138),0)</f>
        <v>0</v>
      </c>
      <c r="H135" s="437">
        <f t="shared" si="2"/>
        <v>0</v>
      </c>
      <c r="R135" s="53"/>
      <c r="S135" s="45"/>
    </row>
    <row r="136" spans="1:19" s="29" customFormat="1">
      <c r="A136" s="447">
        <v>11.4</v>
      </c>
      <c r="B136" s="866"/>
      <c r="C136" s="867"/>
      <c r="D136" s="537"/>
      <c r="E136" s="548"/>
      <c r="F136" s="548"/>
      <c r="G136" s="538">
        <f>IFERROR(SUM(E136:F136)/SUM($E$138:$F$138),0)</f>
        <v>0</v>
      </c>
      <c r="H136" s="437">
        <f t="shared" si="2"/>
        <v>0</v>
      </c>
      <c r="R136" s="53"/>
      <c r="S136" s="45"/>
    </row>
    <row r="137" spans="1:19" s="29" customFormat="1">
      <c r="A137" s="447">
        <v>11.5</v>
      </c>
      <c r="B137" s="866"/>
      <c r="C137" s="867"/>
      <c r="D137" s="537"/>
      <c r="E137" s="548"/>
      <c r="F137" s="548"/>
      <c r="G137" s="538">
        <f>IFERROR(SUM(E137:F137)/SUM($E$138:$F$138),0)</f>
        <v>0</v>
      </c>
      <c r="H137" s="437">
        <f t="shared" si="2"/>
        <v>0</v>
      </c>
      <c r="R137" s="53"/>
      <c r="S137" s="45"/>
    </row>
    <row r="138" spans="1:19" s="29" customFormat="1" ht="15.6">
      <c r="A138" s="412"/>
      <c r="B138" s="325"/>
      <c r="C138" s="323"/>
      <c r="D138" s="330" t="s">
        <v>140</v>
      </c>
      <c r="E138" s="333">
        <f>SUM(E120:E137)</f>
        <v>0</v>
      </c>
      <c r="F138" s="335">
        <f>SUM(F120:F137)</f>
        <v>0</v>
      </c>
      <c r="G138" s="336">
        <f>SUM(G120:G137)</f>
        <v>0</v>
      </c>
      <c r="H138" s="448">
        <f>IFERROR(SUM(H120:H137),0)</f>
        <v>0</v>
      </c>
      <c r="R138" s="53"/>
      <c r="S138" s="45"/>
    </row>
    <row r="139" spans="1:19" s="29" customFormat="1">
      <c r="A139" s="414"/>
      <c r="B139" s="325"/>
      <c r="C139" s="323"/>
      <c r="D139" s="323"/>
      <c r="E139" s="323"/>
      <c r="F139" s="323"/>
      <c r="G139" s="332"/>
      <c r="H139" s="388"/>
      <c r="R139" s="53"/>
      <c r="S139" s="45"/>
    </row>
    <row r="140" spans="1:19" s="29" customFormat="1" ht="46.8">
      <c r="A140" s="868" t="s">
        <v>0</v>
      </c>
      <c r="B140" s="869"/>
      <c r="C140" s="176"/>
      <c r="D140" s="545" t="s">
        <v>58</v>
      </c>
      <c r="E140" s="545" t="s">
        <v>59</v>
      </c>
      <c r="F140" s="870" t="s">
        <v>60</v>
      </c>
      <c r="G140" s="870"/>
      <c r="H140" s="449" t="s">
        <v>63</v>
      </c>
      <c r="K140" s="107" t="s">
        <v>72</v>
      </c>
      <c r="L140" s="107">
        <v>1</v>
      </c>
      <c r="M140" s="107">
        <v>2</v>
      </c>
      <c r="N140" s="107">
        <v>3</v>
      </c>
      <c r="O140" s="107">
        <v>4</v>
      </c>
      <c r="P140" s="107">
        <v>5</v>
      </c>
      <c r="Q140" s="107">
        <v>6</v>
      </c>
      <c r="R140" s="53"/>
      <c r="S140" s="45"/>
    </row>
    <row r="141" spans="1:19" s="29" customFormat="1" ht="15.6">
      <c r="A141" s="450" t="s">
        <v>240</v>
      </c>
      <c r="B141" s="130" t="s">
        <v>148</v>
      </c>
      <c r="C141" s="175"/>
      <c r="D141" s="57"/>
      <c r="E141" s="57"/>
      <c r="F141" s="58"/>
      <c r="G141" s="108"/>
      <c r="H141" s="451"/>
      <c r="K141" s="107" t="s">
        <v>74</v>
      </c>
      <c r="L141" s="107" t="s">
        <v>73</v>
      </c>
      <c r="M141" s="107">
        <v>1</v>
      </c>
      <c r="N141" s="107">
        <v>2</v>
      </c>
      <c r="O141" s="107">
        <v>3</v>
      </c>
      <c r="P141" s="107">
        <v>4</v>
      </c>
      <c r="Q141" s="107">
        <v>4</v>
      </c>
      <c r="R141" s="53"/>
      <c r="S141" s="45"/>
    </row>
    <row r="142" spans="1:19" s="29" customFormat="1">
      <c r="A142" s="391" t="s">
        <v>241</v>
      </c>
      <c r="B142" s="520" t="s">
        <v>442</v>
      </c>
      <c r="C142" s="177" t="s">
        <v>56</v>
      </c>
      <c r="D142" s="854"/>
      <c r="E142" s="854"/>
      <c r="F142" s="892" t="str">
        <f>IF(D142&gt;9,D142/E142," ")</f>
        <v xml:space="preserve"> </v>
      </c>
      <c r="G142" s="892"/>
      <c r="H142" s="437">
        <f>IF(D142="",0,IF(D142&lt;9,2,IF((D142/E142)=0,2,IF((D142/E142)&lt;10%,1.5,IF((D142/E142)&lt;15%,1,IF((D142/E142)&lt;20%,0.5,0))))))</f>
        <v>0</v>
      </c>
      <c r="K142" s="107" t="s">
        <v>75</v>
      </c>
      <c r="L142" s="107" t="s">
        <v>73</v>
      </c>
      <c r="M142" s="107">
        <v>5</v>
      </c>
      <c r="N142" s="107">
        <v>15</v>
      </c>
      <c r="O142" s="107">
        <v>25</v>
      </c>
      <c r="P142" s="107">
        <v>35</v>
      </c>
      <c r="Q142" s="107">
        <v>35</v>
      </c>
      <c r="R142" s="53"/>
      <c r="S142" s="45"/>
    </row>
    <row r="143" spans="1:19" s="29" customFormat="1">
      <c r="A143" s="391" t="s">
        <v>242</v>
      </c>
      <c r="B143" s="520" t="s">
        <v>443</v>
      </c>
      <c r="C143" s="177" t="s">
        <v>57</v>
      </c>
      <c r="D143" s="854"/>
      <c r="E143" s="854"/>
      <c r="F143" s="893"/>
      <c r="G143" s="893"/>
      <c r="H143" s="437">
        <f>IF(E142="",0,IF(E142&lt;15,HLOOKUP(F143,K140:Q147,4,FALSE),IF(E142&lt;45,HLOOKUP(F143,K140:Q147,5,FALSE),IF(E142&lt;90,HLOOKUP(F143,K140:Q147,6,FALSE),IF(E142&lt;135,HLOOKUP(F143,K140:Q147,7,FALSE),IF(E142&gt;=135,HLOOKUP(F143,K140:Q147,8,FALSE),3))))))</f>
        <v>0</v>
      </c>
      <c r="J143" s="55"/>
      <c r="K143" s="107" t="s">
        <v>76</v>
      </c>
      <c r="L143" s="107">
        <v>3</v>
      </c>
      <c r="M143" s="107">
        <v>3</v>
      </c>
      <c r="N143" s="107">
        <v>3</v>
      </c>
      <c r="O143" s="107">
        <v>2.5</v>
      </c>
      <c r="P143" s="107">
        <v>1.5</v>
      </c>
      <c r="Q143" s="107">
        <v>0</v>
      </c>
      <c r="R143" s="53"/>
      <c r="S143" s="45"/>
    </row>
    <row r="144" spans="1:19" s="29" customFormat="1">
      <c r="A144" s="412"/>
      <c r="B144" s="325"/>
      <c r="C144" s="332"/>
      <c r="D144" s="337"/>
      <c r="E144" s="337"/>
      <c r="F144" s="337"/>
      <c r="G144" s="337"/>
      <c r="H144" s="452"/>
      <c r="J144" s="55"/>
      <c r="K144" s="107" t="s">
        <v>77</v>
      </c>
      <c r="L144" s="107">
        <v>3</v>
      </c>
      <c r="M144" s="107">
        <v>3</v>
      </c>
      <c r="N144" s="107">
        <v>2.5</v>
      </c>
      <c r="O144" s="107">
        <v>1.5</v>
      </c>
      <c r="P144" s="107">
        <v>1</v>
      </c>
      <c r="Q144" s="107">
        <v>0</v>
      </c>
      <c r="R144" s="53"/>
      <c r="S144" s="45"/>
    </row>
    <row r="145" spans="1:19" s="29" customFormat="1" ht="15.6">
      <c r="A145" s="412"/>
      <c r="B145" s="338"/>
      <c r="C145" s="332"/>
      <c r="D145" s="332"/>
      <c r="E145" s="332"/>
      <c r="F145" s="323"/>
      <c r="G145" s="339"/>
      <c r="H145" s="453"/>
      <c r="J145" s="55"/>
      <c r="K145" s="107" t="s">
        <v>78</v>
      </c>
      <c r="L145" s="107">
        <v>3</v>
      </c>
      <c r="M145" s="107">
        <v>2.5</v>
      </c>
      <c r="N145" s="107">
        <v>1.5</v>
      </c>
      <c r="O145" s="107">
        <v>1</v>
      </c>
      <c r="P145" s="107">
        <v>0</v>
      </c>
      <c r="Q145" s="107">
        <v>0</v>
      </c>
      <c r="R145" s="53"/>
      <c r="S145" s="45"/>
    </row>
    <row r="146" spans="1:19" s="29" customFormat="1" ht="15.75" customHeight="1">
      <c r="A146" s="876" t="s">
        <v>0</v>
      </c>
      <c r="B146" s="877"/>
      <c r="C146" s="991"/>
      <c r="D146" s="880" t="s">
        <v>4</v>
      </c>
      <c r="E146" s="895" t="s">
        <v>1</v>
      </c>
      <c r="F146" s="881"/>
      <c r="G146" s="896" t="s">
        <v>21</v>
      </c>
      <c r="H146" s="890" t="s">
        <v>63</v>
      </c>
      <c r="J146" s="55"/>
      <c r="K146" s="107" t="s">
        <v>79</v>
      </c>
      <c r="L146" s="107">
        <v>3</v>
      </c>
      <c r="M146" s="107">
        <v>1.5</v>
      </c>
      <c r="N146" s="107">
        <v>1</v>
      </c>
      <c r="O146" s="107">
        <v>0</v>
      </c>
      <c r="P146" s="107">
        <v>0</v>
      </c>
      <c r="Q146" s="107">
        <v>0</v>
      </c>
      <c r="R146" s="53"/>
      <c r="S146" s="45"/>
    </row>
    <row r="147" spans="1:19" s="29" customFormat="1" ht="30" customHeight="1">
      <c r="A147" s="878"/>
      <c r="B147" s="879"/>
      <c r="C147" s="992"/>
      <c r="D147" s="881"/>
      <c r="E147" s="545" t="s">
        <v>65</v>
      </c>
      <c r="F147" s="545" t="s">
        <v>66</v>
      </c>
      <c r="G147" s="897"/>
      <c r="H147" s="891"/>
      <c r="J147" s="55"/>
      <c r="K147" s="107" t="s">
        <v>80</v>
      </c>
      <c r="L147" s="107">
        <v>3</v>
      </c>
      <c r="M147" s="107">
        <v>1</v>
      </c>
      <c r="N147" s="107">
        <v>0</v>
      </c>
      <c r="O147" s="107">
        <v>0</v>
      </c>
      <c r="P147" s="107">
        <v>0</v>
      </c>
      <c r="Q147" s="107">
        <v>0</v>
      </c>
      <c r="R147" s="53"/>
      <c r="S147" s="45"/>
    </row>
    <row r="148" spans="1:19" s="29" customFormat="1" ht="15.6">
      <c r="A148" s="454" t="s">
        <v>243</v>
      </c>
      <c r="B148" s="109" t="s">
        <v>264</v>
      </c>
      <c r="C148" s="110"/>
      <c r="D148" s="110"/>
      <c r="E148" s="110"/>
      <c r="F148" s="114"/>
      <c r="G148" s="115"/>
      <c r="H148" s="455"/>
      <c r="K148" s="107" t="s">
        <v>74</v>
      </c>
      <c r="L148" s="107" t="s">
        <v>73</v>
      </c>
      <c r="M148" s="107">
        <v>1</v>
      </c>
      <c r="N148" s="107">
        <v>2</v>
      </c>
      <c r="O148" s="107">
        <v>3</v>
      </c>
      <c r="P148" s="107">
        <v>4</v>
      </c>
      <c r="Q148" s="107">
        <v>4</v>
      </c>
      <c r="R148" s="53"/>
      <c r="S148" s="45"/>
    </row>
    <row r="149" spans="1:19" s="29" customFormat="1" ht="15.6">
      <c r="A149" s="456" t="s">
        <v>244</v>
      </c>
      <c r="B149" s="158" t="s">
        <v>231</v>
      </c>
      <c r="C149" s="159"/>
      <c r="D149" s="160"/>
      <c r="E149" s="161"/>
      <c r="F149" s="161"/>
      <c r="G149" s="162"/>
      <c r="H149" s="457"/>
      <c r="J149" s="55"/>
      <c r="R149" s="53"/>
      <c r="S149" s="45"/>
    </row>
    <row r="150" spans="1:19" s="29" customFormat="1">
      <c r="A150" s="418" t="s">
        <v>245</v>
      </c>
      <c r="B150" s="885" t="s">
        <v>424</v>
      </c>
      <c r="C150" s="884"/>
      <c r="D150" s="163" t="s">
        <v>51</v>
      </c>
      <c r="E150" s="541">
        <v>2</v>
      </c>
      <c r="F150" s="541">
        <v>3</v>
      </c>
      <c r="G150" s="27"/>
      <c r="H150" s="405">
        <f t="shared" ref="H150:H159" si="3">IF(G150&gt;=80%,F150,IF(G150&lt;65%,0,E150))</f>
        <v>0</v>
      </c>
      <c r="R150" s="53"/>
      <c r="S150" s="45"/>
    </row>
    <row r="151" spans="1:19" s="29" customFormat="1">
      <c r="A151" s="418" t="s">
        <v>246</v>
      </c>
      <c r="B151" s="844" t="s">
        <v>423</v>
      </c>
      <c r="C151" s="845"/>
      <c r="D151" s="164" t="s">
        <v>51</v>
      </c>
      <c r="E151" s="20">
        <v>2</v>
      </c>
      <c r="F151" s="20">
        <v>3</v>
      </c>
      <c r="G151" s="547"/>
      <c r="H151" s="405">
        <f>IF(G151&gt;=80%,F151,IF(G151&lt;65%,0,E151))</f>
        <v>0</v>
      </c>
      <c r="R151" s="53"/>
      <c r="S151" s="45"/>
    </row>
    <row r="152" spans="1:19" s="29" customFormat="1" ht="30">
      <c r="A152" s="839" t="s">
        <v>247</v>
      </c>
      <c r="B152" s="915" t="s">
        <v>448</v>
      </c>
      <c r="C152" s="916"/>
      <c r="D152" s="521" t="s">
        <v>446</v>
      </c>
      <c r="E152" s="907">
        <v>2.5</v>
      </c>
      <c r="F152" s="908"/>
      <c r="G152" s="940"/>
      <c r="H152" s="938">
        <f>IF(G152&gt;=35,E153,IF(G152&gt;=30,E152,0))</f>
        <v>0</v>
      </c>
      <c r="R152" s="53"/>
      <c r="S152" s="45"/>
    </row>
    <row r="153" spans="1:19" s="29" customFormat="1" ht="30">
      <c r="A153" s="841"/>
      <c r="B153" s="917"/>
      <c r="C153" s="918"/>
      <c r="D153" s="521" t="s">
        <v>447</v>
      </c>
      <c r="E153" s="907">
        <v>3</v>
      </c>
      <c r="F153" s="908"/>
      <c r="G153" s="941"/>
      <c r="H153" s="939"/>
      <c r="R153" s="53"/>
      <c r="S153" s="45"/>
    </row>
    <row r="154" spans="1:19" s="29" customFormat="1" ht="31.5" customHeight="1">
      <c r="A154" s="839" t="s">
        <v>248</v>
      </c>
      <c r="B154" s="915" t="s">
        <v>449</v>
      </c>
      <c r="C154" s="933"/>
      <c r="D154" s="165" t="s">
        <v>372</v>
      </c>
      <c r="E154" s="864">
        <v>4</v>
      </c>
      <c r="F154" s="865"/>
      <c r="G154" s="942"/>
      <c r="H154" s="945">
        <f>IF(G154&gt;=80,E154,IF(G154&gt;=70,E155,IF(G154&gt;=60,E156,IF(G154&gt;=50,E157,0))))</f>
        <v>0</v>
      </c>
      <c r="I154" s="913"/>
      <c r="R154" s="53"/>
      <c r="S154" s="45"/>
    </row>
    <row r="155" spans="1:19" s="29" customFormat="1" ht="31.5" customHeight="1">
      <c r="A155" s="840"/>
      <c r="B155" s="934"/>
      <c r="C155" s="935"/>
      <c r="D155" s="165" t="s">
        <v>373</v>
      </c>
      <c r="E155" s="864">
        <v>3</v>
      </c>
      <c r="F155" s="865"/>
      <c r="G155" s="943"/>
      <c r="H155" s="946"/>
      <c r="I155" s="913"/>
      <c r="R155" s="53"/>
      <c r="S155" s="45"/>
    </row>
    <row r="156" spans="1:19" s="29" customFormat="1" ht="31.5" customHeight="1">
      <c r="A156" s="840"/>
      <c r="B156" s="934"/>
      <c r="C156" s="935"/>
      <c r="D156" s="165" t="s">
        <v>411</v>
      </c>
      <c r="E156" s="864">
        <v>2</v>
      </c>
      <c r="F156" s="865"/>
      <c r="G156" s="943"/>
      <c r="H156" s="946"/>
      <c r="I156" s="913"/>
      <c r="R156" s="53"/>
      <c r="S156" s="45"/>
    </row>
    <row r="157" spans="1:19" s="29" customFormat="1" ht="31.5" customHeight="1">
      <c r="A157" s="841"/>
      <c r="B157" s="936"/>
      <c r="C157" s="937"/>
      <c r="D157" s="165" t="s">
        <v>412</v>
      </c>
      <c r="E157" s="864">
        <v>1</v>
      </c>
      <c r="F157" s="865"/>
      <c r="G157" s="944"/>
      <c r="H157" s="947"/>
      <c r="I157" s="913"/>
      <c r="R157" s="53"/>
      <c r="S157" s="45"/>
    </row>
    <row r="158" spans="1:19" s="29" customFormat="1" ht="31.5" customHeight="1">
      <c r="A158" s="839" t="s">
        <v>414</v>
      </c>
      <c r="B158" s="915" t="s">
        <v>444</v>
      </c>
      <c r="C158" s="933"/>
      <c r="D158" s="165" t="s">
        <v>67</v>
      </c>
      <c r="E158" s="376">
        <v>3.5</v>
      </c>
      <c r="F158" s="376">
        <v>4</v>
      </c>
      <c r="G158" s="27"/>
      <c r="H158" s="405">
        <f t="shared" si="3"/>
        <v>0</v>
      </c>
      <c r="I158" s="913"/>
      <c r="R158" s="53"/>
      <c r="S158" s="45"/>
    </row>
    <row r="159" spans="1:19" s="29" customFormat="1" ht="30">
      <c r="A159" s="841"/>
      <c r="B159" s="936"/>
      <c r="C159" s="937"/>
      <c r="D159" s="165" t="s">
        <v>68</v>
      </c>
      <c r="E159" s="376">
        <v>2.5</v>
      </c>
      <c r="F159" s="376">
        <v>3</v>
      </c>
      <c r="G159" s="27"/>
      <c r="H159" s="405">
        <f t="shared" si="3"/>
        <v>0</v>
      </c>
      <c r="R159" s="53"/>
      <c r="S159" s="45"/>
    </row>
    <row r="160" spans="1:19" s="29" customFormat="1">
      <c r="A160" s="522" t="s">
        <v>594</v>
      </c>
      <c r="B160" s="999" t="s">
        <v>421</v>
      </c>
      <c r="C160" s="1000"/>
      <c r="D160" s="523" t="s">
        <v>51</v>
      </c>
      <c r="E160" s="551">
        <v>2</v>
      </c>
      <c r="F160" s="551">
        <v>2.5</v>
      </c>
      <c r="G160" s="27"/>
      <c r="H160" s="298">
        <f>IF(G160&gt;=80%,F160,IF(G160&lt;65%,0,E160))</f>
        <v>0</v>
      </c>
      <c r="R160" s="53"/>
      <c r="S160" s="45"/>
    </row>
    <row r="161" spans="1:19" s="29" customFormat="1" ht="15.6">
      <c r="A161" s="431" t="s">
        <v>249</v>
      </c>
      <c r="B161" s="86" t="s">
        <v>299</v>
      </c>
      <c r="C161" s="93"/>
      <c r="D161" s="160"/>
      <c r="E161" s="161"/>
      <c r="F161" s="161"/>
      <c r="G161" s="162"/>
      <c r="H161" s="457"/>
      <c r="I161" s="172"/>
      <c r="R161" s="53"/>
      <c r="S161" s="45"/>
    </row>
    <row r="162" spans="1:19" s="29" customFormat="1" ht="32.25" customHeight="1">
      <c r="A162" s="418" t="s">
        <v>250</v>
      </c>
      <c r="B162" s="936" t="s">
        <v>597</v>
      </c>
      <c r="C162" s="937"/>
      <c r="D162" s="543" t="s">
        <v>51</v>
      </c>
      <c r="E162" s="541">
        <v>2</v>
      </c>
      <c r="F162" s="541">
        <v>2.5</v>
      </c>
      <c r="G162" s="27"/>
      <c r="H162" s="405">
        <f>IF(G162&gt;=80%,F162,IF(G162&lt;65%,0,E162))</f>
        <v>0</v>
      </c>
      <c r="R162" s="53"/>
      <c r="S162" s="45"/>
    </row>
    <row r="163" spans="1:19" s="29" customFormat="1" ht="29.25" customHeight="1">
      <c r="A163" s="418" t="s">
        <v>251</v>
      </c>
      <c r="B163" s="999" t="s">
        <v>445</v>
      </c>
      <c r="C163" s="1000"/>
      <c r="D163" s="543" t="s">
        <v>51</v>
      </c>
      <c r="E163" s="541">
        <v>2</v>
      </c>
      <c r="F163" s="541">
        <v>2.5</v>
      </c>
      <c r="G163" s="27"/>
      <c r="H163" s="405">
        <f>IF(G163&gt;=80%,F163,IF(G163&lt;65%,0,E163))</f>
        <v>0</v>
      </c>
      <c r="R163" s="53"/>
      <c r="S163" s="45"/>
    </row>
    <row r="164" spans="1:19" s="29" customFormat="1" ht="15.6">
      <c r="A164" s="431">
        <v>15</v>
      </c>
      <c r="B164" s="86" t="s">
        <v>278</v>
      </c>
      <c r="C164" s="93"/>
      <c r="D164" s="160"/>
      <c r="E164" s="161"/>
      <c r="F164" s="161"/>
      <c r="G164" s="162"/>
      <c r="H164" s="457"/>
      <c r="I164" s="172"/>
      <c r="R164" s="53"/>
      <c r="S164" s="45"/>
    </row>
    <row r="165" spans="1:19" s="29" customFormat="1">
      <c r="A165" s="839" t="s">
        <v>252</v>
      </c>
      <c r="B165" s="936" t="s">
        <v>297</v>
      </c>
      <c r="C165" s="937"/>
      <c r="D165" s="919" t="s">
        <v>51</v>
      </c>
      <c r="E165" s="910">
        <v>2.5</v>
      </c>
      <c r="F165" s="910">
        <v>4</v>
      </c>
      <c r="G165" s="899"/>
      <c r="H165" s="945">
        <f>IF(G165&gt;=80%,F165,IF(G165&lt;65%,0,E165))</f>
        <v>0</v>
      </c>
      <c r="I165" s="172"/>
      <c r="R165" s="53"/>
      <c r="S165" s="45"/>
    </row>
    <row r="166" spans="1:19" s="29" customFormat="1" ht="15.6">
      <c r="A166" s="841"/>
      <c r="B166" s="998" t="s">
        <v>298</v>
      </c>
      <c r="C166" s="998"/>
      <c r="D166" s="920"/>
      <c r="E166" s="911"/>
      <c r="F166" s="911"/>
      <c r="G166" s="900"/>
      <c r="H166" s="947"/>
      <c r="I166" s="172"/>
      <c r="R166" s="53"/>
      <c r="S166" s="45"/>
    </row>
    <row r="167" spans="1:19" s="29" customFormat="1">
      <c r="A167" s="839" t="s">
        <v>253</v>
      </c>
      <c r="B167" s="885" t="s">
        <v>146</v>
      </c>
      <c r="C167" s="884"/>
      <c r="D167" s="769" t="s">
        <v>51</v>
      </c>
      <c r="E167" s="906">
        <v>2.5</v>
      </c>
      <c r="F167" s="906">
        <v>4</v>
      </c>
      <c r="G167" s="905"/>
      <c r="H167" s="909">
        <f>IF(G167&gt;=80%,F167,IF(G167&lt;65%,0,E167))</f>
        <v>0</v>
      </c>
      <c r="I167" s="172"/>
      <c r="R167" s="53"/>
      <c r="S167" s="45"/>
    </row>
    <row r="168" spans="1:19" s="29" customFormat="1" ht="15.6">
      <c r="A168" s="841"/>
      <c r="B168" s="998" t="s">
        <v>120</v>
      </c>
      <c r="C168" s="998"/>
      <c r="D168" s="769"/>
      <c r="E168" s="906"/>
      <c r="F168" s="906"/>
      <c r="G168" s="905"/>
      <c r="H168" s="909"/>
      <c r="I168" s="172"/>
      <c r="R168" s="53"/>
      <c r="S168" s="45"/>
    </row>
    <row r="169" spans="1:19" s="29" customFormat="1" ht="15.6">
      <c r="A169" s="443">
        <v>16</v>
      </c>
      <c r="B169" s="106" t="s">
        <v>213</v>
      </c>
      <c r="C169" s="93"/>
      <c r="D169" s="93"/>
      <c r="E169" s="95"/>
      <c r="F169" s="95"/>
      <c r="G169" s="96"/>
      <c r="H169" s="436"/>
      <c r="R169" s="60"/>
      <c r="S169" s="45"/>
    </row>
    <row r="170" spans="1:19" s="29" customFormat="1">
      <c r="A170" s="418" t="s">
        <v>255</v>
      </c>
      <c r="B170" s="826"/>
      <c r="C170" s="821"/>
      <c r="D170" s="111"/>
      <c r="E170" s="537"/>
      <c r="F170" s="537"/>
      <c r="G170" s="67"/>
      <c r="H170" s="542">
        <f>IF(G170&gt;=80%,F170,IF(G170&lt;65%,0,E170))</f>
        <v>0</v>
      </c>
      <c r="R170" s="53"/>
      <c r="S170" s="45"/>
    </row>
    <row r="171" spans="1:19" s="29" customFormat="1">
      <c r="A171" s="418" t="s">
        <v>256</v>
      </c>
      <c r="B171" s="826"/>
      <c r="C171" s="821"/>
      <c r="D171" s="111"/>
      <c r="E171" s="537"/>
      <c r="F171" s="537"/>
      <c r="G171" s="67"/>
      <c r="H171" s="542">
        <f>IF(G171&gt;=80%,F171,IF(G171&lt;65%,0,E171))</f>
        <v>0</v>
      </c>
      <c r="R171" s="53"/>
      <c r="S171" s="45"/>
    </row>
    <row r="172" spans="1:19" s="29" customFormat="1">
      <c r="A172" s="418" t="s">
        <v>257</v>
      </c>
      <c r="B172" s="826"/>
      <c r="C172" s="821"/>
      <c r="D172" s="111"/>
      <c r="E172" s="537"/>
      <c r="F172" s="537"/>
      <c r="G172" s="67"/>
      <c r="H172" s="542">
        <f>IF(G172&gt;=80%,F172,IF(G172&lt;65%,0,E172))</f>
        <v>0</v>
      </c>
      <c r="R172" s="53"/>
      <c r="S172" s="45"/>
    </row>
    <row r="173" spans="1:19" s="29" customFormat="1" ht="15.6">
      <c r="A173" s="425"/>
      <c r="B173" s="325"/>
      <c r="C173" s="323"/>
      <c r="D173" s="323"/>
      <c r="E173" s="323"/>
      <c r="F173" s="327"/>
      <c r="G173" s="328" t="s">
        <v>419</v>
      </c>
      <c r="H173" s="458">
        <f>IFERROR((SUM(H142:H172)),0)</f>
        <v>0</v>
      </c>
      <c r="R173" s="53"/>
      <c r="S173" s="45"/>
    </row>
    <row r="174" spans="1:19" s="29" customFormat="1" ht="15.6" thickBot="1">
      <c r="A174" s="491"/>
      <c r="B174" s="492"/>
      <c r="C174" s="493"/>
      <c r="D174" s="493"/>
      <c r="E174" s="493"/>
      <c r="F174" s="493"/>
      <c r="G174" s="480"/>
      <c r="H174" s="639"/>
      <c r="R174" s="53"/>
      <c r="S174" s="45"/>
    </row>
    <row r="175" spans="1:19" s="29" customFormat="1" ht="30.75" customHeight="1">
      <c r="A175" s="995" t="s">
        <v>0</v>
      </c>
      <c r="B175" s="996"/>
      <c r="C175" s="997"/>
      <c r="D175" s="1011" t="s">
        <v>4</v>
      </c>
      <c r="E175" s="902" t="s">
        <v>1</v>
      </c>
      <c r="F175" s="903"/>
      <c r="G175" s="898" t="s">
        <v>21</v>
      </c>
      <c r="H175" s="888" t="s">
        <v>63</v>
      </c>
      <c r="R175" s="53"/>
      <c r="S175" s="45"/>
    </row>
    <row r="176" spans="1:19" s="29" customFormat="1" ht="15.6">
      <c r="A176" s="878"/>
      <c r="B176" s="879"/>
      <c r="C176" s="992"/>
      <c r="D176" s="1012"/>
      <c r="E176" s="545" t="s">
        <v>121</v>
      </c>
      <c r="F176" s="545" t="s">
        <v>122</v>
      </c>
      <c r="G176" s="870"/>
      <c r="H176" s="889"/>
      <c r="R176" s="53"/>
      <c r="S176" s="45"/>
    </row>
    <row r="177" spans="1:19" s="29" customFormat="1" ht="15.6">
      <c r="A177" s="450" t="s">
        <v>254</v>
      </c>
      <c r="B177" s="109" t="s">
        <v>258</v>
      </c>
      <c r="C177" s="110"/>
      <c r="D177" s="110"/>
      <c r="E177" s="110"/>
      <c r="F177" s="114"/>
      <c r="G177" s="115"/>
      <c r="H177" s="455"/>
      <c r="R177" s="53"/>
      <c r="S177" s="45"/>
    </row>
    <row r="178" spans="1:19" s="29" customFormat="1">
      <c r="A178" s="391" t="s">
        <v>300</v>
      </c>
      <c r="B178" s="885" t="s">
        <v>259</v>
      </c>
      <c r="C178" s="886"/>
      <c r="D178" s="5" t="s">
        <v>51</v>
      </c>
      <c r="E178" s="20">
        <v>-1</v>
      </c>
      <c r="F178" s="20">
        <v>-2</v>
      </c>
      <c r="G178" s="28"/>
      <c r="H178" s="405">
        <f>IF(G178&gt;=30%,F178,IF(G178=0%,0,E178))</f>
        <v>0</v>
      </c>
      <c r="R178" s="53"/>
      <c r="S178" s="45"/>
    </row>
    <row r="179" spans="1:19" s="29" customFormat="1">
      <c r="A179" s="391" t="s">
        <v>301</v>
      </c>
      <c r="B179" s="885" t="s">
        <v>260</v>
      </c>
      <c r="C179" s="886"/>
      <c r="D179" s="5" t="s">
        <v>51</v>
      </c>
      <c r="E179" s="20">
        <v>-1</v>
      </c>
      <c r="F179" s="20">
        <v>-1.5</v>
      </c>
      <c r="G179" s="28"/>
      <c r="H179" s="405">
        <f>IF(G179&gt;=30%,F179,IF(G179=0%,0,E179))</f>
        <v>0</v>
      </c>
      <c r="R179" s="53"/>
      <c r="S179" s="45"/>
    </row>
    <row r="180" spans="1:19" s="29" customFormat="1">
      <c r="A180" s="391" t="s">
        <v>302</v>
      </c>
      <c r="B180" s="885" t="s">
        <v>261</v>
      </c>
      <c r="C180" s="886"/>
      <c r="D180" s="5" t="s">
        <v>51</v>
      </c>
      <c r="E180" s="904">
        <v>-1</v>
      </c>
      <c r="F180" s="904"/>
      <c r="G180" s="547"/>
      <c r="H180" s="405">
        <f>IF(G180&gt;0%,E180,0)</f>
        <v>0</v>
      </c>
      <c r="R180" s="53"/>
      <c r="S180" s="45"/>
    </row>
    <row r="181" spans="1:19" s="29" customFormat="1" ht="15.6">
      <c r="A181" s="425"/>
      <c r="B181" s="325"/>
      <c r="C181" s="323"/>
      <c r="D181" s="323"/>
      <c r="E181" s="323"/>
      <c r="F181" s="327"/>
      <c r="G181" s="328" t="s">
        <v>142</v>
      </c>
      <c r="H181" s="458">
        <f>IFERROR(MAX(SUM(H178:H180),-4),0)</f>
        <v>0</v>
      </c>
      <c r="R181" s="45"/>
      <c r="S181" s="45"/>
    </row>
    <row r="182" spans="1:19" s="29" customFormat="1">
      <c r="A182" s="412"/>
      <c r="B182" s="325"/>
      <c r="C182" s="323"/>
      <c r="D182" s="323"/>
      <c r="E182" s="323"/>
      <c r="F182" s="323"/>
      <c r="G182" s="332"/>
      <c r="H182" s="388"/>
      <c r="R182" s="53"/>
      <c r="S182" s="45"/>
    </row>
    <row r="183" spans="1:19" s="29" customFormat="1" ht="15.6">
      <c r="A183" s="412"/>
      <c r="B183" s="325"/>
      <c r="C183" s="323"/>
      <c r="D183" s="323"/>
      <c r="E183" s="323"/>
      <c r="F183" s="323"/>
      <c r="G183" s="330" t="s">
        <v>141</v>
      </c>
      <c r="H183" s="459">
        <f>IFERROR(MIN(SUM(H115+H138+H173+H181),G86),0)</f>
        <v>0</v>
      </c>
      <c r="R183" s="53"/>
      <c r="S183" s="45"/>
    </row>
    <row r="184" spans="1:19" s="29" customFormat="1" ht="16.2" thickBot="1">
      <c r="A184" s="491"/>
      <c r="B184" s="492"/>
      <c r="C184" s="493"/>
      <c r="D184" s="493"/>
      <c r="E184" s="493"/>
      <c r="F184" s="493"/>
      <c r="G184" s="494"/>
      <c r="H184" s="495"/>
      <c r="R184" s="53"/>
      <c r="S184" s="45"/>
    </row>
    <row r="185" spans="1:19" s="29" customFormat="1" ht="15.6">
      <c r="A185" s="481" t="s">
        <v>64</v>
      </c>
      <c r="B185" s="482"/>
      <c r="C185" s="482"/>
      <c r="D185" s="482"/>
      <c r="E185" s="482"/>
      <c r="F185" s="483" t="s">
        <v>43</v>
      </c>
      <c r="G185" s="484">
        <f>VLOOKUP($A$7,'Manpower allocation'!A4:D11,4,FALSE)*100</f>
        <v>15</v>
      </c>
      <c r="H185" s="485" t="s">
        <v>42</v>
      </c>
      <c r="J185" s="112">
        <f>VLOOKUP($A$7,'Manpower allocation'!A4:D11,4,FALSE)*100</f>
        <v>15</v>
      </c>
      <c r="R185" s="53"/>
      <c r="S185" s="45"/>
    </row>
    <row r="186" spans="1:19" s="29" customFormat="1" ht="15.6">
      <c r="A186" s="412"/>
      <c r="B186" s="331"/>
      <c r="C186" s="323"/>
      <c r="D186" s="323"/>
      <c r="E186" s="323"/>
      <c r="F186" s="323"/>
      <c r="G186" s="332"/>
      <c r="H186" s="388"/>
      <c r="R186" s="53"/>
      <c r="S186" s="45"/>
    </row>
    <row r="187" spans="1:19" s="29" customFormat="1" ht="46.8">
      <c r="A187" s="993" t="s">
        <v>0</v>
      </c>
      <c r="B187" s="994"/>
      <c r="C187" s="113"/>
      <c r="D187" s="539" t="s">
        <v>17</v>
      </c>
      <c r="E187" s="539" t="s">
        <v>125</v>
      </c>
      <c r="F187" s="539" t="s">
        <v>109</v>
      </c>
      <c r="G187" s="539" t="s">
        <v>18</v>
      </c>
      <c r="H187" s="544" t="s">
        <v>63</v>
      </c>
      <c r="R187" s="53"/>
      <c r="S187" s="45"/>
    </row>
    <row r="188" spans="1:19" s="29" customFormat="1" ht="15.6">
      <c r="A188" s="454" t="s">
        <v>265</v>
      </c>
      <c r="B188" s="109" t="s">
        <v>358</v>
      </c>
      <c r="C188" s="110"/>
      <c r="D188" s="110"/>
      <c r="E188" s="110"/>
      <c r="F188" s="114"/>
      <c r="G188" s="115"/>
      <c r="H188" s="455"/>
      <c r="R188" s="53"/>
      <c r="S188" s="45"/>
    </row>
    <row r="189" spans="1:19" s="29" customFormat="1" ht="15.6">
      <c r="A189" s="460">
        <v>1</v>
      </c>
      <c r="B189" s="116" t="s">
        <v>338</v>
      </c>
      <c r="C189" s="117"/>
      <c r="D189" s="118"/>
      <c r="E189" s="118"/>
      <c r="F189" s="118"/>
      <c r="G189" s="118"/>
      <c r="H189" s="461"/>
      <c r="R189" s="53"/>
      <c r="S189" s="45"/>
    </row>
    <row r="190" spans="1:19" s="29" customFormat="1">
      <c r="A190" s="409">
        <v>1.1000000000000001</v>
      </c>
      <c r="B190" s="844" t="s">
        <v>290</v>
      </c>
      <c r="C190" s="845"/>
      <c r="D190" s="20">
        <f>VLOOKUP(A190,'Point Allocation'!$A$46:$J$55,MATCH(A7,'Point Allocation'!$A$46:$J$46,0),0)</f>
        <v>15</v>
      </c>
      <c r="E190" s="38"/>
      <c r="F190" s="38"/>
      <c r="G190" s="31">
        <f>MIN(IFERROR(F190/E190,0),100%)</f>
        <v>0</v>
      </c>
      <c r="H190" s="405">
        <f>D190*G190</f>
        <v>0</v>
      </c>
      <c r="R190" s="53"/>
      <c r="S190" s="45"/>
    </row>
    <row r="191" spans="1:19" s="29" customFormat="1" ht="15.6">
      <c r="A191" s="462">
        <v>2</v>
      </c>
      <c r="B191" s="119" t="s">
        <v>339</v>
      </c>
      <c r="C191" s="120"/>
      <c r="D191" s="32"/>
      <c r="E191" s="33"/>
      <c r="F191" s="33"/>
      <c r="G191" s="34"/>
      <c r="H191" s="463"/>
      <c r="R191" s="53"/>
      <c r="S191" s="45"/>
    </row>
    <row r="192" spans="1:19" s="29" customFormat="1" ht="33" customHeight="1">
      <c r="A192" s="464">
        <v>2.1</v>
      </c>
      <c r="B192" s="969" t="s">
        <v>266</v>
      </c>
      <c r="C192" s="971"/>
      <c r="D192" s="20">
        <f>VLOOKUP(A192,'Point Allocation'!$A$46:$J$55,MATCH(A7,'Point Allocation'!$A$46:$J$46,0),0)</f>
        <v>12</v>
      </c>
      <c r="E192" s="38"/>
      <c r="F192" s="38"/>
      <c r="G192" s="31">
        <f>MIN(IFERROR(F192/E192,0),100%)</f>
        <v>0</v>
      </c>
      <c r="H192" s="405">
        <f>D192*G192</f>
        <v>0</v>
      </c>
      <c r="R192" s="53"/>
      <c r="S192" s="45"/>
    </row>
    <row r="193" spans="1:19" s="29" customFormat="1" ht="15.6">
      <c r="A193" s="460">
        <v>3</v>
      </c>
      <c r="B193" s="116" t="s">
        <v>343</v>
      </c>
      <c r="C193" s="121"/>
      <c r="D193" s="35"/>
      <c r="E193" s="35"/>
      <c r="F193" s="35"/>
      <c r="G193" s="34"/>
      <c r="H193" s="465"/>
      <c r="R193" s="53"/>
      <c r="S193" s="45"/>
    </row>
    <row r="194" spans="1:19" s="29" customFormat="1">
      <c r="A194" s="466">
        <v>3.1</v>
      </c>
      <c r="B194" s="850" t="s">
        <v>451</v>
      </c>
      <c r="C194" s="851"/>
      <c r="D194" s="20">
        <f>VLOOKUP(A194,'Point Allocation'!$A$46:$J$55,MATCH(A7,'Point Allocation'!$A$46:$J$46,0),0)</f>
        <v>4</v>
      </c>
      <c r="E194" s="38"/>
      <c r="F194" s="38"/>
      <c r="G194" s="31">
        <f>MIN(IFERROR(F194/E194,0),100%)</f>
        <v>0</v>
      </c>
      <c r="H194" s="405">
        <f>D194*G194</f>
        <v>0</v>
      </c>
      <c r="R194" s="53"/>
      <c r="S194" s="45"/>
    </row>
    <row r="195" spans="1:19" s="29" customFormat="1" ht="32.25" customHeight="1">
      <c r="A195" s="466">
        <v>3.2</v>
      </c>
      <c r="B195" s="850" t="s">
        <v>452</v>
      </c>
      <c r="C195" s="851"/>
      <c r="D195" s="20">
        <f>VLOOKUP(A195,'Point Allocation'!$A$46:$J$55,MATCH(A7,'Point Allocation'!$A$46:$J$46,0),0)</f>
        <v>4</v>
      </c>
      <c r="E195" s="178"/>
      <c r="F195" s="38"/>
      <c r="G195" s="31">
        <f>MIN(IFERROR(F195/E195,0),100%)</f>
        <v>0</v>
      </c>
      <c r="H195" s="405">
        <f>D195*G195</f>
        <v>0</v>
      </c>
      <c r="R195" s="53"/>
      <c r="S195" s="45"/>
    </row>
    <row r="196" spans="1:19" s="29" customFormat="1" ht="32.25" customHeight="1">
      <c r="A196" s="404">
        <v>3.3</v>
      </c>
      <c r="B196" s="885" t="s">
        <v>170</v>
      </c>
      <c r="C196" s="886"/>
      <c r="D196" s="20">
        <f>VLOOKUP(A196,'Point Allocation'!$A$46:$J$55,MATCH(A7,'Point Allocation'!$A$46:$J$46,0),0)</f>
        <v>4</v>
      </c>
      <c r="E196" s="179"/>
      <c r="F196" s="536"/>
      <c r="G196" s="31">
        <f>MIN(IFERROR(F196/E196,0),100%)</f>
        <v>0</v>
      </c>
      <c r="H196" s="405">
        <f>D196*G196</f>
        <v>0</v>
      </c>
      <c r="R196" s="53"/>
      <c r="S196" s="45"/>
    </row>
    <row r="197" spans="1:19" s="29" customFormat="1" ht="15.6">
      <c r="A197" s="412"/>
      <c r="B197" s="325"/>
      <c r="C197" s="323"/>
      <c r="D197" s="324" t="s">
        <v>6</v>
      </c>
      <c r="E197" s="300">
        <f>MAX(SUM(E190:E196),F197)</f>
        <v>0</v>
      </c>
      <c r="F197" s="300">
        <f>SUM(F190:F196)</f>
        <v>0</v>
      </c>
      <c r="G197" s="340">
        <f>IFERROR(MIN(F197/E197,100%),0)</f>
        <v>0</v>
      </c>
      <c r="H197" s="413">
        <f>IFERROR(SUM(H190:H196),0)</f>
        <v>0</v>
      </c>
      <c r="R197" s="53"/>
      <c r="S197" s="45"/>
    </row>
    <row r="198" spans="1:19" s="29" customFormat="1" ht="15.6">
      <c r="A198" s="412"/>
      <c r="B198" s="338"/>
      <c r="C198" s="341"/>
      <c r="D198" s="342"/>
      <c r="E198" s="341"/>
      <c r="F198" s="341"/>
      <c r="G198" s="343"/>
      <c r="H198" s="467"/>
      <c r="R198" s="53"/>
      <c r="S198" s="45"/>
    </row>
    <row r="199" spans="1:19" s="29" customFormat="1" ht="15.6">
      <c r="A199" s="993" t="s">
        <v>0</v>
      </c>
      <c r="B199" s="994"/>
      <c r="C199" s="982"/>
      <c r="D199" s="901" t="s">
        <v>4</v>
      </c>
      <c r="E199" s="901" t="s">
        <v>1</v>
      </c>
      <c r="F199" s="901"/>
      <c r="G199" s="894" t="s">
        <v>21</v>
      </c>
      <c r="H199" s="887" t="s">
        <v>63</v>
      </c>
      <c r="R199" s="53"/>
      <c r="S199" s="45"/>
    </row>
    <row r="200" spans="1:19" s="29" customFormat="1" ht="30.75" customHeight="1">
      <c r="A200" s="1007"/>
      <c r="B200" s="1008"/>
      <c r="C200" s="983"/>
      <c r="D200" s="901"/>
      <c r="E200" s="539" t="s">
        <v>65</v>
      </c>
      <c r="F200" s="539" t="s">
        <v>66</v>
      </c>
      <c r="G200" s="894"/>
      <c r="H200" s="887"/>
      <c r="R200" s="53"/>
      <c r="S200" s="45"/>
    </row>
    <row r="201" spans="1:19" s="29" customFormat="1" ht="15.6">
      <c r="A201" s="415" t="s">
        <v>271</v>
      </c>
      <c r="B201" s="46" t="s">
        <v>272</v>
      </c>
      <c r="C201" s="57"/>
      <c r="D201" s="57"/>
      <c r="E201" s="57"/>
      <c r="F201" s="58"/>
      <c r="G201" s="108"/>
      <c r="H201" s="451"/>
      <c r="R201" s="53"/>
      <c r="S201" s="45"/>
    </row>
    <row r="202" spans="1:19" s="29" customFormat="1" ht="15.6">
      <c r="A202" s="468">
        <v>4</v>
      </c>
      <c r="B202" s="122" t="s">
        <v>341</v>
      </c>
      <c r="C202" s="120"/>
      <c r="D202" s="123"/>
      <c r="E202" s="124"/>
      <c r="F202" s="124"/>
      <c r="G202" s="125"/>
      <c r="H202" s="469"/>
      <c r="R202" s="53"/>
      <c r="S202" s="45"/>
    </row>
    <row r="203" spans="1:19" s="29" customFormat="1">
      <c r="A203" s="409">
        <v>4.0999999999999996</v>
      </c>
      <c r="B203" s="844" t="s">
        <v>164</v>
      </c>
      <c r="C203" s="845"/>
      <c r="D203" s="5" t="s">
        <v>51</v>
      </c>
      <c r="E203" s="20" t="s">
        <v>50</v>
      </c>
      <c r="F203" s="20">
        <f>VLOOKUP(A203,'Point Allocation'!$A$46:$J$55,MATCH(A7,'Point Allocation'!$A$46:$J$46,0),0)</f>
        <v>1.5</v>
      </c>
      <c r="G203" s="547"/>
      <c r="H203" s="405">
        <f>IF(G203&gt;=80%,F203,0)</f>
        <v>0</v>
      </c>
      <c r="R203" s="53"/>
      <c r="S203" s="45"/>
    </row>
    <row r="204" spans="1:19" s="29" customFormat="1">
      <c r="A204" s="409">
        <v>4.2</v>
      </c>
      <c r="B204" s="844" t="s">
        <v>161</v>
      </c>
      <c r="C204" s="845"/>
      <c r="D204" s="5" t="s">
        <v>51</v>
      </c>
      <c r="E204" s="20" t="s">
        <v>50</v>
      </c>
      <c r="F204" s="20">
        <f>VLOOKUP(A204,'Point Allocation'!$A$46:$J$55,MATCH(A7,'Point Allocation'!$A$46:$J$46,0),0)</f>
        <v>1.5</v>
      </c>
      <c r="G204" s="547"/>
      <c r="H204" s="405">
        <f>IF(G204&gt;=80%,F204,0)</f>
        <v>0</v>
      </c>
      <c r="R204" s="53"/>
      <c r="S204" s="45"/>
    </row>
    <row r="205" spans="1:19" s="29" customFormat="1">
      <c r="A205" s="409">
        <v>4.3</v>
      </c>
      <c r="B205" s="844" t="s">
        <v>155</v>
      </c>
      <c r="C205" s="845"/>
      <c r="D205" s="5" t="s">
        <v>3</v>
      </c>
      <c r="E205" s="20" t="s">
        <v>50</v>
      </c>
      <c r="F205" s="20">
        <f>VLOOKUP(A205,'Point Allocation'!$A$46:$J$55,MATCH(A7,'Point Allocation'!$A$46:$J$46,0),0)</f>
        <v>1.5</v>
      </c>
      <c r="G205" s="547"/>
      <c r="H205" s="405">
        <f>IF(G205&gt;=80%,F205,0)</f>
        <v>0</v>
      </c>
      <c r="R205" s="53"/>
      <c r="S205" s="45"/>
    </row>
    <row r="206" spans="1:19" s="29" customFormat="1">
      <c r="A206" s="470">
        <v>4.4000000000000004</v>
      </c>
      <c r="B206" s="874" t="s">
        <v>270</v>
      </c>
      <c r="C206" s="875"/>
      <c r="D206" s="5" t="s">
        <v>3</v>
      </c>
      <c r="E206" s="20" t="s">
        <v>50</v>
      </c>
      <c r="F206" s="20">
        <f>VLOOKUP(A206,'Point Allocation'!$A$46:$J$55,MATCH(A7,'Point Allocation'!$A$46:$J$46,0),0)</f>
        <v>1.5</v>
      </c>
      <c r="G206" s="547"/>
      <c r="H206" s="405">
        <f>IF(G206&gt;=80%,F206,0)</f>
        <v>0</v>
      </c>
      <c r="R206" s="53"/>
      <c r="S206" s="45"/>
    </row>
    <row r="207" spans="1:19" s="29" customFormat="1" ht="15.6">
      <c r="A207" s="468">
        <v>5</v>
      </c>
      <c r="B207" s="122" t="s">
        <v>213</v>
      </c>
      <c r="C207" s="120"/>
      <c r="D207" s="126"/>
      <c r="E207" s="127"/>
      <c r="F207" s="127"/>
      <c r="G207" s="128"/>
      <c r="H207" s="471"/>
      <c r="R207" s="53"/>
      <c r="S207" s="45"/>
    </row>
    <row r="208" spans="1:19" s="29" customFormat="1">
      <c r="A208" s="411">
        <v>5.0999999999999996</v>
      </c>
      <c r="B208" s="826"/>
      <c r="C208" s="847"/>
      <c r="D208" s="530"/>
      <c r="E208" s="536"/>
      <c r="F208" s="536"/>
      <c r="G208" s="547"/>
      <c r="H208" s="542">
        <f>IF(G208&gt;=80%,F208,IF(G208&lt;65%,0,E208))</f>
        <v>0</v>
      </c>
      <c r="R208" s="53"/>
      <c r="S208" s="45"/>
    </row>
    <row r="209" spans="1:19" s="29" customFormat="1">
      <c r="A209" s="411">
        <v>5.2</v>
      </c>
      <c r="B209" s="826"/>
      <c r="C209" s="847"/>
      <c r="D209" s="530"/>
      <c r="E209" s="536"/>
      <c r="F209" s="536"/>
      <c r="G209" s="547"/>
      <c r="H209" s="542">
        <f>IF(G209&gt;=80%,F209,IF(G209&lt;65%,0,E209))</f>
        <v>0</v>
      </c>
      <c r="R209" s="53"/>
      <c r="S209" s="45"/>
    </row>
    <row r="210" spans="1:19" s="29" customFormat="1">
      <c r="A210" s="411">
        <v>5.3</v>
      </c>
      <c r="B210" s="826"/>
      <c r="C210" s="847"/>
      <c r="D210" s="530"/>
      <c r="E210" s="536"/>
      <c r="F210" s="536"/>
      <c r="G210" s="547"/>
      <c r="H210" s="542">
        <f>IF(G210&gt;=80%,F210,IF(G210&lt;65%,0,E210))</f>
        <v>0</v>
      </c>
      <c r="R210" s="53"/>
      <c r="S210" s="45"/>
    </row>
    <row r="211" spans="1:19" s="29" customFormat="1" ht="15.6">
      <c r="A211" s="412"/>
      <c r="B211" s="344"/>
      <c r="C211" s="344"/>
      <c r="D211" s="332"/>
      <c r="E211" s="332"/>
      <c r="F211" s="332"/>
      <c r="G211" s="330" t="s">
        <v>7</v>
      </c>
      <c r="H211" s="445">
        <f>IFERROR(SUM(H203:H206,H208:H210),0)</f>
        <v>0</v>
      </c>
      <c r="R211" s="53"/>
      <c r="S211" s="45"/>
    </row>
    <row r="212" spans="1:19" s="29" customFormat="1">
      <c r="A212" s="412"/>
      <c r="B212" s="325"/>
      <c r="C212" s="323"/>
      <c r="D212" s="323"/>
      <c r="E212" s="323"/>
      <c r="F212" s="323"/>
      <c r="G212" s="332"/>
      <c r="H212" s="388"/>
      <c r="R212" s="53"/>
      <c r="S212" s="45"/>
    </row>
    <row r="213" spans="1:19" s="29" customFormat="1" ht="15.6">
      <c r="A213" s="993" t="s">
        <v>0</v>
      </c>
      <c r="B213" s="994"/>
      <c r="C213" s="982"/>
      <c r="D213" s="894" t="s">
        <v>4</v>
      </c>
      <c r="E213" s="901" t="s">
        <v>1</v>
      </c>
      <c r="F213" s="901"/>
      <c r="G213" s="894" t="s">
        <v>21</v>
      </c>
      <c r="H213" s="887" t="s">
        <v>63</v>
      </c>
      <c r="R213" s="53"/>
      <c r="S213" s="45"/>
    </row>
    <row r="214" spans="1:19" s="29" customFormat="1" ht="31.2">
      <c r="A214" s="1007"/>
      <c r="B214" s="1008"/>
      <c r="C214" s="983"/>
      <c r="D214" s="901"/>
      <c r="E214" s="539" t="s">
        <v>65</v>
      </c>
      <c r="F214" s="539" t="s">
        <v>66</v>
      </c>
      <c r="G214" s="894"/>
      <c r="H214" s="887"/>
      <c r="R214" s="53"/>
      <c r="S214" s="45"/>
    </row>
    <row r="215" spans="1:19" s="29" customFormat="1" ht="15.6">
      <c r="A215" s="454" t="s">
        <v>273</v>
      </c>
      <c r="B215" s="109" t="s">
        <v>234</v>
      </c>
      <c r="C215" s="129"/>
      <c r="D215" s="130"/>
      <c r="E215" s="130"/>
      <c r="F215" s="131"/>
      <c r="G215" s="132"/>
      <c r="H215" s="472"/>
      <c r="R215" s="53"/>
      <c r="S215" s="45"/>
    </row>
    <row r="216" spans="1:19" s="29" customFormat="1" ht="15.6">
      <c r="A216" s="391" t="s">
        <v>199</v>
      </c>
      <c r="B216" s="844" t="s">
        <v>274</v>
      </c>
      <c r="C216" s="845"/>
      <c r="D216" s="98" t="s">
        <v>2</v>
      </c>
      <c r="E216" s="98">
        <v>1</v>
      </c>
      <c r="F216" s="98">
        <v>2</v>
      </c>
      <c r="G216" s="67"/>
      <c r="H216" s="437">
        <f>IF(G216&gt;=80%,F216,IF(G216&lt;65%,0,E216))</f>
        <v>0</v>
      </c>
      <c r="K216" s="135"/>
      <c r="R216" s="53"/>
      <c r="S216" s="45"/>
    </row>
    <row r="217" spans="1:19" s="29" customFormat="1" ht="31.5" customHeight="1">
      <c r="A217" s="473" t="s">
        <v>200</v>
      </c>
      <c r="B217" s="960" t="s">
        <v>275</v>
      </c>
      <c r="C217" s="962"/>
      <c r="D217" s="98" t="s">
        <v>51</v>
      </c>
      <c r="E217" s="98">
        <v>0.5</v>
      </c>
      <c r="F217" s="98">
        <v>1</v>
      </c>
      <c r="G217" s="67"/>
      <c r="H217" s="437">
        <f>IF(G217&gt;=80%,F217,IF(G217&lt;65%,0,E217))</f>
        <v>0</v>
      </c>
      <c r="R217" s="53"/>
      <c r="S217" s="45"/>
    </row>
    <row r="218" spans="1:19" s="29" customFormat="1" ht="15.6">
      <c r="A218" s="412"/>
      <c r="B218" s="325"/>
      <c r="C218" s="323"/>
      <c r="D218" s="323"/>
      <c r="E218" s="323"/>
      <c r="F218" s="326"/>
      <c r="G218" s="330" t="s">
        <v>110</v>
      </c>
      <c r="H218" s="474">
        <f>IFERROR(SUM(H216:H217),0)</f>
        <v>0</v>
      </c>
      <c r="R218" s="53"/>
      <c r="S218" s="45"/>
    </row>
    <row r="219" spans="1:19" s="29" customFormat="1">
      <c r="A219" s="412"/>
      <c r="B219" s="325"/>
      <c r="C219" s="323"/>
      <c r="D219" s="323"/>
      <c r="E219" s="323"/>
      <c r="F219" s="323"/>
      <c r="G219" s="332"/>
      <c r="H219" s="388"/>
      <c r="R219" s="53"/>
      <c r="S219" s="45"/>
    </row>
    <row r="220" spans="1:19" s="29" customFormat="1" ht="15.6">
      <c r="A220" s="412"/>
      <c r="B220" s="325"/>
      <c r="C220" s="323"/>
      <c r="D220" s="323"/>
      <c r="E220" s="323"/>
      <c r="F220" s="323"/>
      <c r="G220" s="330" t="s">
        <v>111</v>
      </c>
      <c r="H220" s="474">
        <f>IFERROR(MIN(SUM(H197+H211+H218),G185),0)</f>
        <v>0</v>
      </c>
      <c r="R220" s="53"/>
      <c r="S220" s="45"/>
    </row>
    <row r="221" spans="1:19" s="29" customFormat="1" ht="16.2" thickBot="1">
      <c r="A221" s="491"/>
      <c r="B221" s="492"/>
      <c r="C221" s="493"/>
      <c r="D221" s="493"/>
      <c r="E221" s="493"/>
      <c r="F221" s="493"/>
      <c r="G221" s="496"/>
      <c r="H221" s="495"/>
      <c r="R221" s="53"/>
      <c r="S221" s="45"/>
    </row>
    <row r="222" spans="1:19" s="29" customFormat="1" ht="15.6">
      <c r="A222" s="633" t="s">
        <v>137</v>
      </c>
      <c r="B222" s="634"/>
      <c r="C222" s="634"/>
      <c r="D222" s="634"/>
      <c r="E222" s="634"/>
      <c r="F222" s="635" t="s">
        <v>43</v>
      </c>
      <c r="G222" s="636">
        <v>20</v>
      </c>
      <c r="H222" s="637" t="s">
        <v>42</v>
      </c>
      <c r="R222" s="53"/>
      <c r="S222" s="45"/>
    </row>
    <row r="223" spans="1:19" s="29" customFormat="1" ht="15.6">
      <c r="A223" s="412"/>
      <c r="B223" s="347"/>
      <c r="C223" s="323"/>
      <c r="D223" s="323"/>
      <c r="E223" s="323"/>
      <c r="F223" s="323"/>
      <c r="G223" s="332"/>
      <c r="H223" s="388"/>
      <c r="R223" s="53"/>
      <c r="S223" s="45"/>
    </row>
    <row r="224" spans="1:19" s="29" customFormat="1" ht="33" customHeight="1">
      <c r="A224" s="1009" t="s">
        <v>0</v>
      </c>
      <c r="B224" s="1010"/>
      <c r="C224" s="136"/>
      <c r="D224" s="136"/>
      <c r="E224" s="137" t="s">
        <v>4</v>
      </c>
      <c r="F224" s="137" t="s">
        <v>70</v>
      </c>
      <c r="G224" s="138" t="s">
        <v>21</v>
      </c>
      <c r="H224" s="475" t="s">
        <v>63</v>
      </c>
      <c r="R224" s="53"/>
      <c r="S224" s="45"/>
    </row>
    <row r="225" spans="1:19" s="29" customFormat="1" ht="15.6">
      <c r="A225" s="454" t="s">
        <v>276</v>
      </c>
      <c r="B225" s="109" t="s">
        <v>277</v>
      </c>
      <c r="C225" s="110"/>
      <c r="D225" s="110"/>
      <c r="E225" s="110"/>
      <c r="F225" s="58"/>
      <c r="G225" s="139"/>
      <c r="H225" s="476"/>
      <c r="J225" s="134"/>
      <c r="R225" s="53"/>
      <c r="S225" s="45"/>
    </row>
    <row r="226" spans="1:19" s="29" customFormat="1" ht="15.6">
      <c r="A226" s="411">
        <v>1.1000000000000001</v>
      </c>
      <c r="B226" s="836" t="s">
        <v>123</v>
      </c>
      <c r="C226" s="837"/>
      <c r="D226" s="838"/>
      <c r="E226" s="167"/>
      <c r="F226" s="140"/>
      <c r="G226" s="141"/>
      <c r="H226" s="441">
        <f t="shared" ref="H226:H231" si="4">F226*G226</f>
        <v>0</v>
      </c>
      <c r="R226" s="53"/>
      <c r="S226" s="45"/>
    </row>
    <row r="227" spans="1:19" s="29" customFormat="1" ht="15.6">
      <c r="A227" s="406">
        <v>1.2</v>
      </c>
      <c r="B227" s="1004" t="s">
        <v>124</v>
      </c>
      <c r="C227" s="1005"/>
      <c r="D227" s="1006"/>
      <c r="E227" s="167"/>
      <c r="F227" s="140"/>
      <c r="G227" s="141"/>
      <c r="H227" s="441">
        <f t="shared" si="4"/>
        <v>0</v>
      </c>
      <c r="R227" s="53"/>
      <c r="S227" s="45"/>
    </row>
    <row r="228" spans="1:19" s="29" customFormat="1" ht="15.6">
      <c r="A228" s="411">
        <v>1.3</v>
      </c>
      <c r="B228" s="836" t="s">
        <v>115</v>
      </c>
      <c r="C228" s="837"/>
      <c r="D228" s="838"/>
      <c r="E228" s="167"/>
      <c r="F228" s="140"/>
      <c r="G228" s="141"/>
      <c r="H228" s="441">
        <f t="shared" si="4"/>
        <v>0</v>
      </c>
      <c r="R228" s="53"/>
      <c r="S228" s="45"/>
    </row>
    <row r="229" spans="1:19" s="29" customFormat="1" ht="15.6">
      <c r="A229" s="411">
        <v>1.4</v>
      </c>
      <c r="B229" s="836" t="s">
        <v>305</v>
      </c>
      <c r="C229" s="837"/>
      <c r="D229" s="838"/>
      <c r="E229" s="167"/>
      <c r="F229" s="140"/>
      <c r="G229" s="141"/>
      <c r="H229" s="441">
        <f t="shared" si="4"/>
        <v>0</v>
      </c>
      <c r="R229" s="53"/>
      <c r="S229" s="45"/>
    </row>
    <row r="230" spans="1:19" s="29" customFormat="1" ht="15.6">
      <c r="A230" s="411">
        <v>1.5</v>
      </c>
      <c r="B230" s="836"/>
      <c r="C230" s="837"/>
      <c r="D230" s="838"/>
      <c r="E230" s="167"/>
      <c r="F230" s="140"/>
      <c r="G230" s="141"/>
      <c r="H230" s="441">
        <f t="shared" si="4"/>
        <v>0</v>
      </c>
      <c r="R230" s="53"/>
      <c r="S230" s="45"/>
    </row>
    <row r="231" spans="1:19" s="29" customFormat="1" ht="15.6">
      <c r="A231" s="411">
        <v>1.6</v>
      </c>
      <c r="B231" s="836"/>
      <c r="C231" s="837"/>
      <c r="D231" s="838"/>
      <c r="E231" s="111"/>
      <c r="F231" s="142"/>
      <c r="G231" s="67"/>
      <c r="H231" s="441">
        <f t="shared" si="4"/>
        <v>0</v>
      </c>
      <c r="R231" s="53"/>
      <c r="S231" s="45"/>
    </row>
    <row r="232" spans="1:19" s="29" customFormat="1" ht="15.6">
      <c r="A232" s="454" t="s">
        <v>279</v>
      </c>
      <c r="B232" s="109" t="s">
        <v>278</v>
      </c>
      <c r="C232" s="110"/>
      <c r="D232" s="110"/>
      <c r="E232" s="110"/>
      <c r="F232" s="58"/>
      <c r="G232" s="139"/>
      <c r="H232" s="476"/>
      <c r="R232" s="53"/>
      <c r="S232" s="45"/>
    </row>
    <row r="233" spans="1:19" s="29" customFormat="1">
      <c r="A233" s="411">
        <v>2.1</v>
      </c>
      <c r="B233" s="1001" t="s">
        <v>138</v>
      </c>
      <c r="C233" s="1002"/>
      <c r="D233" s="1003"/>
      <c r="E233" s="157" t="s">
        <v>410</v>
      </c>
      <c r="F233" s="527">
        <v>2</v>
      </c>
      <c r="G233" s="528"/>
      <c r="H233" s="441">
        <f>IFERROR(VLOOKUP(E233,K234:L237,2,FALSE),0)</f>
        <v>0</v>
      </c>
      <c r="K233" s="29" t="s">
        <v>410</v>
      </c>
      <c r="L233" s="29">
        <v>0</v>
      </c>
      <c r="R233" s="53"/>
      <c r="S233" s="45"/>
    </row>
    <row r="234" spans="1:19" s="29" customFormat="1" ht="15.6">
      <c r="A234" s="412"/>
      <c r="B234" s="322"/>
      <c r="C234" s="323"/>
      <c r="D234" s="323"/>
      <c r="E234" s="323"/>
      <c r="F234" s="323"/>
      <c r="G234" s="330" t="s">
        <v>139</v>
      </c>
      <c r="H234" s="477">
        <f>IFERROR(MIN(SUM(H226:H233),G222),0)</f>
        <v>0</v>
      </c>
      <c r="K234" s="29" t="s">
        <v>406</v>
      </c>
      <c r="L234" s="29">
        <v>2</v>
      </c>
      <c r="R234" s="45"/>
      <c r="S234" s="45"/>
    </row>
    <row r="235" spans="1:19" s="29" customFormat="1">
      <c r="A235" s="412"/>
      <c r="B235" s="325"/>
      <c r="C235" s="323"/>
      <c r="D235" s="323"/>
      <c r="E235" s="323"/>
      <c r="F235" s="323"/>
      <c r="G235" s="332"/>
      <c r="H235" s="388"/>
      <c r="K235" s="29" t="s">
        <v>407</v>
      </c>
      <c r="L235" s="29">
        <v>2</v>
      </c>
      <c r="R235" s="45"/>
      <c r="S235" s="45"/>
    </row>
    <row r="236" spans="1:19" s="29" customFormat="1" ht="15.6">
      <c r="A236" s="412"/>
      <c r="B236" s="325"/>
      <c r="C236" s="323"/>
      <c r="D236" s="323"/>
      <c r="E236" s="323"/>
      <c r="F236" s="323"/>
      <c r="G236" s="330" t="s">
        <v>69</v>
      </c>
      <c r="H236" s="445">
        <f>IFERROR(H84+H183+H220+H234,0)</f>
        <v>0</v>
      </c>
      <c r="K236" s="29" t="s">
        <v>408</v>
      </c>
      <c r="L236" s="29">
        <v>2</v>
      </c>
      <c r="R236" s="45"/>
      <c r="S236" s="45"/>
    </row>
    <row r="237" spans="1:19" s="29" customFormat="1">
      <c r="A237" s="412"/>
      <c r="B237" s="325"/>
      <c r="C237" s="323"/>
      <c r="D237" s="323"/>
      <c r="E237" s="323"/>
      <c r="F237" s="323"/>
      <c r="G237" s="332"/>
      <c r="H237" s="388"/>
      <c r="K237" s="29" t="s">
        <v>409</v>
      </c>
      <c r="L237" s="29">
        <v>2</v>
      </c>
      <c r="R237" s="53"/>
      <c r="S237" s="45"/>
    </row>
    <row r="238" spans="1:19" s="29" customFormat="1" ht="15.75" customHeight="1">
      <c r="A238" s="412"/>
      <c r="B238" s="345" t="s">
        <v>37</v>
      </c>
      <c r="C238" s="332"/>
      <c r="D238" s="1013" t="s">
        <v>415</v>
      </c>
      <c r="E238" s="1013"/>
      <c r="F238" s="1013"/>
      <c r="G238" s="332"/>
      <c r="H238" s="478"/>
      <c r="R238" s="53"/>
      <c r="S238" s="45"/>
    </row>
    <row r="239" spans="1:19" s="29" customFormat="1" ht="15.6">
      <c r="A239" s="412"/>
      <c r="B239" s="346"/>
      <c r="C239" s="332"/>
      <c r="D239" s="1013"/>
      <c r="E239" s="1013"/>
      <c r="F239" s="1013"/>
      <c r="G239" s="332"/>
      <c r="H239" s="478"/>
      <c r="R239" s="53"/>
      <c r="S239" s="45"/>
    </row>
    <row r="240" spans="1:19" s="29" customFormat="1" ht="15.6">
      <c r="A240" s="479" t="s">
        <v>280</v>
      </c>
      <c r="B240" s="346" t="s">
        <v>100</v>
      </c>
      <c r="C240" s="369">
        <f>IFERROR(SUM(G29+G32+G34+G35+G44+G47),0)</f>
        <v>0</v>
      </c>
      <c r="D240" s="332" t="s">
        <v>284</v>
      </c>
      <c r="E240" s="141"/>
      <c r="F240" s="332" t="s">
        <v>285</v>
      </c>
      <c r="G240" s="144">
        <f>MIN(IFERROR(SUM(C240+E240),0),100%)</f>
        <v>0</v>
      </c>
      <c r="H240" s="388"/>
      <c r="M240" s="53"/>
      <c r="N240" s="45"/>
    </row>
    <row r="241" spans="1:19" s="29" customFormat="1" ht="15.6">
      <c r="A241" s="479" t="s">
        <v>281</v>
      </c>
      <c r="B241" s="346" t="s">
        <v>101</v>
      </c>
      <c r="C241" s="369">
        <f>IFERROR(SUM(F19+G91+G93+G95+G98+G101+G102+G103+G104+G105),0)</f>
        <v>0</v>
      </c>
      <c r="D241" s="332" t="s">
        <v>284</v>
      </c>
      <c r="E241" s="141"/>
      <c r="F241" s="332" t="s">
        <v>285</v>
      </c>
      <c r="G241" s="144">
        <f t="shared" ref="G241:G242" si="5">MIN(IFERROR(SUM(C241+E241),0),100%)</f>
        <v>0</v>
      </c>
      <c r="H241" s="388"/>
      <c r="M241" s="53"/>
      <c r="N241" s="45"/>
    </row>
    <row r="242" spans="1:19" s="29" customFormat="1" ht="15.6">
      <c r="A242" s="479" t="s">
        <v>282</v>
      </c>
      <c r="B242" s="346" t="s">
        <v>102</v>
      </c>
      <c r="C242" s="369">
        <f>IFERROR(G197,0)</f>
        <v>0</v>
      </c>
      <c r="D242" s="332" t="s">
        <v>284</v>
      </c>
      <c r="E242" s="141"/>
      <c r="F242" s="303" t="s">
        <v>285</v>
      </c>
      <c r="G242" s="144">
        <f t="shared" si="5"/>
        <v>0</v>
      </c>
      <c r="H242" s="283"/>
      <c r="I242" s="3"/>
      <c r="J242" s="3"/>
      <c r="K242" s="3"/>
      <c r="L242" s="3"/>
      <c r="M242" s="53"/>
      <c r="N242" s="45"/>
    </row>
    <row r="243" spans="1:19" s="29" customFormat="1" ht="15.6" thickBot="1">
      <c r="A243" s="491"/>
      <c r="B243" s="492"/>
      <c r="C243" s="493"/>
      <c r="D243" s="493"/>
      <c r="E243" s="493"/>
      <c r="F243" s="493"/>
      <c r="G243" s="638"/>
      <c r="H243" s="639"/>
      <c r="K243" s="3"/>
      <c r="L243" s="3"/>
      <c r="M243" s="3"/>
      <c r="N243" s="3"/>
      <c r="O243" s="3"/>
      <c r="P243" s="3"/>
      <c r="Q243" s="3"/>
      <c r="R243" s="53"/>
      <c r="S243" s="45"/>
    </row>
    <row r="244" spans="1:19" s="29" customFormat="1">
      <c r="A244" s="174"/>
      <c r="B244" s="3"/>
      <c r="C244" s="3"/>
      <c r="D244" s="3"/>
      <c r="E244" s="3"/>
      <c r="F244" s="3"/>
      <c r="G244" s="10"/>
      <c r="H244" s="3"/>
      <c r="K244" s="3"/>
      <c r="L244" s="3"/>
      <c r="M244" s="3"/>
      <c r="N244" s="3"/>
      <c r="O244" s="3"/>
      <c r="P244" s="3"/>
      <c r="Q244" s="3"/>
      <c r="R244" s="53"/>
      <c r="S244" s="45"/>
    </row>
    <row r="245" spans="1:19" s="29" customFormat="1">
      <c r="A245" s="174"/>
      <c r="B245" s="3"/>
      <c r="C245" s="3"/>
      <c r="D245" s="3"/>
      <c r="E245" s="3"/>
      <c r="F245" s="3"/>
      <c r="G245" s="10"/>
      <c r="H245" s="3"/>
      <c r="K245" s="3"/>
      <c r="L245" s="3"/>
      <c r="M245" s="3"/>
      <c r="N245" s="3"/>
      <c r="O245" s="3"/>
      <c r="P245" s="3"/>
      <c r="Q245" s="3"/>
      <c r="R245" s="53"/>
      <c r="S245" s="45"/>
    </row>
    <row r="246" spans="1:19" s="29" customFormat="1">
      <c r="A246" s="174"/>
      <c r="B246" s="3"/>
      <c r="C246" s="3"/>
      <c r="D246" s="3"/>
      <c r="E246" s="3"/>
      <c r="F246" s="3"/>
      <c r="G246" s="10"/>
      <c r="H246" s="3"/>
      <c r="K246" s="3"/>
      <c r="L246" s="3"/>
      <c r="M246" s="3"/>
      <c r="N246" s="3"/>
      <c r="O246" s="3"/>
      <c r="P246" s="3"/>
      <c r="Q246" s="3"/>
      <c r="R246" s="53"/>
      <c r="S246" s="45"/>
    </row>
    <row r="247" spans="1:19" s="29" customFormat="1">
      <c r="A247" s="174"/>
      <c r="B247" s="3"/>
      <c r="C247" s="3"/>
      <c r="D247" s="3"/>
      <c r="E247" s="3"/>
      <c r="F247" s="3"/>
      <c r="G247" s="10"/>
      <c r="H247" s="3"/>
      <c r="K247" s="3"/>
      <c r="L247" s="3"/>
      <c r="M247" s="3"/>
      <c r="N247" s="3"/>
      <c r="O247" s="3"/>
      <c r="P247" s="3"/>
      <c r="Q247" s="3"/>
      <c r="R247" s="45"/>
      <c r="S247" s="45"/>
    </row>
    <row r="248" spans="1:19" s="29" customFormat="1">
      <c r="A248" s="174"/>
      <c r="B248" s="3"/>
      <c r="C248" s="3"/>
      <c r="D248" s="3"/>
      <c r="E248" s="3"/>
      <c r="F248" s="3"/>
      <c r="G248" s="10"/>
      <c r="H248" s="3"/>
      <c r="K248" s="3"/>
      <c r="L248" s="3"/>
      <c r="M248" s="3"/>
      <c r="N248" s="3"/>
      <c r="O248" s="3"/>
      <c r="P248" s="3"/>
      <c r="Q248" s="3"/>
      <c r="R248" s="45"/>
      <c r="S248" s="45"/>
    </row>
    <row r="249" spans="1:19" s="29" customFormat="1">
      <c r="A249" s="174"/>
      <c r="B249" s="3"/>
      <c r="C249" s="3"/>
      <c r="D249" s="3"/>
      <c r="E249" s="3"/>
      <c r="F249" s="3"/>
      <c r="G249" s="10"/>
      <c r="H249" s="3"/>
      <c r="K249" s="3"/>
      <c r="L249" s="3"/>
      <c r="M249" s="3"/>
      <c r="N249" s="3"/>
      <c r="O249" s="3"/>
      <c r="P249" s="3"/>
      <c r="Q249" s="3"/>
      <c r="R249" s="45"/>
      <c r="S249" s="45"/>
    </row>
    <row r="250" spans="1:19" s="29" customFormat="1">
      <c r="A250" s="174"/>
      <c r="B250" s="3"/>
      <c r="C250" s="3"/>
      <c r="D250" s="3"/>
      <c r="E250" s="3"/>
      <c r="F250" s="3"/>
      <c r="G250" s="10"/>
      <c r="H250" s="3"/>
      <c r="K250" s="3"/>
      <c r="L250" s="3"/>
      <c r="M250" s="3"/>
      <c r="N250" s="3"/>
      <c r="O250" s="3"/>
      <c r="P250" s="3"/>
      <c r="Q250" s="3"/>
      <c r="R250" s="45"/>
      <c r="S250" s="45"/>
    </row>
  </sheetData>
  <sheetProtection algorithmName="SHA-512" hashValue="amGM7cRj7s6XAlvEx2dQI13gPhK4y/VDpALHJjSbdEAVzy8sziQj3bXPlMUOh0S1co1uz6fEpJzM5zSVvSxr6w==" saltValue="UHcM7OXR+tR8A6i8knvg+Q==" spinCount="100000" sheet="1" selectLockedCells="1"/>
  <mergeCells count="228">
    <mergeCell ref="B233:D233"/>
    <mergeCell ref="D238:F239"/>
    <mergeCell ref="B170:C170"/>
    <mergeCell ref="A175:B176"/>
    <mergeCell ref="C175:C176"/>
    <mergeCell ref="D175:D176"/>
    <mergeCell ref="E175:F175"/>
    <mergeCell ref="G175:G176"/>
    <mergeCell ref="H175:H176"/>
    <mergeCell ref="B178:C178"/>
    <mergeCell ref="E180:F180"/>
    <mergeCell ref="B171:C171"/>
    <mergeCell ref="B172:C172"/>
    <mergeCell ref="B179:C179"/>
    <mergeCell ref="B180:C180"/>
    <mergeCell ref="B195:C195"/>
    <mergeCell ref="B196:C196"/>
    <mergeCell ref="A187:B187"/>
    <mergeCell ref="B190:C190"/>
    <mergeCell ref="B192:C192"/>
    <mergeCell ref="B194:C194"/>
    <mergeCell ref="B217:C217"/>
    <mergeCell ref="B209:C209"/>
    <mergeCell ref="B210:C210"/>
    <mergeCell ref="B162:C162"/>
    <mergeCell ref="A165:A166"/>
    <mergeCell ref="B165:C165"/>
    <mergeCell ref="D165:D166"/>
    <mergeCell ref="E165:E166"/>
    <mergeCell ref="F165:F166"/>
    <mergeCell ref="G165:G166"/>
    <mergeCell ref="H165:H166"/>
    <mergeCell ref="B160:C160"/>
    <mergeCell ref="B163:C163"/>
    <mergeCell ref="A154:A157"/>
    <mergeCell ref="B154:C157"/>
    <mergeCell ref="G154:G157"/>
    <mergeCell ref="H154:H157"/>
    <mergeCell ref="E156:F156"/>
    <mergeCell ref="E157:F157"/>
    <mergeCell ref="E155:F155"/>
    <mergeCell ref="I154:I158"/>
    <mergeCell ref="A158:A159"/>
    <mergeCell ref="B158:C159"/>
    <mergeCell ref="E154:F154"/>
    <mergeCell ref="G146:G147"/>
    <mergeCell ref="H146:H147"/>
    <mergeCell ref="B150:C150"/>
    <mergeCell ref="A152:A153"/>
    <mergeCell ref="B152:C153"/>
    <mergeCell ref="E152:F152"/>
    <mergeCell ref="G152:G153"/>
    <mergeCell ref="H152:H153"/>
    <mergeCell ref="B151:C151"/>
    <mergeCell ref="E153:F153"/>
    <mergeCell ref="A122:A123"/>
    <mergeCell ref="B122:C122"/>
    <mergeCell ref="D122:D123"/>
    <mergeCell ref="E122:E123"/>
    <mergeCell ref="F122:F123"/>
    <mergeCell ref="G122:G123"/>
    <mergeCell ref="H122:H123"/>
    <mergeCell ref="B110:D110"/>
    <mergeCell ref="B114:D114"/>
    <mergeCell ref="A93:A94"/>
    <mergeCell ref="B93:D93"/>
    <mergeCell ref="E93:E94"/>
    <mergeCell ref="B80:C80"/>
    <mergeCell ref="A98:A99"/>
    <mergeCell ref="B98:D98"/>
    <mergeCell ref="E98:E99"/>
    <mergeCell ref="R101:R102"/>
    <mergeCell ref="B108:D108"/>
    <mergeCell ref="B103:D103"/>
    <mergeCell ref="B104:D104"/>
    <mergeCell ref="H58:H59"/>
    <mergeCell ref="B54:D54"/>
    <mergeCell ref="B40:D40"/>
    <mergeCell ref="B53:D53"/>
    <mergeCell ref="B45:D45"/>
    <mergeCell ref="B44:D44"/>
    <mergeCell ref="B99:D99"/>
    <mergeCell ref="E71:F71"/>
    <mergeCell ref="B75:C75"/>
    <mergeCell ref="B81:C81"/>
    <mergeCell ref="B96:D96"/>
    <mergeCell ref="B47:D47"/>
    <mergeCell ref="B51:D51"/>
    <mergeCell ref="E58:F58"/>
    <mergeCell ref="G58:G59"/>
    <mergeCell ref="B67:C67"/>
    <mergeCell ref="B66:C66"/>
    <mergeCell ref="B46:D46"/>
    <mergeCell ref="B77:C77"/>
    <mergeCell ref="B79:C79"/>
    <mergeCell ref="B91:D91"/>
    <mergeCell ref="B50:D50"/>
    <mergeCell ref="B64:C64"/>
    <mergeCell ref="D66:D69"/>
    <mergeCell ref="H29:H30"/>
    <mergeCell ref="B30:D30"/>
    <mergeCell ref="B32:D32"/>
    <mergeCell ref="B34:D34"/>
    <mergeCell ref="A35:A36"/>
    <mergeCell ref="B35:D36"/>
    <mergeCell ref="E35:E36"/>
    <mergeCell ref="H35:H36"/>
    <mergeCell ref="E37:E42"/>
    <mergeCell ref="H37:H42"/>
    <mergeCell ref="B42:D42"/>
    <mergeCell ref="A29:A30"/>
    <mergeCell ref="E29:E30"/>
    <mergeCell ref="F29:F30"/>
    <mergeCell ref="G29:G30"/>
    <mergeCell ref="B74:C74"/>
    <mergeCell ref="B63:C63"/>
    <mergeCell ref="B68:C68"/>
    <mergeCell ref="B69:C69"/>
    <mergeCell ref="B62:C62"/>
    <mergeCell ref="A58:B59"/>
    <mergeCell ref="D58:D59"/>
    <mergeCell ref="B65:C65"/>
    <mergeCell ref="B70:C70"/>
    <mergeCell ref="B71:C71"/>
    <mergeCell ref="B73:C73"/>
    <mergeCell ref="B17:C17"/>
    <mergeCell ref="B19:C19"/>
    <mergeCell ref="B109:D109"/>
    <mergeCell ref="A4:B4"/>
    <mergeCell ref="A7:B7"/>
    <mergeCell ref="D7:G7"/>
    <mergeCell ref="D11:D12"/>
    <mergeCell ref="E11:E12"/>
    <mergeCell ref="F11:F12"/>
    <mergeCell ref="B14:C14"/>
    <mergeCell ref="B15:C15"/>
    <mergeCell ref="B16:C16"/>
    <mergeCell ref="A11:B12"/>
    <mergeCell ref="B20:C20"/>
    <mergeCell ref="B21:C21"/>
    <mergeCell ref="B29:D29"/>
    <mergeCell ref="B37:D37"/>
    <mergeCell ref="B41:D41"/>
    <mergeCell ref="B38:D38"/>
    <mergeCell ref="B39:D39"/>
    <mergeCell ref="B22:C22"/>
    <mergeCell ref="B55:D55"/>
    <mergeCell ref="A95:A96"/>
    <mergeCell ref="B61:C61"/>
    <mergeCell ref="B124:C124"/>
    <mergeCell ref="B127:C127"/>
    <mergeCell ref="B94:D94"/>
    <mergeCell ref="B95:D95"/>
    <mergeCell ref="F93:F94"/>
    <mergeCell ref="G93:G94"/>
    <mergeCell ref="H93:H94"/>
    <mergeCell ref="E95:E96"/>
    <mergeCell ref="F95:F96"/>
    <mergeCell ref="G95:G96"/>
    <mergeCell ref="H95:H96"/>
    <mergeCell ref="H126:H127"/>
    <mergeCell ref="F98:F99"/>
    <mergeCell ref="G98:G99"/>
    <mergeCell ref="H98:H99"/>
    <mergeCell ref="B101:D101"/>
    <mergeCell ref="B105:D105"/>
    <mergeCell ref="B102:D102"/>
    <mergeCell ref="B113:D113"/>
    <mergeCell ref="B123:C123"/>
    <mergeCell ref="B112:D112"/>
    <mergeCell ref="B120:C120"/>
    <mergeCell ref="H167:H168"/>
    <mergeCell ref="B130:C130"/>
    <mergeCell ref="B137:C137"/>
    <mergeCell ref="F143:G143"/>
    <mergeCell ref="B134:C134"/>
    <mergeCell ref="A126:A127"/>
    <mergeCell ref="B126:C126"/>
    <mergeCell ref="D126:D127"/>
    <mergeCell ref="E126:E127"/>
    <mergeCell ref="F126:F127"/>
    <mergeCell ref="G126:G127"/>
    <mergeCell ref="B129:C129"/>
    <mergeCell ref="B133:C133"/>
    <mergeCell ref="A140:B140"/>
    <mergeCell ref="F140:G140"/>
    <mergeCell ref="D142:D143"/>
    <mergeCell ref="E142:E143"/>
    <mergeCell ref="F142:G142"/>
    <mergeCell ref="B135:C135"/>
    <mergeCell ref="B136:C136"/>
    <mergeCell ref="A146:B147"/>
    <mergeCell ref="C146:C147"/>
    <mergeCell ref="D146:D147"/>
    <mergeCell ref="E146:F146"/>
    <mergeCell ref="G199:G200"/>
    <mergeCell ref="B167:C167"/>
    <mergeCell ref="B166:C166"/>
    <mergeCell ref="B168:C168"/>
    <mergeCell ref="A167:A168"/>
    <mergeCell ref="D167:D168"/>
    <mergeCell ref="E167:E168"/>
    <mergeCell ref="F167:F168"/>
    <mergeCell ref="G167:G168"/>
    <mergeCell ref="B226:D226"/>
    <mergeCell ref="H199:H200"/>
    <mergeCell ref="B203:C203"/>
    <mergeCell ref="B208:C208"/>
    <mergeCell ref="B228:D228"/>
    <mergeCell ref="B230:D230"/>
    <mergeCell ref="B231:D231"/>
    <mergeCell ref="B229:D229"/>
    <mergeCell ref="A213:B214"/>
    <mergeCell ref="C213:C214"/>
    <mergeCell ref="D213:D214"/>
    <mergeCell ref="E213:F213"/>
    <mergeCell ref="G213:G214"/>
    <mergeCell ref="H213:H214"/>
    <mergeCell ref="A224:B224"/>
    <mergeCell ref="B227:D227"/>
    <mergeCell ref="B204:C204"/>
    <mergeCell ref="B205:C205"/>
    <mergeCell ref="B206:C206"/>
    <mergeCell ref="A199:B200"/>
    <mergeCell ref="C199:C200"/>
    <mergeCell ref="B216:C216"/>
    <mergeCell ref="D199:D200"/>
    <mergeCell ref="E199:F199"/>
  </mergeCells>
  <dataValidations count="3">
    <dataValidation type="list" allowBlank="1" showInputMessage="1" showErrorMessage="1" sqref="A7" xr:uid="{DC1F592E-CF6D-4E90-B7D3-E8EAF0CC6D6F}">
      <formula1>$K$1:$K$7</formula1>
    </dataValidation>
    <dataValidation type="list" allowBlank="1" showInputMessage="1" showErrorMessage="1" sqref="E233" xr:uid="{EBB06D36-A5DD-4B42-96F9-7BAC5591C5F1}">
      <formula1>$K$233:$K$237</formula1>
    </dataValidation>
    <dataValidation type="list" allowBlank="1" showInputMessage="1" showErrorMessage="1" sqref="F143:G143" xr:uid="{7BA6732C-7FB6-4CD5-AE74-47E0BB00589B}">
      <formula1>$L$140:$Q$140</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73"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77" t="s">
        <v>90</v>
      </c>
      <c r="B1" s="378"/>
      <c r="C1" s="378"/>
      <c r="D1" s="378"/>
      <c r="E1" s="378"/>
      <c r="F1" s="378"/>
      <c r="G1" s="378"/>
      <c r="H1" s="379"/>
      <c r="K1" s="3" t="s">
        <v>41</v>
      </c>
    </row>
    <row r="2" spans="1:16">
      <c r="A2" s="380"/>
      <c r="B2" s="281"/>
      <c r="C2" s="281"/>
      <c r="D2" s="281"/>
      <c r="E2" s="281"/>
      <c r="F2" s="281"/>
      <c r="G2" s="282"/>
      <c r="H2" s="283"/>
      <c r="J2" s="6"/>
      <c r="K2" s="6" t="s">
        <v>428</v>
      </c>
    </row>
    <row r="3" spans="1:16" ht="15.6">
      <c r="A3" s="381" t="s">
        <v>378</v>
      </c>
      <c r="B3" s="281"/>
      <c r="C3" s="281"/>
      <c r="D3" s="349" t="s">
        <v>143</v>
      </c>
      <c r="E3" s="349" t="s">
        <v>144</v>
      </c>
      <c r="F3" s="349" t="s">
        <v>145</v>
      </c>
      <c r="G3" s="306" t="s">
        <v>105</v>
      </c>
      <c r="H3" s="292" t="s">
        <v>63</v>
      </c>
      <c r="J3" s="6"/>
      <c r="K3" s="6" t="s">
        <v>45</v>
      </c>
    </row>
    <row r="4" spans="1:16" ht="15.6">
      <c r="A4" s="862">
        <f>Summary!A6</f>
        <v>0</v>
      </c>
      <c r="B4" s="863"/>
      <c r="C4" s="281"/>
      <c r="D4" s="78">
        <f>H84</f>
        <v>0</v>
      </c>
      <c r="E4" s="166">
        <f>H183</f>
        <v>0</v>
      </c>
      <c r="F4" s="133">
        <f>H220</f>
        <v>0</v>
      </c>
      <c r="G4" s="143">
        <f>H234</f>
        <v>0</v>
      </c>
      <c r="H4" s="382">
        <f>H236</f>
        <v>0</v>
      </c>
      <c r="J4" s="6"/>
      <c r="K4" s="6" t="s">
        <v>15</v>
      </c>
    </row>
    <row r="5" spans="1:16">
      <c r="A5" s="380"/>
      <c r="B5" s="281"/>
      <c r="C5" s="281"/>
      <c r="D5" s="281"/>
      <c r="E5" s="281"/>
      <c r="F5" s="281"/>
      <c r="G5" s="282"/>
      <c r="H5" s="283"/>
      <c r="J5" s="6"/>
      <c r="K5" s="6" t="s">
        <v>16</v>
      </c>
    </row>
    <row r="6" spans="1:16" s="4" customFormat="1" ht="15.6">
      <c r="A6" s="381" t="s">
        <v>91</v>
      </c>
      <c r="B6" s="313"/>
      <c r="C6" s="313"/>
      <c r="D6" s="314" t="s">
        <v>35</v>
      </c>
      <c r="E6" s="281"/>
      <c r="F6" s="281"/>
      <c r="G6" s="282"/>
      <c r="H6" s="283"/>
      <c r="J6" s="6"/>
      <c r="K6" s="6" t="s">
        <v>427</v>
      </c>
      <c r="L6" s="3"/>
      <c r="M6" s="3"/>
      <c r="N6" s="3"/>
    </row>
    <row r="7" spans="1:16" ht="15.75" customHeight="1">
      <c r="A7" s="842" t="s">
        <v>428</v>
      </c>
      <c r="B7" s="843"/>
      <c r="D7" s="835">
        <f>Summary!A86</f>
        <v>0</v>
      </c>
      <c r="E7" s="785"/>
      <c r="F7" s="785"/>
      <c r="G7" s="786"/>
      <c r="H7" s="383"/>
      <c r="J7" s="29"/>
      <c r="K7" s="29" t="s">
        <v>426</v>
      </c>
    </row>
    <row r="8" spans="1:16" ht="15.6" thickBot="1">
      <c r="A8" s="380"/>
      <c r="B8" s="315"/>
      <c r="C8" s="281"/>
      <c r="D8" s="281"/>
      <c r="E8" s="281"/>
      <c r="F8" s="281"/>
      <c r="G8" s="282"/>
      <c r="H8" s="283"/>
    </row>
    <row r="9" spans="1:16" ht="16.2" thickBot="1">
      <c r="A9" s="384" t="s">
        <v>126</v>
      </c>
      <c r="B9" s="145"/>
      <c r="C9" s="145"/>
      <c r="D9" s="145"/>
      <c r="E9" s="145"/>
      <c r="F9" s="146"/>
      <c r="G9" s="16"/>
      <c r="H9" s="385"/>
    </row>
    <row r="10" spans="1:16">
      <c r="A10" s="380"/>
      <c r="B10" s="316"/>
      <c r="C10" s="281"/>
      <c r="D10" s="281"/>
      <c r="E10" s="281"/>
      <c r="F10" s="281"/>
      <c r="G10" s="282"/>
      <c r="H10" s="283"/>
    </row>
    <row r="11" spans="1:16" ht="15.75" customHeight="1">
      <c r="A11" s="963" t="s">
        <v>0</v>
      </c>
      <c r="B11" s="964"/>
      <c r="C11" s="153"/>
      <c r="D11" s="985" t="s">
        <v>4</v>
      </c>
      <c r="E11" s="984" t="s">
        <v>81</v>
      </c>
      <c r="F11" s="984" t="s">
        <v>21</v>
      </c>
      <c r="G11" s="317"/>
      <c r="H11" s="386"/>
    </row>
    <row r="12" spans="1:16" ht="15.75" customHeight="1">
      <c r="A12" s="965"/>
      <c r="B12" s="966"/>
      <c r="C12" s="154"/>
      <c r="D12" s="986"/>
      <c r="E12" s="984"/>
      <c r="F12" s="984"/>
      <c r="G12" s="317"/>
      <c r="H12" s="386"/>
    </row>
    <row r="13" spans="1:16" s="29" customFormat="1" ht="15.6">
      <c r="A13" s="387" t="s">
        <v>128</v>
      </c>
      <c r="B13" s="180"/>
      <c r="C13" s="180"/>
      <c r="D13" s="180"/>
      <c r="E13" s="183"/>
      <c r="F13" s="183"/>
      <c r="G13" s="318"/>
      <c r="H13" s="388"/>
      <c r="O13" s="45"/>
      <c r="P13" s="45"/>
    </row>
    <row r="14" spans="1:16">
      <c r="A14" s="389">
        <v>1</v>
      </c>
      <c r="B14" s="987" t="s">
        <v>287</v>
      </c>
      <c r="C14" s="851"/>
      <c r="D14" s="149" t="s">
        <v>2</v>
      </c>
      <c r="E14" s="54" t="s">
        <v>50</v>
      </c>
      <c r="F14" s="30"/>
      <c r="G14" s="278"/>
      <c r="H14" s="304"/>
      <c r="I14" s="148" t="s">
        <v>143</v>
      </c>
      <c r="K14" s="152" t="str">
        <f>IF(F14&lt;65%,"Min. 65% coverage"," ")</f>
        <v>Min. 65% coverage</v>
      </c>
    </row>
    <row r="15" spans="1:16" ht="30.75" customHeight="1">
      <c r="A15" s="389">
        <v>2</v>
      </c>
      <c r="B15" s="987" t="s">
        <v>376</v>
      </c>
      <c r="C15" s="851"/>
      <c r="D15" s="150" t="s">
        <v>51</v>
      </c>
      <c r="E15" s="31" t="s">
        <v>50</v>
      </c>
      <c r="F15" s="547"/>
      <c r="G15" s="278"/>
      <c r="H15" s="283"/>
      <c r="I15" s="148" t="s">
        <v>144</v>
      </c>
      <c r="K15" s="152" t="str">
        <f>IF(F15&lt;65%,"Min. 80% coverage"," ")</f>
        <v>Min. 80% coverage</v>
      </c>
    </row>
    <row r="16" spans="1:16" ht="15" customHeight="1">
      <c r="A16" s="389">
        <v>3</v>
      </c>
      <c r="B16" s="987" t="s">
        <v>375</v>
      </c>
      <c r="C16" s="851"/>
      <c r="D16" s="150" t="s">
        <v>51</v>
      </c>
      <c r="E16" s="31" t="s">
        <v>50</v>
      </c>
      <c r="F16" s="547"/>
      <c r="G16" s="278"/>
      <c r="H16" s="386"/>
      <c r="I16" s="3" t="s">
        <v>143</v>
      </c>
      <c r="K16" s="152" t="str">
        <f>IF(F16&lt;65%,"Min. 65% coverage"," ")</f>
        <v>Min. 65% coverage</v>
      </c>
    </row>
    <row r="17" spans="1:19">
      <c r="A17" s="389">
        <v>4</v>
      </c>
      <c r="B17" s="886" t="s">
        <v>191</v>
      </c>
      <c r="C17" s="884"/>
      <c r="D17" s="147" t="s">
        <v>3</v>
      </c>
      <c r="E17" s="31" t="s">
        <v>50</v>
      </c>
      <c r="F17" s="547"/>
      <c r="G17" s="278"/>
      <c r="H17" s="386"/>
      <c r="I17" s="3" t="s">
        <v>145</v>
      </c>
      <c r="K17" s="152" t="str">
        <f>IF(F17&lt;65%,"Min. 65% coverage"," ")</f>
        <v>Min. 65% coverage</v>
      </c>
    </row>
    <row r="18" spans="1:19" s="29" customFormat="1" ht="15.6">
      <c r="A18" s="390" t="s">
        <v>127</v>
      </c>
      <c r="B18" s="180"/>
      <c r="C18" s="180"/>
      <c r="D18" s="180"/>
      <c r="E18" s="181"/>
      <c r="F18" s="182"/>
      <c r="G18" s="319"/>
      <c r="H18" s="388"/>
      <c r="K18" s="10"/>
      <c r="O18" s="45"/>
      <c r="P18" s="45"/>
    </row>
    <row r="19" spans="1:19" ht="32.25" customHeight="1">
      <c r="A19" s="391">
        <v>5</v>
      </c>
      <c r="B19" s="873" t="s">
        <v>288</v>
      </c>
      <c r="C19" s="989"/>
      <c r="D19" s="151" t="s">
        <v>3</v>
      </c>
      <c r="E19" s="536"/>
      <c r="F19" s="31">
        <f>IFERROR(E19/$F$115,0)</f>
        <v>0</v>
      </c>
      <c r="G19" s="278"/>
      <c r="H19" s="386"/>
      <c r="I19" s="3" t="s">
        <v>144</v>
      </c>
      <c r="K19" s="152" t="str">
        <f>IF($A$7=$K$2,IF(E19=0,"Please input wall length"," ")," ")</f>
        <v>Please input wall length</v>
      </c>
    </row>
    <row r="20" spans="1:19">
      <c r="A20" s="391">
        <v>6</v>
      </c>
      <c r="B20" s="987" t="s">
        <v>289</v>
      </c>
      <c r="C20" s="851"/>
      <c r="D20" s="190" t="s">
        <v>51</v>
      </c>
      <c r="E20" s="31" t="s">
        <v>50</v>
      </c>
      <c r="F20" s="30"/>
      <c r="G20" s="278"/>
      <c r="H20" s="386"/>
      <c r="I20" s="3" t="s">
        <v>144</v>
      </c>
      <c r="K20" s="152" t="str">
        <f>IF($A$7=$K$2,IF(F20&lt;65%,"Min. 65% coverage"," ")," ")</f>
        <v>Min. 65% coverage</v>
      </c>
    </row>
    <row r="21" spans="1:19">
      <c r="A21" s="391">
        <v>7</v>
      </c>
      <c r="B21" s="886" t="s">
        <v>306</v>
      </c>
      <c r="C21" s="884"/>
      <c r="D21" s="150" t="s">
        <v>51</v>
      </c>
      <c r="E21" s="31" t="s">
        <v>50</v>
      </c>
      <c r="F21" s="547"/>
      <c r="G21" s="278"/>
      <c r="H21" s="386"/>
      <c r="I21" s="3" t="s">
        <v>143</v>
      </c>
      <c r="K21" s="152" t="str">
        <f>IF($A$7=$K$2,IF(F21&lt;65%,"Min. 65% coverage"," ")," ")</f>
        <v>Min. 65% coverage</v>
      </c>
    </row>
    <row r="22" spans="1:19">
      <c r="A22" s="391" t="s">
        <v>308</v>
      </c>
      <c r="B22" s="886" t="s">
        <v>307</v>
      </c>
      <c r="C22" s="884"/>
      <c r="D22" s="150" t="s">
        <v>51</v>
      </c>
      <c r="E22" s="31" t="s">
        <v>50</v>
      </c>
      <c r="F22" s="547"/>
      <c r="G22" s="278"/>
      <c r="H22" s="386"/>
      <c r="K22" s="152"/>
    </row>
    <row r="23" spans="1:19">
      <c r="A23" s="380"/>
      <c r="B23" s="281"/>
      <c r="C23" s="281"/>
      <c r="D23" s="281"/>
      <c r="E23" s="281"/>
      <c r="F23" s="281"/>
      <c r="G23" s="282"/>
      <c r="H23" s="283"/>
      <c r="K23" s="6"/>
    </row>
    <row r="24" spans="1:19" ht="15.6">
      <c r="A24" s="392" t="s">
        <v>44</v>
      </c>
      <c r="B24" s="169"/>
      <c r="C24" s="169"/>
      <c r="D24" s="169"/>
      <c r="E24" s="169"/>
      <c r="F24" s="170" t="s">
        <v>43</v>
      </c>
      <c r="G24" s="171">
        <f>VLOOKUP($A$7,'Manpower allocation'!A4:D11,2,FALSE)*100</f>
        <v>45</v>
      </c>
      <c r="H24" s="393" t="s">
        <v>42</v>
      </c>
      <c r="J24" s="497">
        <f>VLOOKUP($A$7,'Manpower allocation'!A4:D11,2,FALSE)*100</f>
        <v>45</v>
      </c>
      <c r="K24" s="6"/>
    </row>
    <row r="25" spans="1:19" ht="15.6">
      <c r="A25" s="380"/>
      <c r="B25" s="320"/>
      <c r="C25" s="321"/>
      <c r="D25" s="281"/>
      <c r="E25" s="281"/>
      <c r="F25" s="281"/>
      <c r="G25" s="282"/>
      <c r="H25" s="283"/>
      <c r="K25" s="6"/>
    </row>
    <row r="26" spans="1:19" s="29" customFormat="1" ht="46.8">
      <c r="A26" s="394" t="s">
        <v>0</v>
      </c>
      <c r="B26" s="41"/>
      <c r="C26" s="41"/>
      <c r="D26" s="42"/>
      <c r="E26" s="43" t="s">
        <v>17</v>
      </c>
      <c r="F26" s="43" t="s">
        <v>114</v>
      </c>
      <c r="G26" s="43" t="s">
        <v>18</v>
      </c>
      <c r="H26" s="395" t="s">
        <v>53</v>
      </c>
      <c r="K26" s="44"/>
      <c r="R26" s="45"/>
      <c r="S26" s="45"/>
    </row>
    <row r="27" spans="1:19" s="29" customFormat="1" ht="15.6">
      <c r="A27" s="396" t="s">
        <v>198</v>
      </c>
      <c r="B27" s="46" t="s">
        <v>214</v>
      </c>
      <c r="C27" s="47"/>
      <c r="D27" s="47"/>
      <c r="E27" s="48"/>
      <c r="F27" s="48"/>
      <c r="G27" s="48"/>
      <c r="H27" s="397"/>
      <c r="R27" s="45"/>
      <c r="S27" s="45"/>
    </row>
    <row r="28" spans="1:19" s="29" customFormat="1" ht="15.6">
      <c r="A28" s="398">
        <v>1</v>
      </c>
      <c r="B28" s="40" t="s">
        <v>338</v>
      </c>
      <c r="C28" s="41"/>
      <c r="D28" s="49"/>
      <c r="E28" s="41"/>
      <c r="F28" s="50"/>
      <c r="G28" s="50"/>
      <c r="H28" s="399"/>
      <c r="R28" s="45"/>
      <c r="S28" s="45"/>
    </row>
    <row r="29" spans="1:19" s="29" customFormat="1">
      <c r="A29" s="980">
        <v>1.1000000000000001</v>
      </c>
      <c r="B29" s="852" t="s">
        <v>290</v>
      </c>
      <c r="C29" s="988"/>
      <c r="D29" s="988"/>
      <c r="E29" s="904">
        <f>VLOOKUP(A29,'Point Allocation'!$A$5:$J$15,MATCH(A7,'Point Allocation'!$A$5:$J$5,0),0)</f>
        <v>45</v>
      </c>
      <c r="F29" s="1014"/>
      <c r="G29" s="1015">
        <f>IFERROR(F29/$F$56,0)</f>
        <v>0</v>
      </c>
      <c r="H29" s="909">
        <f>E29*G29</f>
        <v>0</v>
      </c>
      <c r="R29" s="45"/>
      <c r="S29" s="45"/>
    </row>
    <row r="30" spans="1:19" s="29" customFormat="1" ht="15.6">
      <c r="A30" s="981"/>
      <c r="B30" s="998" t="s">
        <v>401</v>
      </c>
      <c r="C30" s="998"/>
      <c r="D30" s="998"/>
      <c r="E30" s="904"/>
      <c r="F30" s="1014"/>
      <c r="G30" s="1015">
        <f t="shared" ref="G30" si="0">IFERROR(F30/$F$56,0)</f>
        <v>0</v>
      </c>
      <c r="H30" s="909"/>
      <c r="R30" s="45"/>
      <c r="S30" s="45"/>
    </row>
    <row r="31" spans="1:19" s="29" customFormat="1" ht="15.6">
      <c r="A31" s="398">
        <v>2</v>
      </c>
      <c r="B31" s="40" t="s">
        <v>339</v>
      </c>
      <c r="C31" s="51"/>
      <c r="D31" s="49"/>
      <c r="E31" s="52"/>
      <c r="F31" s="8"/>
      <c r="G31" s="22"/>
      <c r="H31" s="400"/>
      <c r="R31" s="53"/>
      <c r="S31" s="45"/>
    </row>
    <row r="32" spans="1:19" s="29" customFormat="1">
      <c r="A32" s="401">
        <v>2.1</v>
      </c>
      <c r="B32" s="885" t="s">
        <v>203</v>
      </c>
      <c r="C32" s="886"/>
      <c r="D32" s="884"/>
      <c r="E32" s="20">
        <f>VLOOKUP(A32,'Point Allocation'!$A$5:$J$15,MATCH(A7,'Point Allocation'!$A$5:$J$5,0),0)</f>
        <v>42</v>
      </c>
      <c r="F32" s="536"/>
      <c r="G32" s="31">
        <f>IFERROR(F32/$F$56,0)</f>
        <v>0</v>
      </c>
      <c r="H32" s="405">
        <f>E32*G32</f>
        <v>0</v>
      </c>
      <c r="R32" s="53"/>
      <c r="S32" s="45"/>
    </row>
    <row r="33" spans="1:19" s="29" customFormat="1" ht="15.6">
      <c r="A33" s="398">
        <v>3</v>
      </c>
      <c r="B33" s="40" t="s">
        <v>340</v>
      </c>
      <c r="C33" s="51"/>
      <c r="D33" s="49"/>
      <c r="E33" s="52"/>
      <c r="F33" s="8"/>
      <c r="G33" s="22"/>
      <c r="H33" s="400"/>
      <c r="R33" s="53"/>
      <c r="S33" s="45"/>
    </row>
    <row r="34" spans="1:19" s="29" customFormat="1" ht="15" customHeight="1">
      <c r="A34" s="401">
        <v>3.1</v>
      </c>
      <c r="B34" s="885" t="s">
        <v>587</v>
      </c>
      <c r="C34" s="886"/>
      <c r="D34" s="884"/>
      <c r="E34" s="20">
        <f>VLOOKUP(A34,'Point Allocation'!$A$5:$J$15,MATCH(A7,'Point Allocation'!$A$5:$J$5,0),0)</f>
        <v>39</v>
      </c>
      <c r="F34" s="37"/>
      <c r="G34" s="31">
        <f>IFERROR(F34/$F$56,0)</f>
        <v>0</v>
      </c>
      <c r="H34" s="419">
        <f>E34*G34</f>
        <v>0</v>
      </c>
      <c r="R34" s="53"/>
      <c r="S34" s="45"/>
    </row>
    <row r="35" spans="1:19" s="29" customFormat="1" ht="31.5" customHeight="1">
      <c r="A35" s="967">
        <v>3.2</v>
      </c>
      <c r="B35" s="969" t="s">
        <v>330</v>
      </c>
      <c r="C35" s="970"/>
      <c r="D35" s="971"/>
      <c r="E35" s="910">
        <f>VLOOKUP(A35,'Point Allocation'!$A$5:$J$15,MATCH(A7,'Point Allocation'!$A$5:$J$5,0),0)</f>
        <v>39</v>
      </c>
      <c r="F35" s="37"/>
      <c r="G35" s="31">
        <f>IFERROR(F35/$F$56,0)</f>
        <v>0</v>
      </c>
      <c r="H35" s="945">
        <f>IF(SUM(J37:J42)&gt;=4,E35*G35,0)</f>
        <v>0</v>
      </c>
      <c r="R35" s="53"/>
      <c r="S35" s="45"/>
    </row>
    <row r="36" spans="1:19" s="29" customFormat="1" ht="31.5" customHeight="1">
      <c r="A36" s="968"/>
      <c r="B36" s="972"/>
      <c r="C36" s="973"/>
      <c r="D36" s="974"/>
      <c r="E36" s="911"/>
      <c r="F36" s="9" t="s">
        <v>130</v>
      </c>
      <c r="G36" s="54" t="s">
        <v>117</v>
      </c>
      <c r="H36" s="947"/>
      <c r="R36" s="53"/>
      <c r="S36" s="45"/>
    </row>
    <row r="37" spans="1:19" s="29" customFormat="1" ht="89.25" customHeight="1">
      <c r="A37" s="402" t="s">
        <v>192</v>
      </c>
      <c r="B37" s="1016" t="s">
        <v>359</v>
      </c>
      <c r="C37" s="1017"/>
      <c r="D37" s="1018"/>
      <c r="E37" s="958"/>
      <c r="F37" s="187" t="s">
        <v>131</v>
      </c>
      <c r="G37" s="546"/>
      <c r="H37" s="946"/>
      <c r="J37" s="55">
        <f t="shared" ref="J37:J42" si="1">IF(G37&gt;=65%,1,0)</f>
        <v>0</v>
      </c>
      <c r="R37" s="53"/>
      <c r="S37" s="45"/>
    </row>
    <row r="38" spans="1:19" s="29" customFormat="1" ht="33.75" customHeight="1">
      <c r="A38" s="402" t="s">
        <v>193</v>
      </c>
      <c r="B38" s="871" t="s">
        <v>215</v>
      </c>
      <c r="C38" s="872"/>
      <c r="D38" s="873"/>
      <c r="E38" s="958"/>
      <c r="F38" s="39" t="s">
        <v>132</v>
      </c>
      <c r="G38" s="547"/>
      <c r="H38" s="946"/>
      <c r="J38" s="55">
        <f t="shared" si="1"/>
        <v>0</v>
      </c>
      <c r="R38" s="53"/>
      <c r="S38" s="45"/>
    </row>
    <row r="39" spans="1:19" s="29" customFormat="1" ht="48.75" customHeight="1">
      <c r="A39" s="402" t="s">
        <v>201</v>
      </c>
      <c r="B39" s="871" t="s">
        <v>216</v>
      </c>
      <c r="C39" s="872"/>
      <c r="D39" s="873"/>
      <c r="E39" s="958"/>
      <c r="F39" s="39" t="s">
        <v>133</v>
      </c>
      <c r="G39" s="547"/>
      <c r="H39" s="946"/>
      <c r="J39" s="55">
        <f t="shared" si="1"/>
        <v>0</v>
      </c>
      <c r="R39" s="53"/>
      <c r="S39" s="45"/>
    </row>
    <row r="40" spans="1:19" s="29" customFormat="1" ht="45">
      <c r="A40" s="402" t="s">
        <v>194</v>
      </c>
      <c r="B40" s="871" t="s">
        <v>217</v>
      </c>
      <c r="C40" s="872"/>
      <c r="D40" s="873"/>
      <c r="E40" s="958"/>
      <c r="F40" s="39" t="s">
        <v>134</v>
      </c>
      <c r="G40" s="547"/>
      <c r="H40" s="946"/>
      <c r="J40" s="55">
        <f t="shared" si="1"/>
        <v>0</v>
      </c>
      <c r="R40" s="53"/>
      <c r="S40" s="45"/>
    </row>
    <row r="41" spans="1:19" s="29" customFormat="1" ht="48.75" customHeight="1">
      <c r="A41" s="402" t="s">
        <v>202</v>
      </c>
      <c r="B41" s="871" t="s">
        <v>218</v>
      </c>
      <c r="C41" s="872"/>
      <c r="D41" s="873"/>
      <c r="E41" s="958"/>
      <c r="F41" s="39" t="s">
        <v>135</v>
      </c>
      <c r="G41" s="547"/>
      <c r="H41" s="946"/>
      <c r="J41" s="55">
        <f t="shared" si="1"/>
        <v>0</v>
      </c>
      <c r="R41" s="53"/>
      <c r="S41" s="45"/>
    </row>
    <row r="42" spans="1:19" s="29" customFormat="1" ht="31.5" customHeight="1">
      <c r="A42" s="402" t="s">
        <v>195</v>
      </c>
      <c r="B42" s="975" t="s">
        <v>345</v>
      </c>
      <c r="C42" s="976"/>
      <c r="D42" s="977"/>
      <c r="E42" s="959"/>
      <c r="F42" s="39" t="s">
        <v>136</v>
      </c>
      <c r="G42" s="547"/>
      <c r="H42" s="947"/>
      <c r="J42" s="55">
        <f t="shared" si="1"/>
        <v>0</v>
      </c>
      <c r="R42" s="53"/>
      <c r="S42" s="45"/>
    </row>
    <row r="43" spans="1:19" s="29" customFormat="1" ht="15.6">
      <c r="A43" s="398" t="s">
        <v>196</v>
      </c>
      <c r="B43" s="40" t="s">
        <v>341</v>
      </c>
      <c r="C43" s="56"/>
      <c r="D43" s="49"/>
      <c r="E43" s="52"/>
      <c r="F43" s="36"/>
      <c r="G43" s="23"/>
      <c r="H43" s="403"/>
      <c r="R43" s="53"/>
      <c r="S43" s="45"/>
    </row>
    <row r="44" spans="1:19" s="29" customFormat="1" ht="31.5" customHeight="1">
      <c r="A44" s="404">
        <v>4.0999999999999996</v>
      </c>
      <c r="B44" s="885" t="s">
        <v>331</v>
      </c>
      <c r="C44" s="886"/>
      <c r="D44" s="884"/>
      <c r="E44" s="20">
        <f>VLOOKUP(A44,'Point Allocation'!$A$5:$J$15,MATCH(A7,'Point Allocation'!$A$5:$J$5,0),0)</f>
        <v>35</v>
      </c>
      <c r="F44" s="536"/>
      <c r="G44" s="31">
        <f>IFERROR(F44/$F$56,0)</f>
        <v>0</v>
      </c>
      <c r="H44" s="405">
        <f>E44*G44</f>
        <v>0</v>
      </c>
      <c r="R44" s="53"/>
      <c r="S44" s="45"/>
    </row>
    <row r="45" spans="1:19" s="29" customFormat="1">
      <c r="A45" s="406">
        <v>4.2</v>
      </c>
      <c r="B45" s="928" t="s">
        <v>348</v>
      </c>
      <c r="C45" s="990"/>
      <c r="D45" s="929"/>
      <c r="E45" s="20">
        <f>VLOOKUP(A45,'Point Allocation'!$A$5:$J$15,MATCH(A7,'Point Allocation'!$A$5:$J$5,0),0)</f>
        <v>35</v>
      </c>
      <c r="F45" s="536"/>
      <c r="G45" s="31">
        <f>IFERROR(F45/$F$56,0)</f>
        <v>0</v>
      </c>
      <c r="H45" s="405">
        <f>E45*G45</f>
        <v>0</v>
      </c>
      <c r="R45" s="53"/>
      <c r="S45" s="45"/>
    </row>
    <row r="46" spans="1:19" s="29" customFormat="1">
      <c r="A46" s="406">
        <v>4.3</v>
      </c>
      <c r="B46" s="960" t="s">
        <v>346</v>
      </c>
      <c r="C46" s="961"/>
      <c r="D46" s="962"/>
      <c r="E46" s="20">
        <f>VLOOKUP(A46,'Point Allocation'!$A$5:$J$15,MATCH(A7,'Point Allocation'!$A$5:$J$5,0),0)</f>
        <v>28</v>
      </c>
      <c r="F46" s="536"/>
      <c r="G46" s="31">
        <f>IFERROR(F46/$F$56,0)</f>
        <v>0</v>
      </c>
      <c r="H46" s="405">
        <f>E46*G46</f>
        <v>0</v>
      </c>
      <c r="R46" s="53"/>
      <c r="S46" s="45"/>
    </row>
    <row r="47" spans="1:19" s="29" customFormat="1">
      <c r="A47" s="404">
        <v>4.4000000000000004</v>
      </c>
      <c r="B47" s="885" t="s">
        <v>347</v>
      </c>
      <c r="C47" s="886"/>
      <c r="D47" s="884"/>
      <c r="E47" s="20">
        <f>VLOOKUP(A47,'Point Allocation'!$A$5:$J$15,MATCH(A7,'Point Allocation'!$A$5:$J$5,0),0)</f>
        <v>28</v>
      </c>
      <c r="F47" s="536"/>
      <c r="G47" s="31">
        <f>IFERROR(F47/$F$56,0)</f>
        <v>0</v>
      </c>
      <c r="H47" s="405">
        <f>E47*G47</f>
        <v>0</v>
      </c>
      <c r="R47" s="53"/>
      <c r="S47" s="45"/>
    </row>
    <row r="48" spans="1:19" s="59" customFormat="1" ht="15.6">
      <c r="A48" s="396" t="s">
        <v>197</v>
      </c>
      <c r="B48" s="46" t="s">
        <v>211</v>
      </c>
      <c r="C48" s="57"/>
      <c r="D48" s="58"/>
      <c r="E48" s="7"/>
      <c r="F48" s="7"/>
      <c r="G48" s="24"/>
      <c r="H48" s="407"/>
      <c r="J48" s="29"/>
      <c r="K48" s="29"/>
      <c r="L48" s="29"/>
      <c r="M48" s="29"/>
      <c r="N48" s="29"/>
      <c r="R48" s="60"/>
    </row>
    <row r="49" spans="1:19" s="59" customFormat="1" ht="15.6">
      <c r="A49" s="408">
        <v>5</v>
      </c>
      <c r="B49" s="40" t="s">
        <v>212</v>
      </c>
      <c r="C49" s="49"/>
      <c r="D49" s="49"/>
      <c r="E49" s="8"/>
      <c r="F49" s="8"/>
      <c r="G49" s="22"/>
      <c r="H49" s="403"/>
      <c r="J49" s="29"/>
      <c r="K49" s="29"/>
      <c r="L49" s="29"/>
      <c r="M49" s="29"/>
      <c r="N49" s="29"/>
      <c r="R49" s="60"/>
    </row>
    <row r="50" spans="1:19" s="29" customFormat="1">
      <c r="A50" s="409">
        <v>5.0999999999999996</v>
      </c>
      <c r="B50" s="844" t="s">
        <v>204</v>
      </c>
      <c r="C50" s="846"/>
      <c r="D50" s="845"/>
      <c r="E50" s="20">
        <f>VLOOKUP(A50,'Point Allocation'!$A$5:$J$15,MATCH(A7,'Point Allocation'!$A$5:$J$5,0),0)</f>
        <v>22</v>
      </c>
      <c r="F50" s="536"/>
      <c r="G50" s="31">
        <f>IFERROR(F50/$F$56,0)</f>
        <v>0</v>
      </c>
      <c r="H50" s="405">
        <f>E50*G50</f>
        <v>0</v>
      </c>
      <c r="R50" s="53"/>
      <c r="S50" s="45"/>
    </row>
    <row r="51" spans="1:19" s="29" customFormat="1">
      <c r="A51" s="409">
        <v>5.2</v>
      </c>
      <c r="B51" s="844" t="s">
        <v>151</v>
      </c>
      <c r="C51" s="846"/>
      <c r="D51" s="845"/>
      <c r="E51" s="20">
        <f>VLOOKUP(A51,'Point Allocation'!$A$5:$J$15,MATCH(A7,'Point Allocation'!$A$5:$J$5,0),0)</f>
        <v>10</v>
      </c>
      <c r="F51" s="536"/>
      <c r="G51" s="31">
        <f>IFERROR(F51/$F$56,0)</f>
        <v>0</v>
      </c>
      <c r="H51" s="405">
        <f>E51*G51</f>
        <v>0</v>
      </c>
      <c r="R51" s="53"/>
      <c r="S51" s="45"/>
    </row>
    <row r="52" spans="1:19" s="29" customFormat="1" ht="15.6">
      <c r="A52" s="410">
        <v>6</v>
      </c>
      <c r="B52" s="61" t="s">
        <v>213</v>
      </c>
      <c r="C52" s="49"/>
      <c r="D52" s="49"/>
      <c r="E52" s="8"/>
      <c r="F52" s="8"/>
      <c r="G52" s="22"/>
      <c r="H52" s="403"/>
      <c r="R52" s="53"/>
      <c r="S52" s="45"/>
    </row>
    <row r="53" spans="1:19" s="29" customFormat="1">
      <c r="A53" s="411">
        <v>6.1</v>
      </c>
      <c r="B53" s="826"/>
      <c r="C53" s="821"/>
      <c r="D53" s="847"/>
      <c r="E53" s="536"/>
      <c r="F53" s="536"/>
      <c r="G53" s="31">
        <f>IFERROR(F53/$F$56,0)</f>
        <v>0</v>
      </c>
      <c r="H53" s="405">
        <f>E53*G53</f>
        <v>0</v>
      </c>
      <c r="R53" s="53"/>
      <c r="S53" s="45"/>
    </row>
    <row r="54" spans="1:19" s="29" customFormat="1">
      <c r="A54" s="411">
        <v>6.2</v>
      </c>
      <c r="B54" s="826"/>
      <c r="C54" s="821"/>
      <c r="D54" s="847"/>
      <c r="E54" s="536"/>
      <c r="F54" s="536"/>
      <c r="G54" s="31">
        <f>IFERROR(F54/$F$56,0)</f>
        <v>0</v>
      </c>
      <c r="H54" s="405">
        <f>E54*G54</f>
        <v>0</v>
      </c>
      <c r="R54" s="53"/>
      <c r="S54" s="45"/>
    </row>
    <row r="55" spans="1:19" s="29" customFormat="1">
      <c r="A55" s="411">
        <v>6.3</v>
      </c>
      <c r="B55" s="826"/>
      <c r="C55" s="821"/>
      <c r="D55" s="847"/>
      <c r="E55" s="536"/>
      <c r="F55" s="536"/>
      <c r="G55" s="31">
        <f>IFERROR(F55/$F$56,0)</f>
        <v>0</v>
      </c>
      <c r="H55" s="405">
        <f>E55*G55</f>
        <v>0</v>
      </c>
      <c r="R55" s="53"/>
      <c r="S55" s="45"/>
    </row>
    <row r="56" spans="1:19" s="29" customFormat="1" ht="15.6">
      <c r="A56" s="412"/>
      <c r="B56" s="322"/>
      <c r="C56" s="323"/>
      <c r="D56" s="323"/>
      <c r="E56" s="324" t="s">
        <v>61</v>
      </c>
      <c r="F56" s="26">
        <f>SUM(F29,F32,F34,F35,F44,F45,F46,F47,F50,F51,F53,F54,F55)</f>
        <v>0</v>
      </c>
      <c r="G56" s="25">
        <f>SUM(G29,G32:G32,G34:G35,G44:G47,G50:G51,G53:G55)</f>
        <v>0</v>
      </c>
      <c r="H56" s="413">
        <f>IFERROR(SUM(H29:H55),0)</f>
        <v>0</v>
      </c>
      <c r="N56" s="62"/>
      <c r="R56" s="53"/>
      <c r="S56" s="45"/>
    </row>
    <row r="57" spans="1:19" s="29" customFormat="1" ht="15.6" thickBot="1">
      <c r="A57" s="491"/>
      <c r="B57" s="492"/>
      <c r="C57" s="493"/>
      <c r="D57" s="493"/>
      <c r="E57" s="493"/>
      <c r="F57" s="493"/>
      <c r="G57" s="480"/>
      <c r="H57" s="639"/>
      <c r="R57" s="53"/>
      <c r="S57" s="45"/>
    </row>
    <row r="58" spans="1:19" s="29" customFormat="1" ht="15.6">
      <c r="A58" s="954" t="s">
        <v>0</v>
      </c>
      <c r="B58" s="955"/>
      <c r="C58" s="646"/>
      <c r="D58" s="978" t="s">
        <v>4</v>
      </c>
      <c r="E58" s="952" t="s">
        <v>1</v>
      </c>
      <c r="F58" s="953"/>
      <c r="G58" s="948" t="s">
        <v>21</v>
      </c>
      <c r="H58" s="950" t="s">
        <v>63</v>
      </c>
      <c r="R58" s="53"/>
      <c r="S58" s="45"/>
    </row>
    <row r="59" spans="1:19" s="29" customFormat="1" ht="31.2">
      <c r="A59" s="956"/>
      <c r="B59" s="957"/>
      <c r="C59" s="63"/>
      <c r="D59" s="979"/>
      <c r="E59" s="43" t="s">
        <v>118</v>
      </c>
      <c r="F59" s="43" t="s">
        <v>119</v>
      </c>
      <c r="G59" s="949"/>
      <c r="H59" s="951"/>
      <c r="J59" s="64"/>
      <c r="R59" s="53"/>
      <c r="S59" s="45"/>
    </row>
    <row r="60" spans="1:19" s="29" customFormat="1" ht="15.6">
      <c r="A60" s="415" t="s">
        <v>219</v>
      </c>
      <c r="B60" s="46" t="s">
        <v>148</v>
      </c>
      <c r="C60" s="58"/>
      <c r="D60" s="65"/>
      <c r="E60" s="48"/>
      <c r="F60" s="48"/>
      <c r="G60" s="48"/>
      <c r="H60" s="416"/>
      <c r="J60" s="62"/>
      <c r="K60" s="62"/>
      <c r="L60" s="62"/>
      <c r="M60" s="62"/>
      <c r="R60" s="53"/>
      <c r="S60" s="45"/>
    </row>
    <row r="61" spans="1:19" s="29" customFormat="1" ht="15" customHeight="1">
      <c r="A61" s="417" t="s">
        <v>349</v>
      </c>
      <c r="B61" s="850" t="s">
        <v>595</v>
      </c>
      <c r="C61" s="851"/>
      <c r="D61" s="5" t="s">
        <v>51</v>
      </c>
      <c r="E61" s="9">
        <v>3</v>
      </c>
      <c r="F61" s="9">
        <v>4</v>
      </c>
      <c r="G61" s="66"/>
      <c r="H61" s="405">
        <f>IF(G61&gt;=80%,F61,IF(G61&lt;65%,0,E61))</f>
        <v>0</v>
      </c>
      <c r="R61" s="53"/>
      <c r="S61" s="45"/>
    </row>
    <row r="62" spans="1:19" s="29" customFormat="1">
      <c r="A62" s="417" t="s">
        <v>350</v>
      </c>
      <c r="B62" s="850" t="s">
        <v>596</v>
      </c>
      <c r="C62" s="851"/>
      <c r="D62" s="5" t="s">
        <v>51</v>
      </c>
      <c r="E62" s="9">
        <v>3</v>
      </c>
      <c r="F62" s="9">
        <v>4</v>
      </c>
      <c r="G62" s="66"/>
      <c r="H62" s="405">
        <f>IF(G62&gt;=80%,F62,IF(G62&lt;65%,0,E62))</f>
        <v>0</v>
      </c>
      <c r="R62" s="53"/>
      <c r="S62" s="45"/>
    </row>
    <row r="63" spans="1:19" s="29" customFormat="1">
      <c r="A63" s="418" t="s">
        <v>351</v>
      </c>
      <c r="B63" s="850" t="s">
        <v>588</v>
      </c>
      <c r="C63" s="851"/>
      <c r="D63" s="5" t="s">
        <v>51</v>
      </c>
      <c r="E63" s="9">
        <v>3</v>
      </c>
      <c r="F63" s="9">
        <v>4</v>
      </c>
      <c r="G63" s="66"/>
      <c r="H63" s="405">
        <f>IF(G63&gt;=80%,F63,IF(G63&lt;65%,0,E63))</f>
        <v>0</v>
      </c>
      <c r="R63" s="53"/>
      <c r="S63" s="45"/>
    </row>
    <row r="64" spans="1:19" s="29" customFormat="1" ht="51" customHeight="1">
      <c r="A64" s="417">
        <v>7.2</v>
      </c>
      <c r="B64" s="1019" t="s">
        <v>354</v>
      </c>
      <c r="C64" s="1019"/>
      <c r="D64" s="518" t="s">
        <v>51</v>
      </c>
      <c r="E64" s="540">
        <v>2</v>
      </c>
      <c r="F64" s="540">
        <v>2.5</v>
      </c>
      <c r="G64" s="516"/>
      <c r="H64" s="419">
        <f>IF(H35&gt;0,0,IF(G64&gt;=80%,F64,IF(G64&lt;65%,0,E64)))</f>
        <v>0</v>
      </c>
      <c r="J64" s="11"/>
      <c r="K64" s="11"/>
      <c r="L64" s="11"/>
      <c r="R64" s="53"/>
      <c r="S64" s="45"/>
    </row>
    <row r="65" spans="1:19" s="29" customFormat="1" ht="15" customHeight="1">
      <c r="A65" s="417">
        <v>7.3</v>
      </c>
      <c r="B65" s="885" t="s">
        <v>226</v>
      </c>
      <c r="C65" s="886"/>
      <c r="D65" s="375"/>
      <c r="E65" s="375"/>
      <c r="F65" s="375"/>
      <c r="G65" s="375"/>
      <c r="H65" s="420"/>
      <c r="J65" s="11"/>
      <c r="K65" s="11"/>
      <c r="L65" s="11"/>
      <c r="R65" s="53"/>
      <c r="S65" s="45"/>
    </row>
    <row r="66" spans="1:19" s="29" customFormat="1" ht="32.25" customHeight="1">
      <c r="A66" s="418" t="s">
        <v>220</v>
      </c>
      <c r="B66" s="883" t="s">
        <v>227</v>
      </c>
      <c r="C66" s="884"/>
      <c r="D66" s="856" t="s">
        <v>51</v>
      </c>
      <c r="E66" s="296">
        <v>1</v>
      </c>
      <c r="F66" s="296">
        <v>1.5</v>
      </c>
      <c r="G66" s="67"/>
      <c r="H66" s="298">
        <f>IF(H29+H35&gt;0,0.5,IF(G66&gt;=80%,F66,IF(G66&lt;65%,0,E66)))</f>
        <v>0</v>
      </c>
      <c r="K66" s="11"/>
      <c r="L66" s="11"/>
      <c r="R66" s="53"/>
      <c r="S66" s="45"/>
    </row>
    <row r="67" spans="1:19" s="29" customFormat="1" ht="47.25" customHeight="1">
      <c r="A67" s="418" t="s">
        <v>221</v>
      </c>
      <c r="B67" s="883" t="s">
        <v>228</v>
      </c>
      <c r="C67" s="884"/>
      <c r="D67" s="857"/>
      <c r="E67" s="296">
        <v>1</v>
      </c>
      <c r="F67" s="296">
        <v>1.5</v>
      </c>
      <c r="G67" s="67"/>
      <c r="H67" s="298">
        <f>IF(H29+H35&gt;0,0.5,IF(G67&gt;=80%,F67,IF(G67&lt;65%,0,E67)))</f>
        <v>0</v>
      </c>
      <c r="R67" s="53"/>
      <c r="S67" s="45"/>
    </row>
    <row r="68" spans="1:19" s="29" customFormat="1">
      <c r="A68" s="418" t="s">
        <v>235</v>
      </c>
      <c r="B68" s="883" t="s">
        <v>229</v>
      </c>
      <c r="C68" s="884"/>
      <c r="D68" s="857"/>
      <c r="E68" s="296">
        <v>1</v>
      </c>
      <c r="F68" s="296">
        <v>1.5</v>
      </c>
      <c r="G68" s="67"/>
      <c r="H68" s="298">
        <f>IF(H29+H35&gt;0,0.5,IF(G68&gt;=80%,F68,IF(G68&lt;65%,0,E68)))</f>
        <v>0</v>
      </c>
      <c r="R68" s="53"/>
      <c r="S68" s="45"/>
    </row>
    <row r="69" spans="1:19" s="29" customFormat="1" ht="46.5" customHeight="1">
      <c r="A69" s="418" t="s">
        <v>222</v>
      </c>
      <c r="B69" s="883" t="s">
        <v>230</v>
      </c>
      <c r="C69" s="884"/>
      <c r="D69" s="858"/>
      <c r="E69" s="296">
        <v>1</v>
      </c>
      <c r="F69" s="296">
        <v>1.5</v>
      </c>
      <c r="G69" s="67"/>
      <c r="H69" s="298">
        <f>IF(H29+H35&gt;0,0.5,IF(G69&gt;=80%,F69,IF(G69&lt;65%,0,E69)))</f>
        <v>0</v>
      </c>
      <c r="R69" s="53"/>
      <c r="S69" s="45"/>
    </row>
    <row r="70" spans="1:19" s="29" customFormat="1">
      <c r="A70" s="417">
        <v>7.4</v>
      </c>
      <c r="B70" s="930" t="s">
        <v>441</v>
      </c>
      <c r="C70" s="930"/>
      <c r="D70" s="350" t="s">
        <v>2</v>
      </c>
      <c r="E70" s="296">
        <v>1</v>
      </c>
      <c r="F70" s="296">
        <v>1.5</v>
      </c>
      <c r="G70" s="67"/>
      <c r="H70" s="298">
        <f>IF(G70&gt;=80%,F70,IF(G70&lt;65%,0,E70))</f>
        <v>0</v>
      </c>
      <c r="R70" s="53"/>
      <c r="S70" s="45"/>
    </row>
    <row r="71" spans="1:19" s="29" customFormat="1" ht="15" customHeight="1">
      <c r="A71" s="526">
        <v>7.5</v>
      </c>
      <c r="B71" s="932" t="s">
        <v>422</v>
      </c>
      <c r="C71" s="932"/>
      <c r="D71" s="561" t="s">
        <v>420</v>
      </c>
      <c r="E71" s="855">
        <v>2</v>
      </c>
      <c r="F71" s="855"/>
      <c r="G71" s="546"/>
      <c r="H71" s="519">
        <f>IF(G71&gt;=5%,E71,0)</f>
        <v>0</v>
      </c>
      <c r="R71" s="53"/>
      <c r="S71" s="45"/>
    </row>
    <row r="72" spans="1:19" s="29" customFormat="1" ht="15.6">
      <c r="A72" s="421" t="s">
        <v>223</v>
      </c>
      <c r="B72" s="68" t="s">
        <v>231</v>
      </c>
      <c r="C72" s="69"/>
      <c r="D72" s="70"/>
      <c r="E72" s="71"/>
      <c r="F72" s="71"/>
      <c r="G72" s="71"/>
      <c r="H72" s="422"/>
      <c r="R72" s="53"/>
      <c r="S72" s="45"/>
    </row>
    <row r="73" spans="1:19" s="29" customFormat="1">
      <c r="A73" s="417">
        <v>8.1</v>
      </c>
      <c r="B73" s="852" t="s">
        <v>232</v>
      </c>
      <c r="C73" s="852"/>
      <c r="D73" s="5" t="s">
        <v>51</v>
      </c>
      <c r="E73" s="20">
        <v>2</v>
      </c>
      <c r="F73" s="20">
        <v>2.5</v>
      </c>
      <c r="G73" s="72"/>
      <c r="H73" s="405">
        <f>IF(G73&gt;=80%,F73,IF(G73&lt;65%,0,E73))</f>
        <v>0</v>
      </c>
      <c r="J73" s="73"/>
      <c r="R73" s="53"/>
      <c r="S73" s="45"/>
    </row>
    <row r="74" spans="1:19" s="29" customFormat="1">
      <c r="A74" s="417">
        <v>8.1999999999999993</v>
      </c>
      <c r="B74" s="852" t="s">
        <v>233</v>
      </c>
      <c r="C74" s="852"/>
      <c r="D74" s="5" t="s">
        <v>51</v>
      </c>
      <c r="E74" s="20">
        <v>2</v>
      </c>
      <c r="F74" s="20">
        <v>2.5</v>
      </c>
      <c r="G74" s="72"/>
      <c r="H74" s="405">
        <f>IF(G74&gt;=80%,F74,IF(G74&lt;65%,0,E74))</f>
        <v>0</v>
      </c>
      <c r="J74" s="11"/>
      <c r="K74" s="11"/>
      <c r="L74" s="11"/>
      <c r="R74" s="53"/>
      <c r="S74" s="45"/>
    </row>
    <row r="75" spans="1:19" s="29" customFormat="1">
      <c r="A75" s="417">
        <v>8.3000000000000007</v>
      </c>
      <c r="B75" s="874" t="s">
        <v>147</v>
      </c>
      <c r="C75" s="875"/>
      <c r="D75" s="5" t="s">
        <v>2</v>
      </c>
      <c r="E75" s="20">
        <v>2</v>
      </c>
      <c r="F75" s="20">
        <v>2.5</v>
      </c>
      <c r="G75" s="66"/>
      <c r="H75" s="405">
        <f>IF(G75&gt;=80%,F75,IF(G75&lt;65%,0,E75))</f>
        <v>0</v>
      </c>
      <c r="R75" s="53"/>
      <c r="S75" s="45"/>
    </row>
    <row r="76" spans="1:19" s="29" customFormat="1" ht="15.6">
      <c r="A76" s="421" t="s">
        <v>224</v>
      </c>
      <c r="B76" s="68" t="s">
        <v>234</v>
      </c>
      <c r="C76" s="69"/>
      <c r="D76" s="70"/>
      <c r="E76" s="71"/>
      <c r="F76" s="71"/>
      <c r="G76" s="71"/>
      <c r="H76" s="422"/>
      <c r="R76" s="53"/>
      <c r="S76" s="45"/>
    </row>
    <row r="77" spans="1:19" s="29" customFormat="1" ht="31.5" customHeight="1">
      <c r="A77" s="417">
        <v>9.1</v>
      </c>
      <c r="B77" s="852" t="s">
        <v>371</v>
      </c>
      <c r="C77" s="852"/>
      <c r="D77" s="5" t="s">
        <v>51</v>
      </c>
      <c r="E77" s="20">
        <v>2</v>
      </c>
      <c r="F77" s="20">
        <v>2.5</v>
      </c>
      <c r="G77" s="72"/>
      <c r="H77" s="405">
        <f>IF(G77&gt;=80%,F77,IF(G77&lt;65%,0,E77))</f>
        <v>0</v>
      </c>
      <c r="R77" s="53"/>
      <c r="S77" s="45"/>
    </row>
    <row r="78" spans="1:19" s="29" customFormat="1" ht="15.6">
      <c r="A78" s="423" t="s">
        <v>225</v>
      </c>
      <c r="B78" s="74" t="s">
        <v>213</v>
      </c>
      <c r="C78" s="58"/>
      <c r="D78" s="58"/>
      <c r="E78" s="75"/>
      <c r="F78" s="75"/>
      <c r="G78" s="76"/>
      <c r="H78" s="424"/>
      <c r="R78" s="53"/>
      <c r="S78" s="45"/>
    </row>
    <row r="79" spans="1:19" s="29" customFormat="1">
      <c r="A79" s="417">
        <v>10.1</v>
      </c>
      <c r="B79" s="848"/>
      <c r="C79" s="848"/>
      <c r="D79" s="77"/>
      <c r="E79" s="536"/>
      <c r="F79" s="536"/>
      <c r="G79" s="547"/>
      <c r="H79" s="405">
        <f>IF(G79&gt;=80%,F79,IF(G79&lt;65%,0,E79))</f>
        <v>0</v>
      </c>
      <c r="R79" s="53"/>
      <c r="S79" s="45"/>
    </row>
    <row r="80" spans="1:19" s="29" customFormat="1">
      <c r="A80" s="417">
        <v>10.199999999999999</v>
      </c>
      <c r="B80" s="848"/>
      <c r="C80" s="848"/>
      <c r="D80" s="77"/>
      <c r="E80" s="536"/>
      <c r="F80" s="536"/>
      <c r="G80" s="547"/>
      <c r="H80" s="405">
        <f>IF(G80&gt;=80%,F80,IF(G80&lt;65%,0,E80))</f>
        <v>0</v>
      </c>
      <c r="R80" s="53"/>
      <c r="S80" s="45"/>
    </row>
    <row r="81" spans="1:19" s="29" customFormat="1">
      <c r="A81" s="417">
        <v>10.3</v>
      </c>
      <c r="B81" s="848"/>
      <c r="C81" s="848"/>
      <c r="D81" s="77"/>
      <c r="E81" s="536"/>
      <c r="F81" s="536"/>
      <c r="G81" s="547"/>
      <c r="H81" s="405">
        <f>IF(G81&gt;=80%,F81,IF(G81&lt;65%,0,E81))</f>
        <v>0</v>
      </c>
      <c r="R81" s="53"/>
      <c r="S81" s="45"/>
    </row>
    <row r="82" spans="1:19" s="29" customFormat="1" ht="15.6">
      <c r="A82" s="425"/>
      <c r="B82" s="325"/>
      <c r="C82" s="323"/>
      <c r="D82" s="323"/>
      <c r="E82" s="326"/>
      <c r="F82" s="327"/>
      <c r="G82" s="328" t="s">
        <v>418</v>
      </c>
      <c r="H82" s="426">
        <f>IFERROR((SUM(H61:H81)),0)</f>
        <v>0</v>
      </c>
      <c r="R82" s="53"/>
      <c r="S82" s="45"/>
    </row>
    <row r="83" spans="1:19" s="29" customFormat="1">
      <c r="A83" s="412"/>
      <c r="B83" s="325"/>
      <c r="C83" s="323"/>
      <c r="D83" s="323"/>
      <c r="E83" s="323"/>
      <c r="F83" s="323"/>
      <c r="G83" s="329"/>
      <c r="H83" s="388"/>
      <c r="R83" s="53"/>
      <c r="S83" s="45"/>
    </row>
    <row r="84" spans="1:19" s="29" customFormat="1" ht="15.6">
      <c r="A84" s="412"/>
      <c r="B84" s="325"/>
      <c r="C84" s="323"/>
      <c r="D84" s="323"/>
      <c r="E84" s="323"/>
      <c r="F84" s="323"/>
      <c r="G84" s="330" t="s">
        <v>129</v>
      </c>
      <c r="H84" s="427">
        <f>IFERROR(MIN(G24,H56+H82),0)</f>
        <v>0</v>
      </c>
      <c r="R84" s="53"/>
      <c r="S84" s="45"/>
    </row>
    <row r="85" spans="1:19" s="29" customFormat="1" ht="16.2" thickBot="1">
      <c r="A85" s="491"/>
      <c r="B85" s="492"/>
      <c r="C85" s="493"/>
      <c r="D85" s="493"/>
      <c r="E85" s="493"/>
      <c r="F85" s="493"/>
      <c r="G85" s="496"/>
      <c r="H85" s="495"/>
      <c r="R85" s="53"/>
      <c r="S85" s="45"/>
    </row>
    <row r="86" spans="1:19" s="29" customFormat="1" ht="15.6">
      <c r="A86" s="486" t="s">
        <v>52</v>
      </c>
      <c r="B86" s="487"/>
      <c r="C86" s="487"/>
      <c r="D86" s="487"/>
      <c r="E86" s="487"/>
      <c r="F86" s="488" t="s">
        <v>43</v>
      </c>
      <c r="G86" s="489">
        <f>VLOOKUP($A$7,'Manpower allocation'!A4:D11,3,FALSE)*100</f>
        <v>40</v>
      </c>
      <c r="H86" s="490" t="s">
        <v>42</v>
      </c>
      <c r="J86" s="79">
        <f>VLOOKUP($A$7,'Manpower allocation'!A4:D11,3,FALSE)*100</f>
        <v>40</v>
      </c>
      <c r="R86" s="53"/>
      <c r="S86" s="45"/>
    </row>
    <row r="87" spans="1:19" s="29" customFormat="1" ht="15.6">
      <c r="A87" s="412"/>
      <c r="B87" s="331"/>
      <c r="C87" s="326"/>
      <c r="D87" s="323"/>
      <c r="E87" s="323"/>
      <c r="F87" s="323"/>
      <c r="G87" s="332"/>
      <c r="H87" s="388"/>
      <c r="R87" s="53"/>
      <c r="S87" s="45"/>
    </row>
    <row r="88" spans="1:19" s="29" customFormat="1" ht="46.8">
      <c r="A88" s="549" t="s">
        <v>0</v>
      </c>
      <c r="B88" s="550"/>
      <c r="C88" s="168"/>
      <c r="D88" s="80"/>
      <c r="E88" s="81" t="s">
        <v>17</v>
      </c>
      <c r="F88" s="82" t="s">
        <v>81</v>
      </c>
      <c r="G88" s="82" t="s">
        <v>20</v>
      </c>
      <c r="H88" s="428" t="s">
        <v>53</v>
      </c>
      <c r="R88" s="53"/>
      <c r="S88" s="45"/>
    </row>
    <row r="89" spans="1:19" s="29" customFormat="1" ht="15.6">
      <c r="A89" s="429" t="s">
        <v>303</v>
      </c>
      <c r="B89" s="83" t="s">
        <v>332</v>
      </c>
      <c r="C89" s="84"/>
      <c r="D89" s="84"/>
      <c r="E89" s="85"/>
      <c r="F89" s="85"/>
      <c r="G89" s="85"/>
      <c r="H89" s="430"/>
      <c r="R89" s="53"/>
      <c r="S89" s="45"/>
    </row>
    <row r="90" spans="1:19" s="29" customFormat="1" ht="15.6">
      <c r="A90" s="431">
        <v>1</v>
      </c>
      <c r="B90" s="86" t="s">
        <v>338</v>
      </c>
      <c r="C90" s="87"/>
      <c r="D90" s="87"/>
      <c r="E90" s="88"/>
      <c r="F90" s="88"/>
      <c r="G90" s="88"/>
      <c r="H90" s="432"/>
      <c r="R90" s="53"/>
      <c r="S90" s="45"/>
    </row>
    <row r="91" spans="1:19" s="29" customFormat="1">
      <c r="A91" s="417">
        <v>1.1000000000000001</v>
      </c>
      <c r="B91" s="885" t="s">
        <v>290</v>
      </c>
      <c r="C91" s="846"/>
      <c r="D91" s="845"/>
      <c r="E91" s="89">
        <f>VLOOKUP(A91,'Point Allocation'!$A$20:$J$40,MATCH(A7,'Point Allocation'!$A$20:$J$20,0),0)</f>
        <v>30</v>
      </c>
      <c r="F91" s="90"/>
      <c r="G91" s="91">
        <f>IFERROR(F91/$F$115,0)</f>
        <v>0</v>
      </c>
      <c r="H91" s="433">
        <f>E91*G91</f>
        <v>0</v>
      </c>
      <c r="R91" s="45"/>
      <c r="S91" s="45"/>
    </row>
    <row r="92" spans="1:19" s="29" customFormat="1" ht="15.6">
      <c r="A92" s="434">
        <v>2</v>
      </c>
      <c r="B92" s="92" t="s">
        <v>339</v>
      </c>
      <c r="C92" s="93"/>
      <c r="D92" s="94"/>
      <c r="E92" s="94"/>
      <c r="F92" s="95"/>
      <c r="G92" s="96"/>
      <c r="H92" s="435"/>
      <c r="R92" s="53"/>
      <c r="S92" s="45"/>
    </row>
    <row r="93" spans="1:19" s="29" customFormat="1">
      <c r="A93" s="849">
        <v>2.1</v>
      </c>
      <c r="B93" s="844" t="s">
        <v>207</v>
      </c>
      <c r="C93" s="846"/>
      <c r="D93" s="845"/>
      <c r="E93" s="853">
        <f>VLOOKUP(A93,'Point Allocation'!$A$20:$J$40,MATCH(A7,'Point Allocation'!$A$20:$J$20,0),0)</f>
        <v>28</v>
      </c>
      <c r="F93" s="854"/>
      <c r="G93" s="914">
        <f>IFERROR(F93/$F$115,0)</f>
        <v>0</v>
      </c>
      <c r="H93" s="921">
        <f>E93*G93</f>
        <v>0</v>
      </c>
      <c r="R93" s="53"/>
      <c r="S93" s="45"/>
    </row>
    <row r="94" spans="1:19" s="29" customFormat="1" ht="15.6">
      <c r="A94" s="841"/>
      <c r="B94" s="836" t="s">
        <v>120</v>
      </c>
      <c r="C94" s="837"/>
      <c r="D94" s="838"/>
      <c r="E94" s="853"/>
      <c r="F94" s="854"/>
      <c r="G94" s="914"/>
      <c r="H94" s="921"/>
      <c r="R94" s="53"/>
      <c r="S94" s="45"/>
    </row>
    <row r="95" spans="1:19" s="29" customFormat="1">
      <c r="A95" s="849">
        <v>2.2000000000000002</v>
      </c>
      <c r="B95" s="885" t="s">
        <v>178</v>
      </c>
      <c r="C95" s="886"/>
      <c r="D95" s="884"/>
      <c r="E95" s="853">
        <f>VLOOKUP(A95,'Point Allocation'!$A$20:$J$40,MATCH(A7,'Point Allocation'!$A$20:$J$20,0),0)</f>
        <v>28</v>
      </c>
      <c r="F95" s="854"/>
      <c r="G95" s="914">
        <f>IFERROR(F95/$F$115,0)</f>
        <v>0</v>
      </c>
      <c r="H95" s="921">
        <f>E95*G95</f>
        <v>0</v>
      </c>
      <c r="R95" s="53"/>
      <c r="S95" s="45"/>
    </row>
    <row r="96" spans="1:19" s="29" customFormat="1" ht="15.6">
      <c r="A96" s="882"/>
      <c r="B96" s="836" t="s">
        <v>120</v>
      </c>
      <c r="C96" s="837"/>
      <c r="D96" s="838"/>
      <c r="E96" s="853"/>
      <c r="F96" s="854"/>
      <c r="G96" s="914"/>
      <c r="H96" s="921"/>
      <c r="R96" s="53"/>
      <c r="S96" s="45"/>
    </row>
    <row r="97" spans="1:19" s="29" customFormat="1" ht="15.6">
      <c r="A97" s="431">
        <v>3</v>
      </c>
      <c r="B97" s="86" t="s">
        <v>340</v>
      </c>
      <c r="C97" s="93"/>
      <c r="D97" s="93"/>
      <c r="E97" s="95"/>
      <c r="F97" s="95"/>
      <c r="G97" s="96"/>
      <c r="H97" s="436"/>
      <c r="R97" s="53"/>
      <c r="S97" s="45"/>
    </row>
    <row r="98" spans="1:19" s="29" customFormat="1">
      <c r="A98" s="849">
        <v>3.1</v>
      </c>
      <c r="B98" s="844" t="s">
        <v>208</v>
      </c>
      <c r="C98" s="846"/>
      <c r="D98" s="845"/>
      <c r="E98" s="853">
        <f>VLOOKUP(A98,'Point Allocation'!$A$20:$J$40,MATCH(A7,'Point Allocation'!$A$20:$J$20,0),0)</f>
        <v>27</v>
      </c>
      <c r="F98" s="854"/>
      <c r="G98" s="914">
        <f>IFERROR(F98/$F$115,0)</f>
        <v>0</v>
      </c>
      <c r="H98" s="921">
        <f>E98*G98</f>
        <v>0</v>
      </c>
      <c r="R98" s="53"/>
      <c r="S98" s="45"/>
    </row>
    <row r="99" spans="1:19" s="29" customFormat="1" ht="15.6">
      <c r="A99" s="841"/>
      <c r="B99" s="836" t="s">
        <v>286</v>
      </c>
      <c r="C99" s="837"/>
      <c r="D99" s="838"/>
      <c r="E99" s="853"/>
      <c r="F99" s="854"/>
      <c r="G99" s="914"/>
      <c r="H99" s="921"/>
      <c r="R99" s="53"/>
      <c r="S99" s="45"/>
    </row>
    <row r="100" spans="1:19" s="29" customFormat="1" ht="15.6">
      <c r="A100" s="431">
        <v>4</v>
      </c>
      <c r="B100" s="86" t="s">
        <v>341</v>
      </c>
      <c r="C100" s="93"/>
      <c r="D100" s="93"/>
      <c r="E100" s="95"/>
      <c r="F100" s="95"/>
      <c r="G100" s="96"/>
      <c r="H100" s="436"/>
      <c r="R100" s="53"/>
      <c r="S100" s="45"/>
    </row>
    <row r="101" spans="1:19" s="29" customFormat="1" ht="30" customHeight="1">
      <c r="A101" s="418" t="s">
        <v>205</v>
      </c>
      <c r="B101" s="871" t="s">
        <v>292</v>
      </c>
      <c r="C101" s="872"/>
      <c r="D101" s="873"/>
      <c r="E101" s="97">
        <f>VLOOKUP(A101,'Point Allocation'!$A$20:$J$40,MATCH(A7,'Point Allocation'!$A$20:$J$20,0),0)</f>
        <v>25</v>
      </c>
      <c r="F101" s="537"/>
      <c r="G101" s="538">
        <f>IFERROR(F101/$F$115,0)</f>
        <v>0</v>
      </c>
      <c r="H101" s="437">
        <f>E101*G101</f>
        <v>0</v>
      </c>
      <c r="R101" s="912"/>
      <c r="S101" s="45"/>
    </row>
    <row r="102" spans="1:19" s="29" customFormat="1">
      <c r="A102" s="418" t="s">
        <v>206</v>
      </c>
      <c r="B102" s="871" t="s">
        <v>293</v>
      </c>
      <c r="C102" s="872"/>
      <c r="D102" s="873"/>
      <c r="E102" s="97">
        <f>VLOOKUP(A102,'Point Allocation'!$A$20:$J$40,MATCH(A7,'Point Allocation'!$A$20:$J$20,0),0)</f>
        <v>25</v>
      </c>
      <c r="F102" s="537"/>
      <c r="G102" s="538">
        <f>IFERROR(F102/$F$115,0)</f>
        <v>0</v>
      </c>
      <c r="H102" s="437">
        <f>E102*G102</f>
        <v>0</v>
      </c>
      <c r="R102" s="912"/>
      <c r="S102" s="45"/>
    </row>
    <row r="103" spans="1:19" s="29" customFormat="1">
      <c r="A103" s="417">
        <v>4.2</v>
      </c>
      <c r="B103" s="874" t="s">
        <v>209</v>
      </c>
      <c r="C103" s="931"/>
      <c r="D103" s="875"/>
      <c r="E103" s="97">
        <f>VLOOKUP(A103,'Point Allocation'!$A$20:$J$40,MATCH(A7,'Point Allocation'!$A$20:$J$20,0),0)</f>
        <v>25</v>
      </c>
      <c r="F103" s="537"/>
      <c r="G103" s="538">
        <f>IFERROR(F103/$F$115,0)</f>
        <v>0</v>
      </c>
      <c r="H103" s="437">
        <f>E103*G103</f>
        <v>0</v>
      </c>
      <c r="R103" s="53"/>
      <c r="S103" s="45"/>
    </row>
    <row r="104" spans="1:19" s="29" customFormat="1">
      <c r="A104" s="417">
        <v>4.3</v>
      </c>
      <c r="B104" s="922" t="s">
        <v>159</v>
      </c>
      <c r="C104" s="923"/>
      <c r="D104" s="924"/>
      <c r="E104" s="97">
        <f>VLOOKUP(A104,'Point Allocation'!$A$20:$J$40,MATCH(A7,'Point Allocation'!$A$20:$J$20,0),0)</f>
        <v>25</v>
      </c>
      <c r="F104" s="537"/>
      <c r="G104" s="538">
        <f>IFERROR(F104/$F$115,0)</f>
        <v>0</v>
      </c>
      <c r="H104" s="438">
        <f>E104*G104</f>
        <v>0</v>
      </c>
      <c r="R104" s="53"/>
      <c r="S104" s="45"/>
    </row>
    <row r="105" spans="1:19" s="29" customFormat="1">
      <c r="A105" s="417">
        <v>4.4000000000000004</v>
      </c>
      <c r="B105" s="922" t="s">
        <v>355</v>
      </c>
      <c r="C105" s="923"/>
      <c r="D105" s="924"/>
      <c r="E105" s="97">
        <f>VLOOKUP(A105,'Point Allocation'!$A$20:$J$40,MATCH(A7,'Point Allocation'!$A$20:$J$20,0),0)</f>
        <v>22</v>
      </c>
      <c r="F105" s="537"/>
      <c r="G105" s="538">
        <f>IFERROR(F105/$F$115,0)</f>
        <v>0</v>
      </c>
      <c r="H105" s="438">
        <f>E105*G105</f>
        <v>0</v>
      </c>
      <c r="R105" s="53"/>
      <c r="S105" s="45"/>
    </row>
    <row r="106" spans="1:19" s="29" customFormat="1" ht="15.6">
      <c r="A106" s="439" t="s">
        <v>304</v>
      </c>
      <c r="B106" s="99" t="s">
        <v>236</v>
      </c>
      <c r="C106" s="100"/>
      <c r="D106" s="101"/>
      <c r="E106" s="102"/>
      <c r="F106" s="103"/>
      <c r="G106" s="104"/>
      <c r="H106" s="440"/>
      <c r="R106" s="53"/>
      <c r="S106" s="45"/>
    </row>
    <row r="107" spans="1:19" s="29" customFormat="1" ht="15.6">
      <c r="A107" s="431">
        <v>5</v>
      </c>
      <c r="B107" s="86" t="s">
        <v>237</v>
      </c>
      <c r="C107" s="93"/>
      <c r="D107" s="93"/>
      <c r="E107" s="95"/>
      <c r="F107" s="95"/>
      <c r="G107" s="96"/>
      <c r="H107" s="436"/>
      <c r="R107" s="53"/>
      <c r="S107" s="45"/>
    </row>
    <row r="108" spans="1:19" s="29" customFormat="1">
      <c r="A108" s="417">
        <v>5.0999999999999996</v>
      </c>
      <c r="B108" s="844" t="s">
        <v>210</v>
      </c>
      <c r="C108" s="846"/>
      <c r="D108" s="845"/>
      <c r="E108" s="105">
        <f>VLOOKUP(A108,'Point Allocation'!$A$20:$J$40,MATCH(A7,'Point Allocation'!$A$20:$J$20,0),0)</f>
        <v>16</v>
      </c>
      <c r="F108" s="156"/>
      <c r="G108" s="538">
        <f>IFERROR(F108/$F$115,0)</f>
        <v>0</v>
      </c>
      <c r="H108" s="441">
        <f>E108*G108</f>
        <v>0</v>
      </c>
      <c r="R108" s="53"/>
      <c r="S108" s="45"/>
    </row>
    <row r="109" spans="1:19" s="29" customFormat="1">
      <c r="A109" s="417">
        <v>5.2</v>
      </c>
      <c r="B109" s="844" t="s">
        <v>356</v>
      </c>
      <c r="C109" s="846"/>
      <c r="D109" s="845"/>
      <c r="E109" s="105">
        <f>VLOOKUP(A109,'Point Allocation'!$A$20:$J$40,MATCH(A7,'Point Allocation'!$A$20:$J$20,0),0)</f>
        <v>5</v>
      </c>
      <c r="F109" s="90"/>
      <c r="G109" s="538">
        <f>IFERROR(F109/$F$115,0)</f>
        <v>0</v>
      </c>
      <c r="H109" s="441">
        <f>E109*G109</f>
        <v>0</v>
      </c>
      <c r="R109" s="53"/>
      <c r="S109" s="45"/>
    </row>
    <row r="110" spans="1:19" s="29" customFormat="1">
      <c r="A110" s="417">
        <v>5.3</v>
      </c>
      <c r="B110" s="844" t="s">
        <v>357</v>
      </c>
      <c r="C110" s="846"/>
      <c r="D110" s="845"/>
      <c r="E110" s="105">
        <f>VLOOKUP(A110,'Point Allocation'!$A$20:$J$40,MATCH(A7,'Point Allocation'!$A$20:$J$20,0),0)</f>
        <v>0</v>
      </c>
      <c r="F110" s="155"/>
      <c r="G110" s="538">
        <f>IFERROR(F110/$F$115,0)</f>
        <v>0</v>
      </c>
      <c r="H110" s="442">
        <f>E110*G110</f>
        <v>0</v>
      </c>
      <c r="R110" s="53"/>
      <c r="S110" s="45"/>
    </row>
    <row r="111" spans="1:19" s="29" customFormat="1" ht="15.6">
      <c r="A111" s="443">
        <v>6</v>
      </c>
      <c r="B111" s="106" t="s">
        <v>213</v>
      </c>
      <c r="C111" s="93"/>
      <c r="D111" s="93"/>
      <c r="E111" s="95"/>
      <c r="F111" s="95"/>
      <c r="G111" s="96"/>
      <c r="H111" s="436"/>
      <c r="R111" s="53"/>
      <c r="S111" s="45"/>
    </row>
    <row r="112" spans="1:19" s="29" customFormat="1">
      <c r="A112" s="444">
        <v>6.1</v>
      </c>
      <c r="B112" s="826"/>
      <c r="C112" s="821"/>
      <c r="D112" s="847"/>
      <c r="E112" s="537"/>
      <c r="F112" s="537"/>
      <c r="G112" s="538">
        <f>IFERROR(F112/$F$115,0)</f>
        <v>0</v>
      </c>
      <c r="H112" s="442">
        <f>E112*G112</f>
        <v>0</v>
      </c>
      <c r="R112" s="53"/>
      <c r="S112" s="45"/>
    </row>
    <row r="113" spans="1:19" s="29" customFormat="1">
      <c r="A113" s="444">
        <v>6.2</v>
      </c>
      <c r="B113" s="826"/>
      <c r="C113" s="821"/>
      <c r="D113" s="847"/>
      <c r="E113" s="537"/>
      <c r="F113" s="537"/>
      <c r="G113" s="538">
        <f>IFERROR(F113/$F$115,0)</f>
        <v>0</v>
      </c>
      <c r="H113" s="442">
        <f>E113*G113</f>
        <v>0</v>
      </c>
      <c r="R113" s="53"/>
      <c r="S113" s="45"/>
    </row>
    <row r="114" spans="1:19" s="29" customFormat="1">
      <c r="A114" s="444">
        <v>6.3</v>
      </c>
      <c r="B114" s="848"/>
      <c r="C114" s="848"/>
      <c r="D114" s="848"/>
      <c r="E114" s="537"/>
      <c r="F114" s="537"/>
      <c r="G114" s="538">
        <f>IFERROR(F114/$F$115,0)</f>
        <v>0</v>
      </c>
      <c r="H114" s="442">
        <f>E114*G114</f>
        <v>0</v>
      </c>
      <c r="R114" s="53"/>
      <c r="S114" s="45"/>
    </row>
    <row r="115" spans="1:19" s="29" customFormat="1" ht="15.6">
      <c r="A115" s="425"/>
      <c r="B115" s="325"/>
      <c r="C115" s="323"/>
      <c r="D115" s="323"/>
      <c r="E115" s="330" t="s">
        <v>62</v>
      </c>
      <c r="F115" s="333">
        <f>SUM(F91:F114)+E19</f>
        <v>0</v>
      </c>
      <c r="G115" s="334">
        <f>SUM(G91:G114)+F19</f>
        <v>0</v>
      </c>
      <c r="H115" s="445">
        <f>IFERROR(SUM(H91:H114),0)</f>
        <v>0</v>
      </c>
      <c r="R115" s="53"/>
      <c r="S115" s="45"/>
    </row>
    <row r="116" spans="1:19" s="29" customFormat="1" ht="15.6" thickBot="1">
      <c r="A116" s="491"/>
      <c r="B116" s="492"/>
      <c r="C116" s="493"/>
      <c r="D116" s="493"/>
      <c r="E116" s="493"/>
      <c r="F116" s="493"/>
      <c r="G116" s="480"/>
      <c r="H116" s="639"/>
      <c r="R116" s="53"/>
      <c r="S116" s="45"/>
    </row>
    <row r="117" spans="1:19" s="29" customFormat="1" ht="31.2">
      <c r="A117" s="640" t="s">
        <v>0</v>
      </c>
      <c r="B117" s="641"/>
      <c r="C117" s="641"/>
      <c r="D117" s="642" t="s">
        <v>17</v>
      </c>
      <c r="E117" s="643" t="s">
        <v>81</v>
      </c>
      <c r="F117" s="644" t="s">
        <v>335</v>
      </c>
      <c r="G117" s="644" t="s">
        <v>336</v>
      </c>
      <c r="H117" s="645" t="s">
        <v>53</v>
      </c>
      <c r="R117" s="53"/>
      <c r="S117" s="45"/>
    </row>
    <row r="118" spans="1:19" s="29" customFormat="1" ht="15.6">
      <c r="A118" s="429" t="s">
        <v>238</v>
      </c>
      <c r="B118" s="83" t="s">
        <v>333</v>
      </c>
      <c r="C118" s="84"/>
      <c r="D118" s="85"/>
      <c r="E118" s="85"/>
      <c r="F118" s="85"/>
      <c r="G118" s="85"/>
      <c r="H118" s="430"/>
      <c r="R118" s="53"/>
      <c r="S118" s="45"/>
    </row>
    <row r="119" spans="1:19" s="29" customFormat="1" ht="15.6">
      <c r="A119" s="431">
        <v>7</v>
      </c>
      <c r="B119" s="86" t="s">
        <v>338</v>
      </c>
      <c r="C119" s="87"/>
      <c r="D119" s="88"/>
      <c r="E119" s="88"/>
      <c r="F119" s="88"/>
      <c r="G119" s="88"/>
      <c r="H119" s="432"/>
      <c r="R119" s="53"/>
      <c r="S119" s="45"/>
    </row>
    <row r="120" spans="1:19" s="29" customFormat="1" ht="15" customHeight="1">
      <c r="A120" s="404">
        <v>7.1</v>
      </c>
      <c r="B120" s="885" t="s">
        <v>290</v>
      </c>
      <c r="C120" s="884"/>
      <c r="D120" s="98">
        <f>VLOOKUP(A120,'Point Allocation'!$A$20:$J$41,MATCH(A7,'Point Allocation'!$A$20:$J$20,0),0)</f>
        <v>10</v>
      </c>
      <c r="E120" s="89">
        <f>F91</f>
        <v>0</v>
      </c>
      <c r="F120" s="89">
        <f>F29</f>
        <v>0</v>
      </c>
      <c r="G120" s="91">
        <f>IFERROR(SUM(E120:F120)/SUM($E$138:$F$138),0)</f>
        <v>0</v>
      </c>
      <c r="H120" s="433">
        <f>D120*G120</f>
        <v>0</v>
      </c>
      <c r="R120" s="53"/>
      <c r="S120" s="45"/>
    </row>
    <row r="121" spans="1:19" s="29" customFormat="1" ht="15.6">
      <c r="A121" s="434">
        <v>8</v>
      </c>
      <c r="B121" s="92" t="s">
        <v>339</v>
      </c>
      <c r="C121" s="93"/>
      <c r="D121" s="94"/>
      <c r="E121" s="95"/>
      <c r="F121" s="95"/>
      <c r="G121" s="96"/>
      <c r="H121" s="435"/>
      <c r="R121" s="53"/>
      <c r="S121" s="45"/>
    </row>
    <row r="122" spans="1:19" s="29" customFormat="1">
      <c r="A122" s="849">
        <v>8.1</v>
      </c>
      <c r="B122" s="844" t="s">
        <v>337</v>
      </c>
      <c r="C122" s="845"/>
      <c r="D122" s="925">
        <f>VLOOKUP(A122,'Point Allocation'!$A$20:$J$41,MATCH(A7,'Point Allocation'!$A$20:$J$20,0),0)</f>
        <v>8</v>
      </c>
      <c r="E122" s="927">
        <f>F93</f>
        <v>0</v>
      </c>
      <c r="F122" s="859"/>
      <c r="G122" s="860">
        <f>IFERROR(SUM(E122:F123)/SUM($E$138:$F$138),0)</f>
        <v>0</v>
      </c>
      <c r="H122" s="921">
        <f>D122*G122</f>
        <v>0</v>
      </c>
      <c r="R122" s="53"/>
      <c r="S122" s="45"/>
    </row>
    <row r="123" spans="1:19" s="29" customFormat="1" ht="15.6">
      <c r="A123" s="882"/>
      <c r="B123" s="836" t="s">
        <v>120</v>
      </c>
      <c r="C123" s="838"/>
      <c r="D123" s="926"/>
      <c r="E123" s="927"/>
      <c r="F123" s="859"/>
      <c r="G123" s="861"/>
      <c r="H123" s="921"/>
      <c r="R123" s="53"/>
      <c r="S123" s="45"/>
    </row>
    <row r="124" spans="1:19" s="29" customFormat="1">
      <c r="A124" s="404">
        <v>8.1999999999999993</v>
      </c>
      <c r="B124" s="885" t="s">
        <v>178</v>
      </c>
      <c r="C124" s="884"/>
      <c r="D124" s="98">
        <f>VLOOKUP(A124,'Point Allocation'!$A$20:$J$41,MATCH(A7,'Point Allocation'!$A$20:$J$20,0),0)</f>
        <v>8</v>
      </c>
      <c r="E124" s="189">
        <f>F95</f>
        <v>0</v>
      </c>
      <c r="F124" s="548"/>
      <c r="G124" s="91">
        <f>IFERROR(SUM(E124:F124)/SUM($E$138:$F$138),0)</f>
        <v>0</v>
      </c>
      <c r="H124" s="437">
        <f>D124*G124</f>
        <v>0</v>
      </c>
      <c r="R124" s="53"/>
      <c r="S124" s="45"/>
    </row>
    <row r="125" spans="1:19" s="29" customFormat="1" ht="15.6">
      <c r="A125" s="431">
        <v>9</v>
      </c>
      <c r="B125" s="86" t="s">
        <v>340</v>
      </c>
      <c r="C125" s="93"/>
      <c r="D125" s="95"/>
      <c r="E125" s="95"/>
      <c r="F125" s="95"/>
      <c r="G125" s="96"/>
      <c r="H125" s="436"/>
      <c r="R125" s="53"/>
      <c r="S125" s="45"/>
    </row>
    <row r="126" spans="1:19" s="29" customFormat="1">
      <c r="A126" s="849">
        <v>9.1</v>
      </c>
      <c r="B126" s="844" t="s">
        <v>381</v>
      </c>
      <c r="C126" s="845"/>
      <c r="D126" s="925">
        <f>VLOOKUP(A126,'Point Allocation'!$A$20:$J$41,MATCH(A7,'Point Allocation'!$A$20:$J$20,0),0)</f>
        <v>6</v>
      </c>
      <c r="E126" s="859"/>
      <c r="F126" s="859"/>
      <c r="G126" s="914">
        <f>IFERROR(SUM(E126:F127)/SUM($E$138:$F$138),0)</f>
        <v>0</v>
      </c>
      <c r="H126" s="921">
        <f>D126*G126</f>
        <v>0</v>
      </c>
      <c r="R126" s="53"/>
      <c r="S126" s="45"/>
    </row>
    <row r="127" spans="1:19" s="29" customFormat="1" ht="15.6">
      <c r="A127" s="882"/>
      <c r="B127" s="836" t="s">
        <v>5</v>
      </c>
      <c r="C127" s="838"/>
      <c r="D127" s="926"/>
      <c r="E127" s="859"/>
      <c r="F127" s="859"/>
      <c r="G127" s="914"/>
      <c r="H127" s="921"/>
      <c r="R127" s="53"/>
      <c r="S127" s="45"/>
    </row>
    <row r="128" spans="1:19" s="29" customFormat="1" ht="15.6">
      <c r="A128" s="431">
        <v>10</v>
      </c>
      <c r="B128" s="86" t="s">
        <v>342</v>
      </c>
      <c r="C128" s="93"/>
      <c r="D128" s="95"/>
      <c r="E128" s="95"/>
      <c r="F128" s="95"/>
      <c r="G128" s="96"/>
      <c r="H128" s="436"/>
      <c r="R128" s="53"/>
      <c r="S128" s="45"/>
    </row>
    <row r="129" spans="1:19" s="29" customFormat="1" ht="15" customHeight="1">
      <c r="A129" s="409">
        <v>10.1</v>
      </c>
      <c r="B129" s="844" t="s">
        <v>382</v>
      </c>
      <c r="C129" s="845"/>
      <c r="D129" s="98">
        <f>VLOOKUP(A129,'Point Allocation'!$A$20:$J$41,MATCH(A7,'Point Allocation'!$A$20:$J$20,0),0)</f>
        <v>4</v>
      </c>
      <c r="E129" s="548"/>
      <c r="F129" s="548"/>
      <c r="G129" s="91">
        <f>IFERROR(SUM(E129:F129)/SUM($E$138:$F$138),0)</f>
        <v>0</v>
      </c>
      <c r="H129" s="437">
        <f>D129*G129</f>
        <v>0</v>
      </c>
      <c r="R129" s="53"/>
      <c r="S129" s="45"/>
    </row>
    <row r="130" spans="1:19" s="29" customFormat="1" ht="32.25" customHeight="1">
      <c r="A130" s="406">
        <v>10.199999999999999</v>
      </c>
      <c r="B130" s="928" t="s">
        <v>353</v>
      </c>
      <c r="C130" s="929"/>
      <c r="D130" s="98">
        <f>VLOOKUP(A130,'Point Allocation'!$A$20:$J$41,MATCH(A7,'Point Allocation'!$A$20:$J$20,0),0)</f>
        <v>4</v>
      </c>
      <c r="E130" s="188"/>
      <c r="F130" s="548"/>
      <c r="G130" s="538">
        <f>IFERROR(SUM(E130:F130)/SUM($E$138:$F$138),0)</f>
        <v>0</v>
      </c>
      <c r="H130" s="437">
        <f>D130*G130</f>
        <v>0</v>
      </c>
      <c r="R130" s="53"/>
      <c r="S130" s="45"/>
    </row>
    <row r="131" spans="1:19" s="29" customFormat="1" ht="15.6">
      <c r="A131" s="439" t="s">
        <v>239</v>
      </c>
      <c r="B131" s="99" t="s">
        <v>262</v>
      </c>
      <c r="C131" s="100"/>
      <c r="D131" s="102"/>
      <c r="E131" s="103"/>
      <c r="F131" s="103"/>
      <c r="G131" s="104"/>
      <c r="H131" s="440"/>
      <c r="R131" s="53"/>
      <c r="S131" s="45"/>
    </row>
    <row r="132" spans="1:19" s="29" customFormat="1" ht="15.6">
      <c r="A132" s="431">
        <v>11</v>
      </c>
      <c r="B132" s="86" t="s">
        <v>263</v>
      </c>
      <c r="C132" s="93"/>
      <c r="D132" s="95"/>
      <c r="E132" s="95"/>
      <c r="F132" s="95"/>
      <c r="G132" s="96"/>
      <c r="H132" s="436"/>
      <c r="R132" s="53"/>
      <c r="S132" s="45"/>
    </row>
    <row r="133" spans="1:19" s="29" customFormat="1">
      <c r="A133" s="409">
        <v>11.1</v>
      </c>
      <c r="B133" s="844" t="s">
        <v>593</v>
      </c>
      <c r="C133" s="845"/>
      <c r="D133" s="98">
        <f>VLOOKUP(A133,'Point Allocation'!$A$20:$J$41,MATCH(A7,'Point Allocation'!$A$20:$J$20,0),0)</f>
        <v>2</v>
      </c>
      <c r="E133" s="548"/>
      <c r="F133" s="548"/>
      <c r="G133" s="538">
        <f>IFERROR(SUM(E133:F133)/SUM($E$138:$F$138),0)</f>
        <v>0</v>
      </c>
      <c r="H133" s="437">
        <f t="shared" ref="H133:H137" si="2">D133*G133</f>
        <v>0</v>
      </c>
      <c r="R133" s="53"/>
      <c r="S133" s="45"/>
    </row>
    <row r="134" spans="1:19" s="29" customFormat="1">
      <c r="A134" s="446">
        <v>11.2</v>
      </c>
      <c r="B134" s="874" t="s">
        <v>344</v>
      </c>
      <c r="C134" s="875"/>
      <c r="D134" s="189">
        <f>VLOOKUP(A133,'Point Allocation'!$A$20:$J$41,MATCH(A7,'Point Allocation'!$A$20:$J$20,0),0)</f>
        <v>2</v>
      </c>
      <c r="E134" s="548"/>
      <c r="F134" s="548"/>
      <c r="G134" s="538">
        <f>IFERROR(SUM(E134:F134)/SUM($E$138:$F$138),0)</f>
        <v>0</v>
      </c>
      <c r="H134" s="437">
        <f t="shared" si="2"/>
        <v>0</v>
      </c>
      <c r="R134" s="53"/>
      <c r="S134" s="45"/>
    </row>
    <row r="135" spans="1:19" s="29" customFormat="1">
      <c r="A135" s="409">
        <v>11.3</v>
      </c>
      <c r="B135" s="874" t="s">
        <v>352</v>
      </c>
      <c r="C135" s="875"/>
      <c r="D135" s="98">
        <f>VLOOKUP(A135,'Point Allocation'!$A$20:$J$41,MATCH(A7,'Point Allocation'!$A$20:$J$20,0),0)</f>
        <v>0</v>
      </c>
      <c r="E135" s="548"/>
      <c r="F135" s="548"/>
      <c r="G135" s="538">
        <f>IFERROR(SUM(E135:F135)/SUM($E$138:$F$138),0)</f>
        <v>0</v>
      </c>
      <c r="H135" s="437">
        <f t="shared" si="2"/>
        <v>0</v>
      </c>
      <c r="R135" s="53"/>
      <c r="S135" s="45"/>
    </row>
    <row r="136" spans="1:19" s="29" customFormat="1">
      <c r="A136" s="447">
        <v>11.4</v>
      </c>
      <c r="B136" s="866"/>
      <c r="C136" s="867"/>
      <c r="D136" s="537"/>
      <c r="E136" s="548"/>
      <c r="F136" s="548"/>
      <c r="G136" s="538">
        <f>IFERROR(SUM(E136:F136)/SUM($E$138:$F$138),0)</f>
        <v>0</v>
      </c>
      <c r="H136" s="437">
        <f t="shared" si="2"/>
        <v>0</v>
      </c>
      <c r="R136" s="53"/>
      <c r="S136" s="45"/>
    </row>
    <row r="137" spans="1:19" s="29" customFormat="1">
      <c r="A137" s="447">
        <v>11.5</v>
      </c>
      <c r="B137" s="866"/>
      <c r="C137" s="867"/>
      <c r="D137" s="537"/>
      <c r="E137" s="548"/>
      <c r="F137" s="548"/>
      <c r="G137" s="538">
        <f>IFERROR(SUM(E137:F137)/SUM($E$138:$F$138),0)</f>
        <v>0</v>
      </c>
      <c r="H137" s="437">
        <f t="shared" si="2"/>
        <v>0</v>
      </c>
      <c r="R137" s="53"/>
      <c r="S137" s="45"/>
    </row>
    <row r="138" spans="1:19" s="29" customFormat="1" ht="15.6">
      <c r="A138" s="412"/>
      <c r="B138" s="325"/>
      <c r="C138" s="323"/>
      <c r="D138" s="330" t="s">
        <v>140</v>
      </c>
      <c r="E138" s="333">
        <f>SUM(E120:E137)</f>
        <v>0</v>
      </c>
      <c r="F138" s="335">
        <f>SUM(F120:F137)</f>
        <v>0</v>
      </c>
      <c r="G138" s="336">
        <f>SUM(G120:G137)</f>
        <v>0</v>
      </c>
      <c r="H138" s="448">
        <f>IFERROR(SUM(H120:H137),0)</f>
        <v>0</v>
      </c>
      <c r="R138" s="53"/>
      <c r="S138" s="45"/>
    </row>
    <row r="139" spans="1:19" s="29" customFormat="1">
      <c r="A139" s="414"/>
      <c r="B139" s="325"/>
      <c r="C139" s="323"/>
      <c r="D139" s="323"/>
      <c r="E139" s="323"/>
      <c r="F139" s="323"/>
      <c r="G139" s="332"/>
      <c r="H139" s="388"/>
      <c r="R139" s="53"/>
      <c r="S139" s="45"/>
    </row>
    <row r="140" spans="1:19" s="29" customFormat="1" ht="46.8">
      <c r="A140" s="868" t="s">
        <v>0</v>
      </c>
      <c r="B140" s="869"/>
      <c r="C140" s="176"/>
      <c r="D140" s="545" t="s">
        <v>58</v>
      </c>
      <c r="E140" s="545" t="s">
        <v>59</v>
      </c>
      <c r="F140" s="870" t="s">
        <v>60</v>
      </c>
      <c r="G140" s="870"/>
      <c r="H140" s="449" t="s">
        <v>63</v>
      </c>
      <c r="K140" s="107" t="s">
        <v>72</v>
      </c>
      <c r="L140" s="107">
        <v>1</v>
      </c>
      <c r="M140" s="107">
        <v>2</v>
      </c>
      <c r="N140" s="107">
        <v>3</v>
      </c>
      <c r="O140" s="107">
        <v>4</v>
      </c>
      <c r="P140" s="107">
        <v>5</v>
      </c>
      <c r="Q140" s="107">
        <v>6</v>
      </c>
      <c r="R140" s="53"/>
      <c r="S140" s="45"/>
    </row>
    <row r="141" spans="1:19" s="29" customFormat="1" ht="15.6">
      <c r="A141" s="450" t="s">
        <v>240</v>
      </c>
      <c r="B141" s="130" t="s">
        <v>148</v>
      </c>
      <c r="C141" s="175"/>
      <c r="D141" s="57"/>
      <c r="E141" s="57"/>
      <c r="F141" s="58"/>
      <c r="G141" s="108"/>
      <c r="H141" s="451"/>
      <c r="K141" s="107" t="s">
        <v>74</v>
      </c>
      <c r="L141" s="107" t="s">
        <v>73</v>
      </c>
      <c r="M141" s="107">
        <v>1</v>
      </c>
      <c r="N141" s="107">
        <v>2</v>
      </c>
      <c r="O141" s="107">
        <v>3</v>
      </c>
      <c r="P141" s="107">
        <v>4</v>
      </c>
      <c r="Q141" s="107">
        <v>4</v>
      </c>
      <c r="R141" s="53"/>
      <c r="S141" s="45"/>
    </row>
    <row r="142" spans="1:19" s="29" customFormat="1">
      <c r="A142" s="391" t="s">
        <v>241</v>
      </c>
      <c r="B142" s="520" t="s">
        <v>442</v>
      </c>
      <c r="C142" s="177" t="s">
        <v>56</v>
      </c>
      <c r="D142" s="854"/>
      <c r="E142" s="854"/>
      <c r="F142" s="892" t="str">
        <f>IF(D142&gt;9,D142/E142," ")</f>
        <v xml:space="preserve"> </v>
      </c>
      <c r="G142" s="892"/>
      <c r="H142" s="437">
        <f>IF(D142="",0,IF(D142&lt;9,2,IF((D142/E142)=0,2,IF((D142/E142)&lt;10%,1.5,IF((D142/E142)&lt;15%,1,IF((D142/E142)&lt;20%,0.5,0))))))</f>
        <v>0</v>
      </c>
      <c r="K142" s="107" t="s">
        <v>75</v>
      </c>
      <c r="L142" s="107" t="s">
        <v>73</v>
      </c>
      <c r="M142" s="107">
        <v>5</v>
      </c>
      <c r="N142" s="107">
        <v>15</v>
      </c>
      <c r="O142" s="107">
        <v>25</v>
      </c>
      <c r="P142" s="107">
        <v>35</v>
      </c>
      <c r="Q142" s="107">
        <v>35</v>
      </c>
      <c r="R142" s="53"/>
      <c r="S142" s="45"/>
    </row>
    <row r="143" spans="1:19" s="29" customFormat="1">
      <c r="A143" s="391" t="s">
        <v>242</v>
      </c>
      <c r="B143" s="520" t="s">
        <v>443</v>
      </c>
      <c r="C143" s="177" t="s">
        <v>57</v>
      </c>
      <c r="D143" s="854"/>
      <c r="E143" s="854"/>
      <c r="F143" s="893"/>
      <c r="G143" s="893"/>
      <c r="H143" s="437">
        <f>IF(E142="",0,IF(E142&lt;15,HLOOKUP(F143,K140:Q147,4,FALSE),IF(E142&lt;45,HLOOKUP(F143,K140:Q147,5,FALSE),IF(E142&lt;90,HLOOKUP(F143,K140:Q147,6,FALSE),IF(E142&lt;135,HLOOKUP(F143,K140:Q147,7,FALSE),IF(E142&gt;=135,HLOOKUP(F143,K140:Q147,8,FALSE),3))))))</f>
        <v>0</v>
      </c>
      <c r="J143" s="55"/>
      <c r="K143" s="107" t="s">
        <v>76</v>
      </c>
      <c r="L143" s="107">
        <v>3</v>
      </c>
      <c r="M143" s="107">
        <v>3</v>
      </c>
      <c r="N143" s="107">
        <v>3</v>
      </c>
      <c r="O143" s="107">
        <v>2.5</v>
      </c>
      <c r="P143" s="107">
        <v>1.5</v>
      </c>
      <c r="Q143" s="107">
        <v>0</v>
      </c>
      <c r="R143" s="53"/>
      <c r="S143" s="45"/>
    </row>
    <row r="144" spans="1:19" s="29" customFormat="1">
      <c r="A144" s="412"/>
      <c r="B144" s="325"/>
      <c r="C144" s="332"/>
      <c r="D144" s="337"/>
      <c r="E144" s="337"/>
      <c r="F144" s="337"/>
      <c r="G144" s="337"/>
      <c r="H144" s="452"/>
      <c r="J144" s="55"/>
      <c r="K144" s="107" t="s">
        <v>77</v>
      </c>
      <c r="L144" s="107">
        <v>3</v>
      </c>
      <c r="M144" s="107">
        <v>3</v>
      </c>
      <c r="N144" s="107">
        <v>2.5</v>
      </c>
      <c r="O144" s="107">
        <v>1.5</v>
      </c>
      <c r="P144" s="107">
        <v>1</v>
      </c>
      <c r="Q144" s="107">
        <v>0</v>
      </c>
      <c r="R144" s="53"/>
      <c r="S144" s="45"/>
    </row>
    <row r="145" spans="1:19" s="29" customFormat="1" ht="15.6">
      <c r="A145" s="412"/>
      <c r="B145" s="338"/>
      <c r="C145" s="332"/>
      <c r="D145" s="332"/>
      <c r="E145" s="332"/>
      <c r="F145" s="323"/>
      <c r="G145" s="339"/>
      <c r="H145" s="453"/>
      <c r="J145" s="55"/>
      <c r="K145" s="107" t="s">
        <v>78</v>
      </c>
      <c r="L145" s="107">
        <v>3</v>
      </c>
      <c r="M145" s="107">
        <v>2.5</v>
      </c>
      <c r="N145" s="107">
        <v>1.5</v>
      </c>
      <c r="O145" s="107">
        <v>1</v>
      </c>
      <c r="P145" s="107">
        <v>0</v>
      </c>
      <c r="Q145" s="107">
        <v>0</v>
      </c>
      <c r="R145" s="53"/>
      <c r="S145" s="45"/>
    </row>
    <row r="146" spans="1:19" s="29" customFormat="1" ht="15.75" customHeight="1">
      <c r="A146" s="876" t="s">
        <v>0</v>
      </c>
      <c r="B146" s="877"/>
      <c r="C146" s="991"/>
      <c r="D146" s="880" t="s">
        <v>4</v>
      </c>
      <c r="E146" s="895" t="s">
        <v>1</v>
      </c>
      <c r="F146" s="881"/>
      <c r="G146" s="896" t="s">
        <v>21</v>
      </c>
      <c r="H146" s="890" t="s">
        <v>63</v>
      </c>
      <c r="J146" s="55"/>
      <c r="K146" s="107" t="s">
        <v>79</v>
      </c>
      <c r="L146" s="107">
        <v>3</v>
      </c>
      <c r="M146" s="107">
        <v>1.5</v>
      </c>
      <c r="N146" s="107">
        <v>1</v>
      </c>
      <c r="O146" s="107">
        <v>0</v>
      </c>
      <c r="P146" s="107">
        <v>0</v>
      </c>
      <c r="Q146" s="107">
        <v>0</v>
      </c>
      <c r="R146" s="53"/>
      <c r="S146" s="45"/>
    </row>
    <row r="147" spans="1:19" s="29" customFormat="1" ht="30" customHeight="1">
      <c r="A147" s="878"/>
      <c r="B147" s="879"/>
      <c r="C147" s="992"/>
      <c r="D147" s="881"/>
      <c r="E147" s="545" t="s">
        <v>65</v>
      </c>
      <c r="F147" s="545" t="s">
        <v>66</v>
      </c>
      <c r="G147" s="897"/>
      <c r="H147" s="891"/>
      <c r="J147" s="55"/>
      <c r="K147" s="107" t="s">
        <v>80</v>
      </c>
      <c r="L147" s="107">
        <v>3</v>
      </c>
      <c r="M147" s="107">
        <v>1</v>
      </c>
      <c r="N147" s="107">
        <v>0</v>
      </c>
      <c r="O147" s="107">
        <v>0</v>
      </c>
      <c r="P147" s="107">
        <v>0</v>
      </c>
      <c r="Q147" s="107">
        <v>0</v>
      </c>
      <c r="R147" s="53"/>
      <c r="S147" s="45"/>
    </row>
    <row r="148" spans="1:19" s="29" customFormat="1" ht="15.6">
      <c r="A148" s="454" t="s">
        <v>243</v>
      </c>
      <c r="B148" s="109" t="s">
        <v>264</v>
      </c>
      <c r="C148" s="110"/>
      <c r="D148" s="110"/>
      <c r="E148" s="110"/>
      <c r="F148" s="114"/>
      <c r="G148" s="115"/>
      <c r="H148" s="455"/>
      <c r="K148" s="107" t="s">
        <v>74</v>
      </c>
      <c r="L148" s="107" t="s">
        <v>73</v>
      </c>
      <c r="M148" s="107">
        <v>1</v>
      </c>
      <c r="N148" s="107">
        <v>2</v>
      </c>
      <c r="O148" s="107">
        <v>3</v>
      </c>
      <c r="P148" s="107">
        <v>4</v>
      </c>
      <c r="Q148" s="107">
        <v>4</v>
      </c>
      <c r="R148" s="53"/>
      <c r="S148" s="45"/>
    </row>
    <row r="149" spans="1:19" s="29" customFormat="1" ht="15.6">
      <c r="A149" s="456" t="s">
        <v>244</v>
      </c>
      <c r="B149" s="158" t="s">
        <v>231</v>
      </c>
      <c r="C149" s="159"/>
      <c r="D149" s="160"/>
      <c r="E149" s="161"/>
      <c r="F149" s="161"/>
      <c r="G149" s="162"/>
      <c r="H149" s="457"/>
      <c r="J149" s="55"/>
      <c r="R149" s="53"/>
      <c r="S149" s="45"/>
    </row>
    <row r="150" spans="1:19" s="29" customFormat="1">
      <c r="A150" s="418" t="s">
        <v>245</v>
      </c>
      <c r="B150" s="885" t="s">
        <v>424</v>
      </c>
      <c r="C150" s="884"/>
      <c r="D150" s="163" t="s">
        <v>51</v>
      </c>
      <c r="E150" s="541">
        <v>2</v>
      </c>
      <c r="F150" s="541">
        <v>3</v>
      </c>
      <c r="G150" s="27"/>
      <c r="H150" s="405">
        <f t="shared" ref="H150:H159" si="3">IF(G150&gt;=80%,F150,IF(G150&lt;65%,0,E150))</f>
        <v>0</v>
      </c>
      <c r="R150" s="53"/>
      <c r="S150" s="45"/>
    </row>
    <row r="151" spans="1:19" s="29" customFormat="1">
      <c r="A151" s="418" t="s">
        <v>246</v>
      </c>
      <c r="B151" s="844" t="s">
        <v>423</v>
      </c>
      <c r="C151" s="845"/>
      <c r="D151" s="164" t="s">
        <v>51</v>
      </c>
      <c r="E151" s="20">
        <v>2</v>
      </c>
      <c r="F151" s="20">
        <v>3</v>
      </c>
      <c r="G151" s="547"/>
      <c r="H151" s="405">
        <f>IF(G151&gt;=80%,F151,IF(G151&lt;65%,0,E151))</f>
        <v>0</v>
      </c>
      <c r="R151" s="53"/>
      <c r="S151" s="45"/>
    </row>
    <row r="152" spans="1:19" s="29" customFormat="1" ht="30">
      <c r="A152" s="839" t="s">
        <v>247</v>
      </c>
      <c r="B152" s="915" t="s">
        <v>448</v>
      </c>
      <c r="C152" s="916"/>
      <c r="D152" s="521" t="s">
        <v>446</v>
      </c>
      <c r="E152" s="907">
        <v>2.5</v>
      </c>
      <c r="F152" s="908"/>
      <c r="G152" s="940"/>
      <c r="H152" s="938">
        <f>IF(G152&gt;=35,E153,IF(G152&gt;=30,E152,0))</f>
        <v>0</v>
      </c>
      <c r="R152" s="53"/>
      <c r="S152" s="45"/>
    </row>
    <row r="153" spans="1:19" s="29" customFormat="1" ht="30">
      <c r="A153" s="841"/>
      <c r="B153" s="917"/>
      <c r="C153" s="918"/>
      <c r="D153" s="521" t="s">
        <v>447</v>
      </c>
      <c r="E153" s="907">
        <v>3</v>
      </c>
      <c r="F153" s="908"/>
      <c r="G153" s="941"/>
      <c r="H153" s="939"/>
      <c r="R153" s="53"/>
      <c r="S153" s="45"/>
    </row>
    <row r="154" spans="1:19" s="29" customFormat="1" ht="31.5" customHeight="1">
      <c r="A154" s="839" t="s">
        <v>248</v>
      </c>
      <c r="B154" s="915" t="s">
        <v>449</v>
      </c>
      <c r="C154" s="933"/>
      <c r="D154" s="165" t="s">
        <v>372</v>
      </c>
      <c r="E154" s="864">
        <v>4</v>
      </c>
      <c r="F154" s="865"/>
      <c r="G154" s="942"/>
      <c r="H154" s="945">
        <f>IF(G154&gt;=80,E154,IF(G154&gt;=70,E155,IF(G154&gt;=60,E156,IF(G154&gt;=50,E157,0))))</f>
        <v>0</v>
      </c>
      <c r="I154" s="913"/>
      <c r="R154" s="53"/>
      <c r="S154" s="45"/>
    </row>
    <row r="155" spans="1:19" s="29" customFormat="1" ht="31.5" customHeight="1">
      <c r="A155" s="840"/>
      <c r="B155" s="934"/>
      <c r="C155" s="935"/>
      <c r="D155" s="165" t="s">
        <v>373</v>
      </c>
      <c r="E155" s="864">
        <v>3</v>
      </c>
      <c r="F155" s="865"/>
      <c r="G155" s="943"/>
      <c r="H155" s="946"/>
      <c r="I155" s="913"/>
      <c r="R155" s="53"/>
      <c r="S155" s="45"/>
    </row>
    <row r="156" spans="1:19" s="29" customFormat="1" ht="31.5" customHeight="1">
      <c r="A156" s="840"/>
      <c r="B156" s="934"/>
      <c r="C156" s="935"/>
      <c r="D156" s="165" t="s">
        <v>411</v>
      </c>
      <c r="E156" s="864">
        <v>2</v>
      </c>
      <c r="F156" s="865"/>
      <c r="G156" s="943"/>
      <c r="H156" s="946"/>
      <c r="I156" s="913"/>
      <c r="R156" s="53"/>
      <c r="S156" s="45"/>
    </row>
    <row r="157" spans="1:19" s="29" customFormat="1" ht="31.5" customHeight="1">
      <c r="A157" s="841"/>
      <c r="B157" s="936"/>
      <c r="C157" s="937"/>
      <c r="D157" s="165" t="s">
        <v>412</v>
      </c>
      <c r="E157" s="864">
        <v>1</v>
      </c>
      <c r="F157" s="865"/>
      <c r="G157" s="944"/>
      <c r="H157" s="947"/>
      <c r="I157" s="913"/>
      <c r="R157" s="53"/>
      <c r="S157" s="45"/>
    </row>
    <row r="158" spans="1:19" s="29" customFormat="1" ht="31.5" customHeight="1">
      <c r="A158" s="839" t="s">
        <v>414</v>
      </c>
      <c r="B158" s="915" t="s">
        <v>444</v>
      </c>
      <c r="C158" s="933"/>
      <c r="D158" s="165" t="s">
        <v>67</v>
      </c>
      <c r="E158" s="376">
        <v>3.5</v>
      </c>
      <c r="F158" s="376">
        <v>4</v>
      </c>
      <c r="G158" s="27"/>
      <c r="H158" s="405">
        <f t="shared" si="3"/>
        <v>0</v>
      </c>
      <c r="I158" s="913"/>
      <c r="R158" s="53"/>
      <c r="S158" s="45"/>
    </row>
    <row r="159" spans="1:19" s="29" customFormat="1" ht="30">
      <c r="A159" s="841"/>
      <c r="B159" s="936"/>
      <c r="C159" s="937"/>
      <c r="D159" s="165" t="s">
        <v>68</v>
      </c>
      <c r="E159" s="376">
        <v>2.5</v>
      </c>
      <c r="F159" s="376">
        <v>3</v>
      </c>
      <c r="G159" s="27"/>
      <c r="H159" s="405">
        <f t="shared" si="3"/>
        <v>0</v>
      </c>
      <c r="R159" s="53"/>
      <c r="S159" s="45"/>
    </row>
    <row r="160" spans="1:19" s="29" customFormat="1">
      <c r="A160" s="522" t="s">
        <v>594</v>
      </c>
      <c r="B160" s="999" t="s">
        <v>421</v>
      </c>
      <c r="C160" s="1000"/>
      <c r="D160" s="523" t="s">
        <v>51</v>
      </c>
      <c r="E160" s="551">
        <v>2</v>
      </c>
      <c r="F160" s="551">
        <v>2.5</v>
      </c>
      <c r="G160" s="27"/>
      <c r="H160" s="298">
        <f>IF(G160&gt;=80%,F160,IF(G160&lt;65%,0,E160))</f>
        <v>0</v>
      </c>
      <c r="R160" s="53"/>
      <c r="S160" s="45"/>
    </row>
    <row r="161" spans="1:19" s="29" customFormat="1" ht="15.6">
      <c r="A161" s="431" t="s">
        <v>249</v>
      </c>
      <c r="B161" s="86" t="s">
        <v>299</v>
      </c>
      <c r="C161" s="93"/>
      <c r="D161" s="160"/>
      <c r="E161" s="161"/>
      <c r="F161" s="161"/>
      <c r="G161" s="162"/>
      <c r="H161" s="457"/>
      <c r="I161" s="172"/>
      <c r="R161" s="53"/>
      <c r="S161" s="45"/>
    </row>
    <row r="162" spans="1:19" s="29" customFormat="1" ht="32.25" customHeight="1">
      <c r="A162" s="418" t="s">
        <v>250</v>
      </c>
      <c r="B162" s="936" t="s">
        <v>597</v>
      </c>
      <c r="C162" s="937"/>
      <c r="D162" s="543" t="s">
        <v>51</v>
      </c>
      <c r="E162" s="541">
        <v>2</v>
      </c>
      <c r="F162" s="541">
        <v>2.5</v>
      </c>
      <c r="G162" s="27"/>
      <c r="H162" s="405">
        <f>IF(G162&gt;=80%,F162,IF(G162&lt;65%,0,E162))</f>
        <v>0</v>
      </c>
      <c r="R162" s="53"/>
      <c r="S162" s="45"/>
    </row>
    <row r="163" spans="1:19" s="29" customFormat="1" ht="29.25" customHeight="1">
      <c r="A163" s="418" t="s">
        <v>251</v>
      </c>
      <c r="B163" s="999" t="s">
        <v>445</v>
      </c>
      <c r="C163" s="1000"/>
      <c r="D163" s="543" t="s">
        <v>51</v>
      </c>
      <c r="E163" s="541">
        <v>2</v>
      </c>
      <c r="F163" s="541">
        <v>2.5</v>
      </c>
      <c r="G163" s="27"/>
      <c r="H163" s="405">
        <f>IF(G163&gt;=80%,F163,IF(G163&lt;65%,0,E163))</f>
        <v>0</v>
      </c>
      <c r="R163" s="53"/>
      <c r="S163" s="45"/>
    </row>
    <row r="164" spans="1:19" s="29" customFormat="1" ht="15.6">
      <c r="A164" s="431">
        <v>15</v>
      </c>
      <c r="B164" s="86" t="s">
        <v>278</v>
      </c>
      <c r="C164" s="93"/>
      <c r="D164" s="160"/>
      <c r="E164" s="161"/>
      <c r="F164" s="161"/>
      <c r="G164" s="162"/>
      <c r="H164" s="457"/>
      <c r="I164" s="172"/>
      <c r="R164" s="53"/>
      <c r="S164" s="45"/>
    </row>
    <row r="165" spans="1:19" s="29" customFormat="1">
      <c r="A165" s="839" t="s">
        <v>252</v>
      </c>
      <c r="B165" s="936" t="s">
        <v>297</v>
      </c>
      <c r="C165" s="937"/>
      <c r="D165" s="919" t="s">
        <v>51</v>
      </c>
      <c r="E165" s="910">
        <v>2.5</v>
      </c>
      <c r="F165" s="910">
        <v>4</v>
      </c>
      <c r="G165" s="899"/>
      <c r="H165" s="945">
        <f>IF(G165&gt;=80%,F165,IF(G165&lt;65%,0,E165))</f>
        <v>0</v>
      </c>
      <c r="I165" s="172"/>
      <c r="R165" s="53"/>
      <c r="S165" s="45"/>
    </row>
    <row r="166" spans="1:19" s="29" customFormat="1" ht="15.6">
      <c r="A166" s="841"/>
      <c r="B166" s="998" t="s">
        <v>298</v>
      </c>
      <c r="C166" s="998"/>
      <c r="D166" s="920"/>
      <c r="E166" s="911"/>
      <c r="F166" s="911"/>
      <c r="G166" s="900"/>
      <c r="H166" s="947"/>
      <c r="I166" s="172"/>
      <c r="R166" s="53"/>
      <c r="S166" s="45"/>
    </row>
    <row r="167" spans="1:19" s="29" customFormat="1">
      <c r="A167" s="839" t="s">
        <v>253</v>
      </c>
      <c r="B167" s="885" t="s">
        <v>146</v>
      </c>
      <c r="C167" s="884"/>
      <c r="D167" s="769" t="s">
        <v>51</v>
      </c>
      <c r="E167" s="906">
        <v>2.5</v>
      </c>
      <c r="F167" s="906">
        <v>4</v>
      </c>
      <c r="G167" s="905"/>
      <c r="H167" s="909">
        <f>IF(G167&gt;=80%,F167,IF(G167&lt;65%,0,E167))</f>
        <v>0</v>
      </c>
      <c r="I167" s="172"/>
      <c r="R167" s="53"/>
      <c r="S167" s="45"/>
    </row>
    <row r="168" spans="1:19" s="29" customFormat="1" ht="15.6">
      <c r="A168" s="841"/>
      <c r="B168" s="998" t="s">
        <v>120</v>
      </c>
      <c r="C168" s="998"/>
      <c r="D168" s="769"/>
      <c r="E168" s="906"/>
      <c r="F168" s="906"/>
      <c r="G168" s="905"/>
      <c r="H168" s="909"/>
      <c r="I168" s="172"/>
      <c r="R168" s="53"/>
      <c r="S168" s="45"/>
    </row>
    <row r="169" spans="1:19" s="29" customFormat="1" ht="15.6">
      <c r="A169" s="443">
        <v>16</v>
      </c>
      <c r="B169" s="106" t="s">
        <v>213</v>
      </c>
      <c r="C169" s="93"/>
      <c r="D169" s="93"/>
      <c r="E169" s="95"/>
      <c r="F169" s="95"/>
      <c r="G169" s="96"/>
      <c r="H169" s="436"/>
      <c r="R169" s="60"/>
      <c r="S169" s="45"/>
    </row>
    <row r="170" spans="1:19" s="29" customFormat="1">
      <c r="A170" s="418" t="s">
        <v>255</v>
      </c>
      <c r="B170" s="826"/>
      <c r="C170" s="821"/>
      <c r="D170" s="111"/>
      <c r="E170" s="537"/>
      <c r="F170" s="537"/>
      <c r="G170" s="67"/>
      <c r="H170" s="542">
        <f>IF(G170&gt;=80%,F170,IF(G170&lt;65%,0,E170))</f>
        <v>0</v>
      </c>
      <c r="R170" s="53"/>
      <c r="S170" s="45"/>
    </row>
    <row r="171" spans="1:19" s="29" customFormat="1">
      <c r="A171" s="418" t="s">
        <v>256</v>
      </c>
      <c r="B171" s="826"/>
      <c r="C171" s="821"/>
      <c r="D171" s="111"/>
      <c r="E171" s="537"/>
      <c r="F171" s="537"/>
      <c r="G171" s="67"/>
      <c r="H171" s="542">
        <f>IF(G171&gt;=80%,F171,IF(G171&lt;65%,0,E171))</f>
        <v>0</v>
      </c>
      <c r="R171" s="53"/>
      <c r="S171" s="45"/>
    </row>
    <row r="172" spans="1:19" s="29" customFormat="1">
      <c r="A172" s="418" t="s">
        <v>257</v>
      </c>
      <c r="B172" s="826"/>
      <c r="C172" s="821"/>
      <c r="D172" s="111"/>
      <c r="E172" s="537"/>
      <c r="F172" s="537"/>
      <c r="G172" s="67"/>
      <c r="H172" s="542">
        <f>IF(G172&gt;=80%,F172,IF(G172&lt;65%,0,E172))</f>
        <v>0</v>
      </c>
      <c r="R172" s="53"/>
      <c r="S172" s="45"/>
    </row>
    <row r="173" spans="1:19" s="29" customFormat="1" ht="15.6">
      <c r="A173" s="425"/>
      <c r="B173" s="325"/>
      <c r="C173" s="323"/>
      <c r="D173" s="323"/>
      <c r="E173" s="323"/>
      <c r="F173" s="327"/>
      <c r="G173" s="328" t="s">
        <v>419</v>
      </c>
      <c r="H173" s="458">
        <f>IFERROR((SUM(H142:H172)),0)</f>
        <v>0</v>
      </c>
      <c r="R173" s="53"/>
      <c r="S173" s="45"/>
    </row>
    <row r="174" spans="1:19" s="29" customFormat="1" ht="15.6" thickBot="1">
      <c r="A174" s="491"/>
      <c r="B174" s="492"/>
      <c r="C174" s="493"/>
      <c r="D174" s="493"/>
      <c r="E174" s="493"/>
      <c r="F174" s="493"/>
      <c r="G174" s="480"/>
      <c r="H174" s="639"/>
      <c r="R174" s="53"/>
      <c r="S174" s="45"/>
    </row>
    <row r="175" spans="1:19" s="29" customFormat="1" ht="30.75" customHeight="1">
      <c r="A175" s="995" t="s">
        <v>0</v>
      </c>
      <c r="B175" s="996"/>
      <c r="C175" s="997"/>
      <c r="D175" s="1011" t="s">
        <v>4</v>
      </c>
      <c r="E175" s="902" t="s">
        <v>1</v>
      </c>
      <c r="F175" s="903"/>
      <c r="G175" s="898" t="s">
        <v>21</v>
      </c>
      <c r="H175" s="888" t="s">
        <v>63</v>
      </c>
      <c r="R175" s="53"/>
      <c r="S175" s="45"/>
    </row>
    <row r="176" spans="1:19" s="29" customFormat="1" ht="15.6">
      <c r="A176" s="878"/>
      <c r="B176" s="879"/>
      <c r="C176" s="992"/>
      <c r="D176" s="1012"/>
      <c r="E176" s="545" t="s">
        <v>121</v>
      </c>
      <c r="F176" s="545" t="s">
        <v>122</v>
      </c>
      <c r="G176" s="870"/>
      <c r="H176" s="889"/>
      <c r="R176" s="53"/>
      <c r="S176" s="45"/>
    </row>
    <row r="177" spans="1:19" s="29" customFormat="1" ht="15.6">
      <c r="A177" s="450" t="s">
        <v>254</v>
      </c>
      <c r="B177" s="109" t="s">
        <v>258</v>
      </c>
      <c r="C177" s="110"/>
      <c r="D177" s="110"/>
      <c r="E177" s="110"/>
      <c r="F177" s="114"/>
      <c r="G177" s="115"/>
      <c r="H177" s="455"/>
      <c r="R177" s="53"/>
      <c r="S177" s="45"/>
    </row>
    <row r="178" spans="1:19" s="29" customFormat="1">
      <c r="A178" s="391" t="s">
        <v>300</v>
      </c>
      <c r="B178" s="885" t="s">
        <v>259</v>
      </c>
      <c r="C178" s="886"/>
      <c r="D178" s="5" t="s">
        <v>51</v>
      </c>
      <c r="E178" s="20">
        <v>-1</v>
      </c>
      <c r="F178" s="20">
        <v>-2</v>
      </c>
      <c r="G178" s="28"/>
      <c r="H178" s="405">
        <f>IF(G178&gt;=30%,F178,IF(G178=0%,0,E178))</f>
        <v>0</v>
      </c>
      <c r="R178" s="53"/>
      <c r="S178" s="45"/>
    </row>
    <row r="179" spans="1:19" s="29" customFormat="1">
      <c r="A179" s="391" t="s">
        <v>301</v>
      </c>
      <c r="B179" s="885" t="s">
        <v>260</v>
      </c>
      <c r="C179" s="886"/>
      <c r="D179" s="5" t="s">
        <v>51</v>
      </c>
      <c r="E179" s="20">
        <v>-1</v>
      </c>
      <c r="F179" s="20">
        <v>-1.5</v>
      </c>
      <c r="G179" s="28"/>
      <c r="H179" s="405">
        <f>IF(G179&gt;=30%,F179,IF(G179=0%,0,E179))</f>
        <v>0</v>
      </c>
      <c r="R179" s="53"/>
      <c r="S179" s="45"/>
    </row>
    <row r="180" spans="1:19" s="29" customFormat="1">
      <c r="A180" s="391" t="s">
        <v>302</v>
      </c>
      <c r="B180" s="885" t="s">
        <v>261</v>
      </c>
      <c r="C180" s="886"/>
      <c r="D180" s="5" t="s">
        <v>51</v>
      </c>
      <c r="E180" s="904">
        <v>-1</v>
      </c>
      <c r="F180" s="904"/>
      <c r="G180" s="547"/>
      <c r="H180" s="405">
        <f>IF(G180&gt;0%,E180,0)</f>
        <v>0</v>
      </c>
      <c r="R180" s="53"/>
      <c r="S180" s="45"/>
    </row>
    <row r="181" spans="1:19" s="29" customFormat="1" ht="15.6">
      <c r="A181" s="425"/>
      <c r="B181" s="325"/>
      <c r="C181" s="323"/>
      <c r="D181" s="323"/>
      <c r="E181" s="323"/>
      <c r="F181" s="327"/>
      <c r="G181" s="328" t="s">
        <v>142</v>
      </c>
      <c r="H181" s="458">
        <f>IFERROR(MAX(SUM(H178:H180),-4),0)</f>
        <v>0</v>
      </c>
      <c r="R181" s="45"/>
      <c r="S181" s="45"/>
    </row>
    <row r="182" spans="1:19" s="29" customFormat="1">
      <c r="A182" s="412"/>
      <c r="B182" s="325"/>
      <c r="C182" s="323"/>
      <c r="D182" s="323"/>
      <c r="E182" s="323"/>
      <c r="F182" s="323"/>
      <c r="G182" s="332"/>
      <c r="H182" s="388"/>
      <c r="R182" s="53"/>
      <c r="S182" s="45"/>
    </row>
    <row r="183" spans="1:19" s="29" customFormat="1" ht="15.6">
      <c r="A183" s="412"/>
      <c r="B183" s="325"/>
      <c r="C183" s="323"/>
      <c r="D183" s="323"/>
      <c r="E183" s="323"/>
      <c r="F183" s="323"/>
      <c r="G183" s="330" t="s">
        <v>141</v>
      </c>
      <c r="H183" s="459">
        <f>IFERROR(MIN(SUM(H115+H138+H173+H181),G86),0)</f>
        <v>0</v>
      </c>
      <c r="R183" s="53"/>
      <c r="S183" s="45"/>
    </row>
    <row r="184" spans="1:19" s="29" customFormat="1" ht="16.2" thickBot="1">
      <c r="A184" s="491"/>
      <c r="B184" s="492"/>
      <c r="C184" s="493"/>
      <c r="D184" s="493"/>
      <c r="E184" s="493"/>
      <c r="F184" s="493"/>
      <c r="G184" s="494"/>
      <c r="H184" s="495"/>
      <c r="R184" s="53"/>
      <c r="S184" s="45"/>
    </row>
    <row r="185" spans="1:19" s="29" customFormat="1" ht="15.6">
      <c r="A185" s="481" t="s">
        <v>64</v>
      </c>
      <c r="B185" s="482"/>
      <c r="C185" s="482"/>
      <c r="D185" s="482"/>
      <c r="E185" s="482"/>
      <c r="F185" s="483" t="s">
        <v>43</v>
      </c>
      <c r="G185" s="484">
        <f>VLOOKUP($A$7,'Manpower allocation'!A4:D11,4,FALSE)*100</f>
        <v>15</v>
      </c>
      <c r="H185" s="485" t="s">
        <v>42</v>
      </c>
      <c r="J185" s="112">
        <f>VLOOKUP($A$7,'Manpower allocation'!A4:D11,4,FALSE)*100</f>
        <v>15</v>
      </c>
      <c r="R185" s="53"/>
      <c r="S185" s="45"/>
    </row>
    <row r="186" spans="1:19" s="29" customFormat="1" ht="15.6">
      <c r="A186" s="412"/>
      <c r="B186" s="331"/>
      <c r="C186" s="323"/>
      <c r="D186" s="323"/>
      <c r="E186" s="323"/>
      <c r="F186" s="323"/>
      <c r="G186" s="332"/>
      <c r="H186" s="388"/>
      <c r="R186" s="53"/>
      <c r="S186" s="45"/>
    </row>
    <row r="187" spans="1:19" s="29" customFormat="1" ht="46.8">
      <c r="A187" s="993" t="s">
        <v>0</v>
      </c>
      <c r="B187" s="994"/>
      <c r="C187" s="113"/>
      <c r="D187" s="539" t="s">
        <v>17</v>
      </c>
      <c r="E187" s="539" t="s">
        <v>125</v>
      </c>
      <c r="F187" s="539" t="s">
        <v>109</v>
      </c>
      <c r="G187" s="539" t="s">
        <v>18</v>
      </c>
      <c r="H187" s="544" t="s">
        <v>63</v>
      </c>
      <c r="R187" s="53"/>
      <c r="S187" s="45"/>
    </row>
    <row r="188" spans="1:19" s="29" customFormat="1" ht="15.6">
      <c r="A188" s="454" t="s">
        <v>265</v>
      </c>
      <c r="B188" s="109" t="s">
        <v>358</v>
      </c>
      <c r="C188" s="110"/>
      <c r="D188" s="110"/>
      <c r="E188" s="110"/>
      <c r="F188" s="114"/>
      <c r="G188" s="115"/>
      <c r="H188" s="455"/>
      <c r="R188" s="53"/>
      <c r="S188" s="45"/>
    </row>
    <row r="189" spans="1:19" s="29" customFormat="1" ht="15.6">
      <c r="A189" s="460">
        <v>1</v>
      </c>
      <c r="B189" s="116" t="s">
        <v>338</v>
      </c>
      <c r="C189" s="117"/>
      <c r="D189" s="118"/>
      <c r="E189" s="118"/>
      <c r="F189" s="118"/>
      <c r="G189" s="118"/>
      <c r="H189" s="461"/>
      <c r="R189" s="53"/>
      <c r="S189" s="45"/>
    </row>
    <row r="190" spans="1:19" s="29" customFormat="1">
      <c r="A190" s="409">
        <v>1.1000000000000001</v>
      </c>
      <c r="B190" s="844" t="s">
        <v>290</v>
      </c>
      <c r="C190" s="845"/>
      <c r="D190" s="20">
        <f>VLOOKUP(A190,'Point Allocation'!$A$46:$J$55,MATCH(A7,'Point Allocation'!$A$46:$J$46,0),0)</f>
        <v>15</v>
      </c>
      <c r="E190" s="38"/>
      <c r="F190" s="38"/>
      <c r="G190" s="31">
        <f>MIN(IFERROR(F190/E190,0),100%)</f>
        <v>0</v>
      </c>
      <c r="H190" s="405">
        <f>D190*G190</f>
        <v>0</v>
      </c>
      <c r="R190" s="53"/>
      <c r="S190" s="45"/>
    </row>
    <row r="191" spans="1:19" s="29" customFormat="1" ht="15.6">
      <c r="A191" s="462">
        <v>2</v>
      </c>
      <c r="B191" s="119" t="s">
        <v>339</v>
      </c>
      <c r="C191" s="120"/>
      <c r="D191" s="32"/>
      <c r="E191" s="33"/>
      <c r="F191" s="33"/>
      <c r="G191" s="34"/>
      <c r="H191" s="463"/>
      <c r="R191" s="53"/>
      <c r="S191" s="45"/>
    </row>
    <row r="192" spans="1:19" s="29" customFormat="1" ht="33" customHeight="1">
      <c r="A192" s="464">
        <v>2.1</v>
      </c>
      <c r="B192" s="969" t="s">
        <v>266</v>
      </c>
      <c r="C192" s="971"/>
      <c r="D192" s="20">
        <f>VLOOKUP(A192,'Point Allocation'!$A$46:$J$55,MATCH(A7,'Point Allocation'!$A$46:$J$46,0),0)</f>
        <v>12</v>
      </c>
      <c r="E192" s="38"/>
      <c r="F192" s="38"/>
      <c r="G192" s="31">
        <f>MIN(IFERROR(F192/E192,0),100%)</f>
        <v>0</v>
      </c>
      <c r="H192" s="405">
        <f>D192*G192</f>
        <v>0</v>
      </c>
      <c r="R192" s="53"/>
      <c r="S192" s="45"/>
    </row>
    <row r="193" spans="1:19" s="29" customFormat="1" ht="15.6">
      <c r="A193" s="460">
        <v>3</v>
      </c>
      <c r="B193" s="116" t="s">
        <v>343</v>
      </c>
      <c r="C193" s="121"/>
      <c r="D193" s="35"/>
      <c r="E193" s="35"/>
      <c r="F193" s="35"/>
      <c r="G193" s="34"/>
      <c r="H193" s="465"/>
      <c r="R193" s="53"/>
      <c r="S193" s="45"/>
    </row>
    <row r="194" spans="1:19" s="29" customFormat="1">
      <c r="A194" s="466">
        <v>3.1</v>
      </c>
      <c r="B194" s="850" t="s">
        <v>451</v>
      </c>
      <c r="C194" s="851"/>
      <c r="D194" s="20">
        <f>VLOOKUP(A194,'Point Allocation'!$A$46:$J$55,MATCH(A7,'Point Allocation'!$A$46:$J$46,0),0)</f>
        <v>4</v>
      </c>
      <c r="E194" s="38"/>
      <c r="F194" s="38"/>
      <c r="G194" s="31">
        <f>MIN(IFERROR(F194/E194,0),100%)</f>
        <v>0</v>
      </c>
      <c r="H194" s="405">
        <f>D194*G194</f>
        <v>0</v>
      </c>
      <c r="R194" s="53"/>
      <c r="S194" s="45"/>
    </row>
    <row r="195" spans="1:19" s="29" customFormat="1" ht="32.25" customHeight="1">
      <c r="A195" s="466">
        <v>3.2</v>
      </c>
      <c r="B195" s="850" t="s">
        <v>452</v>
      </c>
      <c r="C195" s="851"/>
      <c r="D195" s="20">
        <f>VLOOKUP(A195,'Point Allocation'!$A$46:$J$55,MATCH(A7,'Point Allocation'!$A$46:$J$46,0),0)</f>
        <v>4</v>
      </c>
      <c r="E195" s="178"/>
      <c r="F195" s="38"/>
      <c r="G195" s="31">
        <f>MIN(IFERROR(F195/E195,0),100%)</f>
        <v>0</v>
      </c>
      <c r="H195" s="405">
        <f>D195*G195</f>
        <v>0</v>
      </c>
      <c r="R195" s="53"/>
      <c r="S195" s="45"/>
    </row>
    <row r="196" spans="1:19" s="29" customFormat="1" ht="32.25" customHeight="1">
      <c r="A196" s="404">
        <v>3.3</v>
      </c>
      <c r="B196" s="885" t="s">
        <v>170</v>
      </c>
      <c r="C196" s="886"/>
      <c r="D196" s="20">
        <f>VLOOKUP(A196,'Point Allocation'!$A$46:$J$55,MATCH(A7,'Point Allocation'!$A$46:$J$46,0),0)</f>
        <v>4</v>
      </c>
      <c r="E196" s="179"/>
      <c r="F196" s="536"/>
      <c r="G196" s="31">
        <f>MIN(IFERROR(F196/E196,0),100%)</f>
        <v>0</v>
      </c>
      <c r="H196" s="405">
        <f>D196*G196</f>
        <v>0</v>
      </c>
      <c r="R196" s="53"/>
      <c r="S196" s="45"/>
    </row>
    <row r="197" spans="1:19" s="29" customFormat="1" ht="15.6">
      <c r="A197" s="412"/>
      <c r="B197" s="325"/>
      <c r="C197" s="323"/>
      <c r="D197" s="324" t="s">
        <v>6</v>
      </c>
      <c r="E197" s="300">
        <f>MAX(SUM(E190:E196),F197)</f>
        <v>0</v>
      </c>
      <c r="F197" s="300">
        <f>SUM(F190:F196)</f>
        <v>0</v>
      </c>
      <c r="G197" s="340">
        <f>IFERROR(MIN(F197/E197,100%),0)</f>
        <v>0</v>
      </c>
      <c r="H197" s="413">
        <f>IFERROR(SUM(H190:H196),0)</f>
        <v>0</v>
      </c>
      <c r="R197" s="53"/>
      <c r="S197" s="45"/>
    </row>
    <row r="198" spans="1:19" s="29" customFormat="1" ht="15.6">
      <c r="A198" s="412"/>
      <c r="B198" s="338"/>
      <c r="C198" s="341"/>
      <c r="D198" s="342"/>
      <c r="E198" s="341"/>
      <c r="F198" s="341"/>
      <c r="G198" s="343"/>
      <c r="H198" s="467"/>
      <c r="R198" s="53"/>
      <c r="S198" s="45"/>
    </row>
    <row r="199" spans="1:19" s="29" customFormat="1" ht="15.6">
      <c r="A199" s="993" t="s">
        <v>0</v>
      </c>
      <c r="B199" s="994"/>
      <c r="C199" s="982"/>
      <c r="D199" s="901" t="s">
        <v>4</v>
      </c>
      <c r="E199" s="901" t="s">
        <v>1</v>
      </c>
      <c r="F199" s="901"/>
      <c r="G199" s="894" t="s">
        <v>21</v>
      </c>
      <c r="H199" s="887" t="s">
        <v>63</v>
      </c>
      <c r="R199" s="53"/>
      <c r="S199" s="45"/>
    </row>
    <row r="200" spans="1:19" s="29" customFormat="1" ht="30.75" customHeight="1">
      <c r="A200" s="1007"/>
      <c r="B200" s="1008"/>
      <c r="C200" s="983"/>
      <c r="D200" s="901"/>
      <c r="E200" s="539" t="s">
        <v>65</v>
      </c>
      <c r="F200" s="539" t="s">
        <v>66</v>
      </c>
      <c r="G200" s="894"/>
      <c r="H200" s="887"/>
      <c r="R200" s="53"/>
      <c r="S200" s="45"/>
    </row>
    <row r="201" spans="1:19" s="29" customFormat="1" ht="15.6">
      <c r="A201" s="415" t="s">
        <v>271</v>
      </c>
      <c r="B201" s="46" t="s">
        <v>272</v>
      </c>
      <c r="C201" s="57"/>
      <c r="D201" s="57"/>
      <c r="E201" s="57"/>
      <c r="F201" s="58"/>
      <c r="G201" s="108"/>
      <c r="H201" s="451"/>
      <c r="R201" s="53"/>
      <c r="S201" s="45"/>
    </row>
    <row r="202" spans="1:19" s="29" customFormat="1" ht="15.6">
      <c r="A202" s="468">
        <v>4</v>
      </c>
      <c r="B202" s="122" t="s">
        <v>341</v>
      </c>
      <c r="C202" s="120"/>
      <c r="D202" s="123"/>
      <c r="E202" s="124"/>
      <c r="F202" s="124"/>
      <c r="G202" s="125"/>
      <c r="H202" s="469"/>
      <c r="R202" s="53"/>
      <c r="S202" s="45"/>
    </row>
    <row r="203" spans="1:19" s="29" customFormat="1">
      <c r="A203" s="409">
        <v>4.0999999999999996</v>
      </c>
      <c r="B203" s="844" t="s">
        <v>164</v>
      </c>
      <c r="C203" s="845"/>
      <c r="D203" s="5" t="s">
        <v>51</v>
      </c>
      <c r="E203" s="20" t="s">
        <v>50</v>
      </c>
      <c r="F203" s="20">
        <f>VLOOKUP(A203,'Point Allocation'!$A$46:$J$55,MATCH(A7,'Point Allocation'!$A$46:$J$46,0),0)</f>
        <v>1.5</v>
      </c>
      <c r="G203" s="547"/>
      <c r="H203" s="405">
        <f>IF(G203&gt;=80%,F203,0)</f>
        <v>0</v>
      </c>
      <c r="R203" s="53"/>
      <c r="S203" s="45"/>
    </row>
    <row r="204" spans="1:19" s="29" customFormat="1">
      <c r="A204" s="409">
        <v>4.2</v>
      </c>
      <c r="B204" s="844" t="s">
        <v>161</v>
      </c>
      <c r="C204" s="845"/>
      <c r="D204" s="5" t="s">
        <v>51</v>
      </c>
      <c r="E204" s="20" t="s">
        <v>50</v>
      </c>
      <c r="F204" s="20">
        <f>VLOOKUP(A204,'Point Allocation'!$A$46:$J$55,MATCH(A7,'Point Allocation'!$A$46:$J$46,0),0)</f>
        <v>1.5</v>
      </c>
      <c r="G204" s="547"/>
      <c r="H204" s="405">
        <f>IF(G204&gt;=80%,F204,0)</f>
        <v>0</v>
      </c>
      <c r="R204" s="53"/>
      <c r="S204" s="45"/>
    </row>
    <row r="205" spans="1:19" s="29" customFormat="1">
      <c r="A205" s="409">
        <v>4.3</v>
      </c>
      <c r="B205" s="844" t="s">
        <v>155</v>
      </c>
      <c r="C205" s="845"/>
      <c r="D205" s="5" t="s">
        <v>3</v>
      </c>
      <c r="E205" s="20" t="s">
        <v>50</v>
      </c>
      <c r="F205" s="20">
        <f>VLOOKUP(A205,'Point Allocation'!$A$46:$J$55,MATCH(A7,'Point Allocation'!$A$46:$J$46,0),0)</f>
        <v>1.5</v>
      </c>
      <c r="G205" s="547"/>
      <c r="H205" s="405">
        <f>IF(G205&gt;=80%,F205,0)</f>
        <v>0</v>
      </c>
      <c r="R205" s="53"/>
      <c r="S205" s="45"/>
    </row>
    <row r="206" spans="1:19" s="29" customFormat="1">
      <c r="A206" s="470">
        <v>4.4000000000000004</v>
      </c>
      <c r="B206" s="874" t="s">
        <v>270</v>
      </c>
      <c r="C206" s="875"/>
      <c r="D206" s="5" t="s">
        <v>3</v>
      </c>
      <c r="E206" s="20" t="s">
        <v>50</v>
      </c>
      <c r="F206" s="20">
        <f>VLOOKUP(A206,'Point Allocation'!$A$46:$J$55,MATCH(A7,'Point Allocation'!$A$46:$J$46,0),0)</f>
        <v>1.5</v>
      </c>
      <c r="G206" s="547"/>
      <c r="H206" s="405">
        <f>IF(G206&gt;=80%,F206,0)</f>
        <v>0</v>
      </c>
      <c r="R206" s="53"/>
      <c r="S206" s="45"/>
    </row>
    <row r="207" spans="1:19" s="29" customFormat="1" ht="15.6">
      <c r="A207" s="468">
        <v>5</v>
      </c>
      <c r="B207" s="122" t="s">
        <v>213</v>
      </c>
      <c r="C207" s="120"/>
      <c r="D207" s="126"/>
      <c r="E207" s="127"/>
      <c r="F207" s="127"/>
      <c r="G207" s="128"/>
      <c r="H207" s="471"/>
      <c r="R207" s="53"/>
      <c r="S207" s="45"/>
    </row>
    <row r="208" spans="1:19" s="29" customFormat="1">
      <c r="A208" s="411">
        <v>5.0999999999999996</v>
      </c>
      <c r="B208" s="826"/>
      <c r="C208" s="847"/>
      <c r="D208" s="530"/>
      <c r="E208" s="536"/>
      <c r="F208" s="536"/>
      <c r="G208" s="547"/>
      <c r="H208" s="542">
        <f>IF(G208&gt;=80%,F208,IF(G208&lt;65%,0,E208))</f>
        <v>0</v>
      </c>
      <c r="R208" s="53"/>
      <c r="S208" s="45"/>
    </row>
    <row r="209" spans="1:19" s="29" customFormat="1">
      <c r="A209" s="411">
        <v>5.2</v>
      </c>
      <c r="B209" s="826"/>
      <c r="C209" s="847"/>
      <c r="D209" s="530"/>
      <c r="E209" s="536"/>
      <c r="F209" s="536"/>
      <c r="G209" s="547"/>
      <c r="H209" s="542">
        <f>IF(G209&gt;=80%,F209,IF(G209&lt;65%,0,E209))</f>
        <v>0</v>
      </c>
      <c r="R209" s="53"/>
      <c r="S209" s="45"/>
    </row>
    <row r="210" spans="1:19" s="29" customFormat="1">
      <c r="A210" s="411">
        <v>5.3</v>
      </c>
      <c r="B210" s="826"/>
      <c r="C210" s="847"/>
      <c r="D210" s="530"/>
      <c r="E210" s="536"/>
      <c r="F210" s="536"/>
      <c r="G210" s="547"/>
      <c r="H210" s="542">
        <f>IF(G210&gt;=80%,F210,IF(G210&lt;65%,0,E210))</f>
        <v>0</v>
      </c>
      <c r="R210" s="53"/>
      <c r="S210" s="45"/>
    </row>
    <row r="211" spans="1:19" s="29" customFormat="1" ht="15.6">
      <c r="A211" s="412"/>
      <c r="B211" s="344"/>
      <c r="C211" s="344"/>
      <c r="D211" s="332"/>
      <c r="E211" s="332"/>
      <c r="F211" s="332"/>
      <c r="G211" s="330" t="s">
        <v>7</v>
      </c>
      <c r="H211" s="445">
        <f>IFERROR(SUM(H203:H206,H208:H210),0)</f>
        <v>0</v>
      </c>
      <c r="R211" s="53"/>
      <c r="S211" s="45"/>
    </row>
    <row r="212" spans="1:19" s="29" customFormat="1">
      <c r="A212" s="412"/>
      <c r="B212" s="325"/>
      <c r="C212" s="323"/>
      <c r="D212" s="323"/>
      <c r="E212" s="323"/>
      <c r="F212" s="323"/>
      <c r="G212" s="332"/>
      <c r="H212" s="388"/>
      <c r="R212" s="53"/>
      <c r="S212" s="45"/>
    </row>
    <row r="213" spans="1:19" s="29" customFormat="1" ht="15.6">
      <c r="A213" s="993" t="s">
        <v>0</v>
      </c>
      <c r="B213" s="994"/>
      <c r="C213" s="982"/>
      <c r="D213" s="894" t="s">
        <v>4</v>
      </c>
      <c r="E213" s="901" t="s">
        <v>1</v>
      </c>
      <c r="F213" s="901"/>
      <c r="G213" s="894" t="s">
        <v>21</v>
      </c>
      <c r="H213" s="887" t="s">
        <v>63</v>
      </c>
      <c r="R213" s="53"/>
      <c r="S213" s="45"/>
    </row>
    <row r="214" spans="1:19" s="29" customFormat="1" ht="31.2">
      <c r="A214" s="1007"/>
      <c r="B214" s="1008"/>
      <c r="C214" s="983"/>
      <c r="D214" s="901"/>
      <c r="E214" s="539" t="s">
        <v>65</v>
      </c>
      <c r="F214" s="539" t="s">
        <v>66</v>
      </c>
      <c r="G214" s="894"/>
      <c r="H214" s="887"/>
      <c r="R214" s="53"/>
      <c r="S214" s="45"/>
    </row>
    <row r="215" spans="1:19" s="29" customFormat="1" ht="15.6">
      <c r="A215" s="454" t="s">
        <v>273</v>
      </c>
      <c r="B215" s="109" t="s">
        <v>234</v>
      </c>
      <c r="C215" s="129"/>
      <c r="D215" s="130"/>
      <c r="E215" s="130"/>
      <c r="F215" s="131"/>
      <c r="G215" s="132"/>
      <c r="H215" s="472"/>
      <c r="R215" s="53"/>
      <c r="S215" s="45"/>
    </row>
    <row r="216" spans="1:19" s="29" customFormat="1" ht="15.6">
      <c r="A216" s="391" t="s">
        <v>199</v>
      </c>
      <c r="B216" s="844" t="s">
        <v>274</v>
      </c>
      <c r="C216" s="845"/>
      <c r="D216" s="98" t="s">
        <v>2</v>
      </c>
      <c r="E216" s="98">
        <v>1</v>
      </c>
      <c r="F216" s="98">
        <v>2</v>
      </c>
      <c r="G216" s="67"/>
      <c r="H216" s="437">
        <f>IF(G216&gt;=80%,F216,IF(G216&lt;65%,0,E216))</f>
        <v>0</v>
      </c>
      <c r="K216" s="135"/>
      <c r="R216" s="53"/>
      <c r="S216" s="45"/>
    </row>
    <row r="217" spans="1:19" s="29" customFormat="1" ht="31.5" customHeight="1">
      <c r="A217" s="473" t="s">
        <v>200</v>
      </c>
      <c r="B217" s="960" t="s">
        <v>275</v>
      </c>
      <c r="C217" s="962"/>
      <c r="D217" s="98" t="s">
        <v>51</v>
      </c>
      <c r="E217" s="98">
        <v>0.5</v>
      </c>
      <c r="F217" s="98">
        <v>1</v>
      </c>
      <c r="G217" s="67"/>
      <c r="H217" s="437">
        <f>IF(G217&gt;=80%,F217,IF(G217&lt;65%,0,E217))</f>
        <v>0</v>
      </c>
      <c r="R217" s="53"/>
      <c r="S217" s="45"/>
    </row>
    <row r="218" spans="1:19" s="29" customFormat="1" ht="15.6">
      <c r="A218" s="412"/>
      <c r="B218" s="325"/>
      <c r="C218" s="323"/>
      <c r="D218" s="323"/>
      <c r="E218" s="323"/>
      <c r="F218" s="326"/>
      <c r="G218" s="330" t="s">
        <v>110</v>
      </c>
      <c r="H218" s="474">
        <f>IFERROR(SUM(H216:H217),0)</f>
        <v>0</v>
      </c>
      <c r="R218" s="53"/>
      <c r="S218" s="45"/>
    </row>
    <row r="219" spans="1:19" s="29" customFormat="1">
      <c r="A219" s="412"/>
      <c r="B219" s="325"/>
      <c r="C219" s="323"/>
      <c r="D219" s="323"/>
      <c r="E219" s="323"/>
      <c r="F219" s="323"/>
      <c r="G219" s="332"/>
      <c r="H219" s="388"/>
      <c r="R219" s="53"/>
      <c r="S219" s="45"/>
    </row>
    <row r="220" spans="1:19" s="29" customFormat="1" ht="15.6">
      <c r="A220" s="412"/>
      <c r="B220" s="325"/>
      <c r="C220" s="323"/>
      <c r="D220" s="323"/>
      <c r="E220" s="323"/>
      <c r="F220" s="323"/>
      <c r="G220" s="330" t="s">
        <v>111</v>
      </c>
      <c r="H220" s="474">
        <f>IFERROR(MIN(SUM(H197+H211+H218),G185),0)</f>
        <v>0</v>
      </c>
      <c r="R220" s="53"/>
      <c r="S220" s="45"/>
    </row>
    <row r="221" spans="1:19" s="29" customFormat="1" ht="16.2" thickBot="1">
      <c r="A221" s="491"/>
      <c r="B221" s="492"/>
      <c r="C221" s="493"/>
      <c r="D221" s="493"/>
      <c r="E221" s="493"/>
      <c r="F221" s="493"/>
      <c r="G221" s="496"/>
      <c r="H221" s="495"/>
      <c r="R221" s="53"/>
      <c r="S221" s="45"/>
    </row>
    <row r="222" spans="1:19" s="29" customFormat="1" ht="15.6">
      <c r="A222" s="633" t="s">
        <v>137</v>
      </c>
      <c r="B222" s="634"/>
      <c r="C222" s="634"/>
      <c r="D222" s="634"/>
      <c r="E222" s="634"/>
      <c r="F222" s="635" t="s">
        <v>43</v>
      </c>
      <c r="G222" s="636">
        <v>20</v>
      </c>
      <c r="H222" s="637" t="s">
        <v>42</v>
      </c>
      <c r="R222" s="53"/>
      <c r="S222" s="45"/>
    </row>
    <row r="223" spans="1:19" s="29" customFormat="1" ht="15.6">
      <c r="A223" s="412"/>
      <c r="B223" s="347"/>
      <c r="C223" s="323"/>
      <c r="D223" s="323"/>
      <c r="E223" s="323"/>
      <c r="F223" s="323"/>
      <c r="G223" s="332"/>
      <c r="H223" s="388"/>
      <c r="R223" s="53"/>
      <c r="S223" s="45"/>
    </row>
    <row r="224" spans="1:19" s="29" customFormat="1" ht="33" customHeight="1">
      <c r="A224" s="1009" t="s">
        <v>0</v>
      </c>
      <c r="B224" s="1010"/>
      <c r="C224" s="136"/>
      <c r="D224" s="136"/>
      <c r="E224" s="137" t="s">
        <v>4</v>
      </c>
      <c r="F224" s="137" t="s">
        <v>70</v>
      </c>
      <c r="G224" s="138" t="s">
        <v>21</v>
      </c>
      <c r="H224" s="475" t="s">
        <v>63</v>
      </c>
      <c r="R224" s="53"/>
      <c r="S224" s="45"/>
    </row>
    <row r="225" spans="1:19" s="29" customFormat="1" ht="15.6">
      <c r="A225" s="454" t="s">
        <v>276</v>
      </c>
      <c r="B225" s="109" t="s">
        <v>277</v>
      </c>
      <c r="C225" s="110"/>
      <c r="D225" s="110"/>
      <c r="E225" s="110"/>
      <c r="F225" s="58"/>
      <c r="G225" s="139"/>
      <c r="H225" s="476"/>
      <c r="J225" s="134"/>
      <c r="R225" s="53"/>
      <c r="S225" s="45"/>
    </row>
    <row r="226" spans="1:19" s="29" customFormat="1" ht="15.6">
      <c r="A226" s="411">
        <v>1.1000000000000001</v>
      </c>
      <c r="B226" s="836" t="s">
        <v>123</v>
      </c>
      <c r="C226" s="837"/>
      <c r="D226" s="838"/>
      <c r="E226" s="167"/>
      <c r="F226" s="140"/>
      <c r="G226" s="141"/>
      <c r="H226" s="441">
        <f t="shared" ref="H226:H231" si="4">F226*G226</f>
        <v>0</v>
      </c>
      <c r="R226" s="53"/>
      <c r="S226" s="45"/>
    </row>
    <row r="227" spans="1:19" s="29" customFormat="1" ht="15.6">
      <c r="A227" s="406">
        <v>1.2</v>
      </c>
      <c r="B227" s="1004" t="s">
        <v>124</v>
      </c>
      <c r="C227" s="1005"/>
      <c r="D227" s="1006"/>
      <c r="E227" s="167"/>
      <c r="F227" s="140"/>
      <c r="G227" s="141"/>
      <c r="H227" s="441">
        <f t="shared" si="4"/>
        <v>0</v>
      </c>
      <c r="R227" s="53"/>
      <c r="S227" s="45"/>
    </row>
    <row r="228" spans="1:19" s="29" customFormat="1" ht="15.6">
      <c r="A228" s="411">
        <v>1.3</v>
      </c>
      <c r="B228" s="836" t="s">
        <v>115</v>
      </c>
      <c r="C228" s="837"/>
      <c r="D228" s="838"/>
      <c r="E228" s="167"/>
      <c r="F228" s="140"/>
      <c r="G228" s="141"/>
      <c r="H228" s="441">
        <f t="shared" si="4"/>
        <v>0</v>
      </c>
      <c r="R228" s="53"/>
      <c r="S228" s="45"/>
    </row>
    <row r="229" spans="1:19" s="29" customFormat="1" ht="15.6">
      <c r="A229" s="411">
        <v>1.4</v>
      </c>
      <c r="B229" s="836" t="s">
        <v>305</v>
      </c>
      <c r="C229" s="837"/>
      <c r="D229" s="838"/>
      <c r="E229" s="167"/>
      <c r="F229" s="140"/>
      <c r="G229" s="141"/>
      <c r="H229" s="441">
        <f t="shared" si="4"/>
        <v>0</v>
      </c>
      <c r="R229" s="53"/>
      <c r="S229" s="45"/>
    </row>
    <row r="230" spans="1:19" s="29" customFormat="1" ht="15.6">
      <c r="A230" s="411">
        <v>1.5</v>
      </c>
      <c r="B230" s="836"/>
      <c r="C230" s="837"/>
      <c r="D230" s="838"/>
      <c r="E230" s="167"/>
      <c r="F230" s="140"/>
      <c r="G230" s="141"/>
      <c r="H230" s="441">
        <f t="shared" si="4"/>
        <v>0</v>
      </c>
      <c r="R230" s="53"/>
      <c r="S230" s="45"/>
    </row>
    <row r="231" spans="1:19" s="29" customFormat="1" ht="15.6">
      <c r="A231" s="411">
        <v>1.6</v>
      </c>
      <c r="B231" s="836"/>
      <c r="C231" s="837"/>
      <c r="D231" s="838"/>
      <c r="E231" s="111"/>
      <c r="F231" s="142"/>
      <c r="G231" s="67"/>
      <c r="H231" s="441">
        <f t="shared" si="4"/>
        <v>0</v>
      </c>
      <c r="R231" s="53"/>
      <c r="S231" s="45"/>
    </row>
    <row r="232" spans="1:19" s="29" customFormat="1" ht="15.6">
      <c r="A232" s="454" t="s">
        <v>279</v>
      </c>
      <c r="B232" s="109" t="s">
        <v>278</v>
      </c>
      <c r="C232" s="110"/>
      <c r="D232" s="110"/>
      <c r="E232" s="110"/>
      <c r="F232" s="58"/>
      <c r="G232" s="139"/>
      <c r="H232" s="476"/>
      <c r="R232" s="53"/>
      <c r="S232" s="45"/>
    </row>
    <row r="233" spans="1:19" s="29" customFormat="1">
      <c r="A233" s="411">
        <v>2.1</v>
      </c>
      <c r="B233" s="1001" t="s">
        <v>138</v>
      </c>
      <c r="C233" s="1002"/>
      <c r="D233" s="1003"/>
      <c r="E233" s="157" t="s">
        <v>410</v>
      </c>
      <c r="F233" s="527">
        <v>2</v>
      </c>
      <c r="G233" s="528"/>
      <c r="H233" s="441">
        <f>IFERROR(VLOOKUP(E233,K234:L237,2,FALSE),0)</f>
        <v>0</v>
      </c>
      <c r="K233" s="29" t="s">
        <v>410</v>
      </c>
      <c r="L233" s="29">
        <v>0</v>
      </c>
      <c r="R233" s="53"/>
      <c r="S233" s="45"/>
    </row>
    <row r="234" spans="1:19" s="29" customFormat="1" ht="15.6">
      <c r="A234" s="412"/>
      <c r="B234" s="322"/>
      <c r="C234" s="323"/>
      <c r="D234" s="323"/>
      <c r="E234" s="323"/>
      <c r="F234" s="323"/>
      <c r="G234" s="330" t="s">
        <v>139</v>
      </c>
      <c r="H234" s="477">
        <f>IFERROR(MIN(SUM(H226:H233),G222),0)</f>
        <v>0</v>
      </c>
      <c r="K234" s="29" t="s">
        <v>406</v>
      </c>
      <c r="L234" s="29">
        <v>2</v>
      </c>
      <c r="R234" s="45"/>
      <c r="S234" s="45"/>
    </row>
    <row r="235" spans="1:19" s="29" customFormat="1">
      <c r="A235" s="412"/>
      <c r="B235" s="325"/>
      <c r="C235" s="323"/>
      <c r="D235" s="323"/>
      <c r="E235" s="323"/>
      <c r="F235" s="323"/>
      <c r="G235" s="332"/>
      <c r="H235" s="388"/>
      <c r="K235" s="29" t="s">
        <v>407</v>
      </c>
      <c r="L235" s="29">
        <v>2</v>
      </c>
      <c r="R235" s="45"/>
      <c r="S235" s="45"/>
    </row>
    <row r="236" spans="1:19" s="29" customFormat="1" ht="15.6">
      <c r="A236" s="412"/>
      <c r="B236" s="325"/>
      <c r="C236" s="323"/>
      <c r="D236" s="323"/>
      <c r="E236" s="323"/>
      <c r="F236" s="323"/>
      <c r="G236" s="330" t="s">
        <v>69</v>
      </c>
      <c r="H236" s="445">
        <f>IFERROR(H84+H183+H220+H234,0)</f>
        <v>0</v>
      </c>
      <c r="K236" s="29" t="s">
        <v>408</v>
      </c>
      <c r="L236" s="29">
        <v>2</v>
      </c>
      <c r="R236" s="45"/>
      <c r="S236" s="45"/>
    </row>
    <row r="237" spans="1:19" s="29" customFormat="1">
      <c r="A237" s="412"/>
      <c r="B237" s="325"/>
      <c r="C237" s="323"/>
      <c r="D237" s="323"/>
      <c r="E237" s="323"/>
      <c r="F237" s="323"/>
      <c r="G237" s="332"/>
      <c r="H237" s="388"/>
      <c r="K237" s="29" t="s">
        <v>409</v>
      </c>
      <c r="L237" s="29">
        <v>2</v>
      </c>
      <c r="R237" s="53"/>
      <c r="S237" s="45"/>
    </row>
    <row r="238" spans="1:19" s="29" customFormat="1" ht="15.75" customHeight="1">
      <c r="A238" s="412"/>
      <c r="B238" s="345" t="s">
        <v>37</v>
      </c>
      <c r="C238" s="332"/>
      <c r="D238" s="1013" t="s">
        <v>415</v>
      </c>
      <c r="E238" s="1013"/>
      <c r="F238" s="1013"/>
      <c r="G238" s="332"/>
      <c r="H238" s="478"/>
      <c r="R238" s="53"/>
      <c r="S238" s="45"/>
    </row>
    <row r="239" spans="1:19" s="29" customFormat="1" ht="15.6">
      <c r="A239" s="412"/>
      <c r="B239" s="346"/>
      <c r="C239" s="332"/>
      <c r="D239" s="1013"/>
      <c r="E239" s="1013"/>
      <c r="F239" s="1013"/>
      <c r="G239" s="332"/>
      <c r="H239" s="478"/>
      <c r="R239" s="53"/>
      <c r="S239" s="45"/>
    </row>
    <row r="240" spans="1:19" s="29" customFormat="1" ht="15.6">
      <c r="A240" s="479" t="s">
        <v>280</v>
      </c>
      <c r="B240" s="346" t="s">
        <v>100</v>
      </c>
      <c r="C240" s="369">
        <f>IFERROR(SUM(G29+G32+G34+G35+G44+G47),0)</f>
        <v>0</v>
      </c>
      <c r="D240" s="332" t="s">
        <v>284</v>
      </c>
      <c r="E240" s="141"/>
      <c r="F240" s="332" t="s">
        <v>285</v>
      </c>
      <c r="G240" s="144">
        <f>MIN(IFERROR(SUM(C240+E240),0),100%)</f>
        <v>0</v>
      </c>
      <c r="H240" s="388"/>
      <c r="M240" s="53"/>
      <c r="N240" s="45"/>
    </row>
    <row r="241" spans="1:19" s="29" customFormat="1" ht="15.6">
      <c r="A241" s="479" t="s">
        <v>281</v>
      </c>
      <c r="B241" s="346" t="s">
        <v>101</v>
      </c>
      <c r="C241" s="369">
        <f>IFERROR(SUM(F19+G91+G93+G95+G98+G101+G102+G103+G104+G105),0)</f>
        <v>0</v>
      </c>
      <c r="D241" s="332" t="s">
        <v>284</v>
      </c>
      <c r="E241" s="141"/>
      <c r="F241" s="332" t="s">
        <v>285</v>
      </c>
      <c r="G241" s="144">
        <f t="shared" ref="G241:G242" si="5">MIN(IFERROR(SUM(C241+E241),0),100%)</f>
        <v>0</v>
      </c>
      <c r="H241" s="388"/>
      <c r="M241" s="53"/>
      <c r="N241" s="45"/>
    </row>
    <row r="242" spans="1:19" s="29" customFormat="1" ht="15.6">
      <c r="A242" s="479" t="s">
        <v>282</v>
      </c>
      <c r="B242" s="346" t="s">
        <v>102</v>
      </c>
      <c r="C242" s="369">
        <f>IFERROR(G197,0)</f>
        <v>0</v>
      </c>
      <c r="D242" s="332" t="s">
        <v>284</v>
      </c>
      <c r="E242" s="141"/>
      <c r="F242" s="303" t="s">
        <v>285</v>
      </c>
      <c r="G242" s="144">
        <f t="shared" si="5"/>
        <v>0</v>
      </c>
      <c r="H242" s="283"/>
      <c r="I242" s="3"/>
      <c r="J242" s="3"/>
      <c r="K242" s="3"/>
      <c r="L242" s="3"/>
      <c r="M242" s="53"/>
      <c r="N242" s="45"/>
    </row>
    <row r="243" spans="1:19" s="29" customFormat="1" ht="15.6" thickBot="1">
      <c r="A243" s="491"/>
      <c r="B243" s="492"/>
      <c r="C243" s="493"/>
      <c r="D243" s="493"/>
      <c r="E243" s="493"/>
      <c r="F243" s="493"/>
      <c r="G243" s="638"/>
      <c r="H243" s="639"/>
      <c r="K243" s="3"/>
      <c r="L243" s="3"/>
      <c r="M243" s="3"/>
      <c r="N243" s="3"/>
      <c r="O243" s="3"/>
      <c r="P243" s="3"/>
      <c r="Q243" s="3"/>
      <c r="R243" s="53"/>
      <c r="S243" s="45"/>
    </row>
    <row r="244" spans="1:19" s="29" customFormat="1">
      <c r="A244" s="174"/>
      <c r="B244" s="3"/>
      <c r="C244" s="3"/>
      <c r="D244" s="3"/>
      <c r="E244" s="3"/>
      <c r="F244" s="3"/>
      <c r="G244" s="10"/>
      <c r="H244" s="3"/>
      <c r="K244" s="3"/>
      <c r="L244" s="3"/>
      <c r="M244" s="3"/>
      <c r="N244" s="3"/>
      <c r="O244" s="3"/>
      <c r="P244" s="3"/>
      <c r="Q244" s="3"/>
      <c r="R244" s="53"/>
      <c r="S244" s="45"/>
    </row>
    <row r="245" spans="1:19" s="29" customFormat="1">
      <c r="A245" s="174"/>
      <c r="B245" s="3"/>
      <c r="C245" s="3"/>
      <c r="D245" s="3"/>
      <c r="E245" s="3"/>
      <c r="F245" s="3"/>
      <c r="G245" s="10"/>
      <c r="H245" s="3"/>
      <c r="K245" s="3"/>
      <c r="L245" s="3"/>
      <c r="M245" s="3"/>
      <c r="N245" s="3"/>
      <c r="O245" s="3"/>
      <c r="P245" s="3"/>
      <c r="Q245" s="3"/>
      <c r="R245" s="53"/>
      <c r="S245" s="45"/>
    </row>
    <row r="246" spans="1:19" s="29" customFormat="1">
      <c r="A246" s="174"/>
      <c r="B246" s="3"/>
      <c r="C246" s="3"/>
      <c r="D246" s="3"/>
      <c r="E246" s="3"/>
      <c r="F246" s="3"/>
      <c r="G246" s="10"/>
      <c r="H246" s="3"/>
      <c r="K246" s="3"/>
      <c r="L246" s="3"/>
      <c r="M246" s="3"/>
      <c r="N246" s="3"/>
      <c r="O246" s="3"/>
      <c r="P246" s="3"/>
      <c r="Q246" s="3"/>
      <c r="R246" s="53"/>
      <c r="S246" s="45"/>
    </row>
    <row r="247" spans="1:19" s="29" customFormat="1">
      <c r="A247" s="174"/>
      <c r="B247" s="3"/>
      <c r="C247" s="3"/>
      <c r="D247" s="3"/>
      <c r="E247" s="3"/>
      <c r="F247" s="3"/>
      <c r="G247" s="10"/>
      <c r="H247" s="3"/>
      <c r="K247" s="3"/>
      <c r="L247" s="3"/>
      <c r="M247" s="3"/>
      <c r="N247" s="3"/>
      <c r="O247" s="3"/>
      <c r="P247" s="3"/>
      <c r="Q247" s="3"/>
      <c r="R247" s="45"/>
      <c r="S247" s="45"/>
    </row>
    <row r="248" spans="1:19" s="29" customFormat="1">
      <c r="A248" s="174"/>
      <c r="B248" s="3"/>
      <c r="C248" s="3"/>
      <c r="D248" s="3"/>
      <c r="E248" s="3"/>
      <c r="F248" s="3"/>
      <c r="G248" s="10"/>
      <c r="H248" s="3"/>
      <c r="K248" s="3"/>
      <c r="L248" s="3"/>
      <c r="M248" s="3"/>
      <c r="N248" s="3"/>
      <c r="O248" s="3"/>
      <c r="P248" s="3"/>
      <c r="Q248" s="3"/>
      <c r="R248" s="45"/>
      <c r="S248" s="45"/>
    </row>
    <row r="249" spans="1:19" s="29" customFormat="1">
      <c r="A249" s="174"/>
      <c r="B249" s="3"/>
      <c r="C249" s="3"/>
      <c r="D249" s="3"/>
      <c r="E249" s="3"/>
      <c r="F249" s="3"/>
      <c r="G249" s="10"/>
      <c r="H249" s="3"/>
      <c r="K249" s="3"/>
      <c r="L249" s="3"/>
      <c r="M249" s="3"/>
      <c r="N249" s="3"/>
      <c r="O249" s="3"/>
      <c r="P249" s="3"/>
      <c r="Q249" s="3"/>
      <c r="R249" s="45"/>
      <c r="S249" s="45"/>
    </row>
    <row r="250" spans="1:19" s="29" customFormat="1">
      <c r="A250" s="174"/>
      <c r="B250" s="3"/>
      <c r="C250" s="3"/>
      <c r="D250" s="3"/>
      <c r="E250" s="3"/>
      <c r="F250" s="3"/>
      <c r="G250" s="10"/>
      <c r="H250" s="3"/>
      <c r="K250" s="3"/>
      <c r="L250" s="3"/>
      <c r="M250" s="3"/>
      <c r="N250" s="3"/>
      <c r="O250" s="3"/>
      <c r="P250" s="3"/>
      <c r="Q250" s="3"/>
      <c r="R250" s="45"/>
      <c r="S250" s="45"/>
    </row>
  </sheetData>
  <sheetProtection algorithmName="SHA-512" hashValue="UgLevlg/nWQKO6Cj3XOq4Xy44wUp3CoOaI+orUzkAF8m7/PXglqukXxZibQ87ekCWCkWInM1cpDHC4PmI5WDQA==" saltValue="66oh9HHPtBGuk9eKG2SjYw==" spinCount="100000" sheet="1" selectLockedCells="1"/>
  <mergeCells count="228">
    <mergeCell ref="B163:C163"/>
    <mergeCell ref="G213:G214"/>
    <mergeCell ref="H213:H214"/>
    <mergeCell ref="B216:C216"/>
    <mergeCell ref="A224:B224"/>
    <mergeCell ref="B227:D227"/>
    <mergeCell ref="B167:C167"/>
    <mergeCell ref="B166:C166"/>
    <mergeCell ref="B168:C168"/>
    <mergeCell ref="A167:A168"/>
    <mergeCell ref="D167:D168"/>
    <mergeCell ref="E167:E168"/>
    <mergeCell ref="F167:F168"/>
    <mergeCell ref="G167:G168"/>
    <mergeCell ref="H167:H168"/>
    <mergeCell ref="A165:A166"/>
    <mergeCell ref="B165:C165"/>
    <mergeCell ref="D165:D166"/>
    <mergeCell ref="E165:E166"/>
    <mergeCell ref="F165:F166"/>
    <mergeCell ref="G165:G166"/>
    <mergeCell ref="H165:H166"/>
    <mergeCell ref="B194:C194"/>
    <mergeCell ref="B226:D226"/>
    <mergeCell ref="B233:D233"/>
    <mergeCell ref="D238:F239"/>
    <mergeCell ref="B170:C170"/>
    <mergeCell ref="A175:B176"/>
    <mergeCell ref="C175:C176"/>
    <mergeCell ref="D175:D176"/>
    <mergeCell ref="E175:F175"/>
    <mergeCell ref="G175:G176"/>
    <mergeCell ref="H175:H176"/>
    <mergeCell ref="B178:C178"/>
    <mergeCell ref="E180:F180"/>
    <mergeCell ref="B171:C171"/>
    <mergeCell ref="B172:C172"/>
    <mergeCell ref="B179:C179"/>
    <mergeCell ref="B180:C180"/>
    <mergeCell ref="B195:C195"/>
    <mergeCell ref="B196:C196"/>
    <mergeCell ref="B228:D228"/>
    <mergeCell ref="B230:D230"/>
    <mergeCell ref="B231:D231"/>
    <mergeCell ref="B229:D229"/>
    <mergeCell ref="A187:B187"/>
    <mergeCell ref="B190:C190"/>
    <mergeCell ref="B192:C192"/>
    <mergeCell ref="A154:A157"/>
    <mergeCell ref="B154:C157"/>
    <mergeCell ref="G154:G157"/>
    <mergeCell ref="H154:H157"/>
    <mergeCell ref="E157:F157"/>
    <mergeCell ref="I154:I158"/>
    <mergeCell ref="A158:A159"/>
    <mergeCell ref="B158:C159"/>
    <mergeCell ref="B162:C162"/>
    <mergeCell ref="B160:C160"/>
    <mergeCell ref="A146:B147"/>
    <mergeCell ref="C146:C147"/>
    <mergeCell ref="D146:D147"/>
    <mergeCell ref="E146:F146"/>
    <mergeCell ref="G146:G147"/>
    <mergeCell ref="H146:H147"/>
    <mergeCell ref="B150:C150"/>
    <mergeCell ref="A152:A153"/>
    <mergeCell ref="B152:C153"/>
    <mergeCell ref="E152:F152"/>
    <mergeCell ref="G152:G153"/>
    <mergeCell ref="H152:H153"/>
    <mergeCell ref="R101:R102"/>
    <mergeCell ref="B108:D108"/>
    <mergeCell ref="B112:D112"/>
    <mergeCell ref="B120:C120"/>
    <mergeCell ref="A122:A123"/>
    <mergeCell ref="B122:C122"/>
    <mergeCell ref="D122:D123"/>
    <mergeCell ref="E122:E123"/>
    <mergeCell ref="F122:F123"/>
    <mergeCell ref="G122:G123"/>
    <mergeCell ref="H122:H123"/>
    <mergeCell ref="B91:D91"/>
    <mergeCell ref="A93:A94"/>
    <mergeCell ref="B93:D93"/>
    <mergeCell ref="E156:F156"/>
    <mergeCell ref="B151:C151"/>
    <mergeCell ref="E153:F153"/>
    <mergeCell ref="E154:F154"/>
    <mergeCell ref="B135:C135"/>
    <mergeCell ref="B136:C136"/>
    <mergeCell ref="B105:D105"/>
    <mergeCell ref="E155:F155"/>
    <mergeCell ref="B102:D102"/>
    <mergeCell ref="B113:D113"/>
    <mergeCell ref="B123:C123"/>
    <mergeCell ref="B103:D103"/>
    <mergeCell ref="B104:D104"/>
    <mergeCell ref="B109:D109"/>
    <mergeCell ref="B110:D110"/>
    <mergeCell ref="B114:D114"/>
    <mergeCell ref="A98:A99"/>
    <mergeCell ref="B98:D98"/>
    <mergeCell ref="E98:E99"/>
    <mergeCell ref="F98:F99"/>
    <mergeCell ref="B101:D101"/>
    <mergeCell ref="H58:H59"/>
    <mergeCell ref="B54:D54"/>
    <mergeCell ref="B40:D40"/>
    <mergeCell ref="B53:D53"/>
    <mergeCell ref="B45:D45"/>
    <mergeCell ref="B44:D44"/>
    <mergeCell ref="B99:D99"/>
    <mergeCell ref="E71:F71"/>
    <mergeCell ref="B75:C75"/>
    <mergeCell ref="B81:C81"/>
    <mergeCell ref="B96:D96"/>
    <mergeCell ref="B47:D47"/>
    <mergeCell ref="B51:D51"/>
    <mergeCell ref="E58:F58"/>
    <mergeCell ref="G58:G59"/>
    <mergeCell ref="B61:C61"/>
    <mergeCell ref="B67:C67"/>
    <mergeCell ref="B66:C66"/>
    <mergeCell ref="B46:D46"/>
    <mergeCell ref="B50:D50"/>
    <mergeCell ref="B64:C64"/>
    <mergeCell ref="D66:D69"/>
    <mergeCell ref="B74:C74"/>
    <mergeCell ref="B63:C63"/>
    <mergeCell ref="H29:H30"/>
    <mergeCell ref="B30:D30"/>
    <mergeCell ref="B32:D32"/>
    <mergeCell ref="B34:D34"/>
    <mergeCell ref="A35:A36"/>
    <mergeCell ref="B35:D36"/>
    <mergeCell ref="E35:E36"/>
    <mergeCell ref="H35:H36"/>
    <mergeCell ref="E37:E42"/>
    <mergeCell ref="H37:H42"/>
    <mergeCell ref="B42:D42"/>
    <mergeCell ref="A29:A30"/>
    <mergeCell ref="E29:E30"/>
    <mergeCell ref="F29:F30"/>
    <mergeCell ref="G29:G30"/>
    <mergeCell ref="B68:C68"/>
    <mergeCell ref="B69:C69"/>
    <mergeCell ref="B62:C62"/>
    <mergeCell ref="A58:B59"/>
    <mergeCell ref="D58:D59"/>
    <mergeCell ref="B65:C65"/>
    <mergeCell ref="B80:C80"/>
    <mergeCell ref="B17:C17"/>
    <mergeCell ref="B19:C19"/>
    <mergeCell ref="B20:C20"/>
    <mergeCell ref="B21:C21"/>
    <mergeCell ref="B29:D29"/>
    <mergeCell ref="B37:D37"/>
    <mergeCell ref="B41:D41"/>
    <mergeCell ref="B38:D38"/>
    <mergeCell ref="B39:D39"/>
    <mergeCell ref="B22:C22"/>
    <mergeCell ref="B55:D55"/>
    <mergeCell ref="B70:C70"/>
    <mergeCell ref="B71:C71"/>
    <mergeCell ref="B73:C73"/>
    <mergeCell ref="B77:C77"/>
    <mergeCell ref="B79:C79"/>
    <mergeCell ref="A4:B4"/>
    <mergeCell ref="D7:G7"/>
    <mergeCell ref="A7:B7"/>
    <mergeCell ref="D11:D12"/>
    <mergeCell ref="E11:E12"/>
    <mergeCell ref="F11:F12"/>
    <mergeCell ref="B14:C14"/>
    <mergeCell ref="B15:C15"/>
    <mergeCell ref="B16:C16"/>
    <mergeCell ref="A11:B12"/>
    <mergeCell ref="B124:C124"/>
    <mergeCell ref="B127:C127"/>
    <mergeCell ref="B94:D94"/>
    <mergeCell ref="B95:D95"/>
    <mergeCell ref="E93:E94"/>
    <mergeCell ref="F93:F94"/>
    <mergeCell ref="G93:G94"/>
    <mergeCell ref="H93:H94"/>
    <mergeCell ref="A95:A96"/>
    <mergeCell ref="E95:E96"/>
    <mergeCell ref="F95:F96"/>
    <mergeCell ref="G95:G96"/>
    <mergeCell ref="H95:H96"/>
    <mergeCell ref="H126:H127"/>
    <mergeCell ref="G98:G99"/>
    <mergeCell ref="H98:H99"/>
    <mergeCell ref="B130:C130"/>
    <mergeCell ref="B137:C137"/>
    <mergeCell ref="F143:G143"/>
    <mergeCell ref="B134:C134"/>
    <mergeCell ref="A126:A127"/>
    <mergeCell ref="B126:C126"/>
    <mergeCell ref="D126:D127"/>
    <mergeCell ref="E126:E127"/>
    <mergeCell ref="F126:F127"/>
    <mergeCell ref="G126:G127"/>
    <mergeCell ref="B129:C129"/>
    <mergeCell ref="B133:C133"/>
    <mergeCell ref="A140:B140"/>
    <mergeCell ref="F140:G140"/>
    <mergeCell ref="D142:D143"/>
    <mergeCell ref="E142:E143"/>
    <mergeCell ref="F142:G142"/>
    <mergeCell ref="E199:F199"/>
    <mergeCell ref="G199:G200"/>
    <mergeCell ref="H199:H200"/>
    <mergeCell ref="B203:C203"/>
    <mergeCell ref="B208:C208"/>
    <mergeCell ref="A213:B214"/>
    <mergeCell ref="C213:C214"/>
    <mergeCell ref="D213:D214"/>
    <mergeCell ref="E213:F213"/>
    <mergeCell ref="B217:C217"/>
    <mergeCell ref="B209:C209"/>
    <mergeCell ref="B210:C210"/>
    <mergeCell ref="B204:C204"/>
    <mergeCell ref="B205:C205"/>
    <mergeCell ref="B206:C206"/>
    <mergeCell ref="A199:B200"/>
    <mergeCell ref="C199:C200"/>
    <mergeCell ref="D199:D200"/>
  </mergeCells>
  <dataValidations count="3">
    <dataValidation type="list" allowBlank="1" showInputMessage="1" showErrorMessage="1" sqref="A7" xr:uid="{BB0870E5-4EBA-4765-B451-6740C3F2D458}">
      <formula1>$K$1:$K$7</formula1>
    </dataValidation>
    <dataValidation type="list" allowBlank="1" showInputMessage="1" showErrorMessage="1" sqref="E233" xr:uid="{0376C1F8-4459-4E69-B660-18D58406C136}">
      <formula1>$K$233:$K$237</formula1>
    </dataValidation>
    <dataValidation type="list" allowBlank="1" showInputMessage="1" showErrorMessage="1" sqref="F143:G143" xr:uid="{CCD0965F-A426-4E8D-916B-5A883069F172}">
      <formula1>$L$140:$Q$140</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73"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8" width="0" style="3" hidden="1" customWidth="1"/>
    <col min="19" max="16384" width="9.109375" style="3"/>
  </cols>
  <sheetData>
    <row r="1" spans="1:16" ht="15.6">
      <c r="A1" s="377" t="s">
        <v>90</v>
      </c>
      <c r="B1" s="378"/>
      <c r="C1" s="378"/>
      <c r="D1" s="378"/>
      <c r="E1" s="378"/>
      <c r="F1" s="378"/>
      <c r="G1" s="378"/>
      <c r="H1" s="379"/>
      <c r="K1" s="659" t="s">
        <v>41</v>
      </c>
    </row>
    <row r="2" spans="1:16">
      <c r="A2" s="380"/>
      <c r="B2" s="281"/>
      <c r="C2" s="281"/>
      <c r="D2" s="281"/>
      <c r="E2" s="281"/>
      <c r="F2" s="281"/>
      <c r="G2" s="282"/>
      <c r="H2" s="283"/>
      <c r="J2" s="148"/>
      <c r="K2" s="148" t="s">
        <v>428</v>
      </c>
    </row>
    <row r="3" spans="1:16" ht="15.6">
      <c r="A3" s="381" t="s">
        <v>378</v>
      </c>
      <c r="B3" s="281"/>
      <c r="C3" s="281"/>
      <c r="D3" s="349" t="s">
        <v>143</v>
      </c>
      <c r="E3" s="349" t="s">
        <v>144</v>
      </c>
      <c r="F3" s="349" t="s">
        <v>145</v>
      </c>
      <c r="G3" s="306" t="s">
        <v>105</v>
      </c>
      <c r="H3" s="292" t="s">
        <v>63</v>
      </c>
      <c r="J3" s="148"/>
      <c r="K3" s="148" t="s">
        <v>45</v>
      </c>
    </row>
    <row r="4" spans="1:16" ht="15.6">
      <c r="A4" s="862">
        <f>Summary!A6</f>
        <v>0</v>
      </c>
      <c r="B4" s="863"/>
      <c r="C4" s="281"/>
      <c r="D4" s="78">
        <f>H84</f>
        <v>0</v>
      </c>
      <c r="E4" s="166">
        <f>H183</f>
        <v>0</v>
      </c>
      <c r="F4" s="133">
        <f>H220</f>
        <v>0</v>
      </c>
      <c r="G4" s="143">
        <f>H234</f>
        <v>0</v>
      </c>
      <c r="H4" s="382">
        <f>H236</f>
        <v>0</v>
      </c>
      <c r="J4" s="148"/>
      <c r="K4" s="148" t="s">
        <v>15</v>
      </c>
    </row>
    <row r="5" spans="1:16">
      <c r="A5" s="380"/>
      <c r="B5" s="281"/>
      <c r="C5" s="281"/>
      <c r="D5" s="281"/>
      <c r="E5" s="281"/>
      <c r="F5" s="281"/>
      <c r="G5" s="282"/>
      <c r="H5" s="283"/>
      <c r="J5" s="148"/>
      <c r="K5" s="148" t="s">
        <v>16</v>
      </c>
    </row>
    <row r="6" spans="1:16" s="4" customFormat="1" ht="15.6">
      <c r="A6" s="381" t="s">
        <v>91</v>
      </c>
      <c r="B6" s="313"/>
      <c r="C6" s="313"/>
      <c r="D6" s="314" t="s">
        <v>35</v>
      </c>
      <c r="E6" s="281"/>
      <c r="F6" s="281"/>
      <c r="G6" s="282"/>
      <c r="H6" s="283"/>
      <c r="J6" s="148"/>
      <c r="K6" s="148" t="s">
        <v>427</v>
      </c>
      <c r="L6" s="3"/>
      <c r="M6" s="3"/>
      <c r="N6" s="3"/>
    </row>
    <row r="7" spans="1:16" ht="15.75" customHeight="1">
      <c r="A7" s="842" t="s">
        <v>428</v>
      </c>
      <c r="B7" s="843"/>
      <c r="D7" s="835">
        <f>Summary!A99</f>
        <v>0</v>
      </c>
      <c r="E7" s="785"/>
      <c r="F7" s="785"/>
      <c r="G7" s="786"/>
      <c r="H7" s="383"/>
      <c r="J7" s="29"/>
      <c r="K7" s="29"/>
    </row>
    <row r="8" spans="1:16" ht="15.6" thickBot="1">
      <c r="A8" s="380"/>
      <c r="B8" s="315"/>
      <c r="C8" s="281"/>
      <c r="D8" s="281"/>
      <c r="E8" s="281"/>
      <c r="F8" s="281"/>
      <c r="G8" s="282"/>
      <c r="H8" s="283"/>
    </row>
    <row r="9" spans="1:16" ht="16.2" thickBot="1">
      <c r="A9" s="384" t="s">
        <v>126</v>
      </c>
      <c r="B9" s="145"/>
      <c r="C9" s="145"/>
      <c r="D9" s="145"/>
      <c r="E9" s="145"/>
      <c r="F9" s="146"/>
      <c r="G9" s="16"/>
      <c r="H9" s="385"/>
    </row>
    <row r="10" spans="1:16">
      <c r="A10" s="380"/>
      <c r="B10" s="316"/>
      <c r="C10" s="281"/>
      <c r="D10" s="281"/>
      <c r="E10" s="281"/>
      <c r="F10" s="281"/>
      <c r="G10" s="282"/>
      <c r="H10" s="283"/>
    </row>
    <row r="11" spans="1:16" ht="15.75" customHeight="1">
      <c r="A11" s="963" t="s">
        <v>0</v>
      </c>
      <c r="B11" s="964"/>
      <c r="C11" s="153"/>
      <c r="D11" s="985" t="s">
        <v>4</v>
      </c>
      <c r="E11" s="984" t="s">
        <v>81</v>
      </c>
      <c r="F11" s="984" t="s">
        <v>21</v>
      </c>
      <c r="G11" s="317"/>
      <c r="H11" s="386"/>
    </row>
    <row r="12" spans="1:16" ht="15.75" customHeight="1">
      <c r="A12" s="965"/>
      <c r="B12" s="966"/>
      <c r="C12" s="154"/>
      <c r="D12" s="986"/>
      <c r="E12" s="984"/>
      <c r="F12" s="984"/>
      <c r="G12" s="317"/>
      <c r="H12" s="386"/>
    </row>
    <row r="13" spans="1:16" s="29" customFormat="1" ht="15.6">
      <c r="A13" s="387" t="s">
        <v>128</v>
      </c>
      <c r="B13" s="180"/>
      <c r="C13" s="180"/>
      <c r="D13" s="180"/>
      <c r="E13" s="183"/>
      <c r="F13" s="183"/>
      <c r="G13" s="318"/>
      <c r="H13" s="388"/>
      <c r="O13" s="45"/>
      <c r="P13" s="45"/>
    </row>
    <row r="14" spans="1:16">
      <c r="A14" s="389">
        <v>1</v>
      </c>
      <c r="B14" s="987" t="s">
        <v>287</v>
      </c>
      <c r="C14" s="851"/>
      <c r="D14" s="149" t="s">
        <v>2</v>
      </c>
      <c r="E14" s="54" t="s">
        <v>50</v>
      </c>
      <c r="F14" s="30"/>
      <c r="G14" s="278"/>
      <c r="H14" s="304"/>
      <c r="I14" s="148" t="s">
        <v>143</v>
      </c>
      <c r="K14" s="152" t="str">
        <f>IF(F14&lt;65%,"Min. 65% coverage"," ")</f>
        <v>Min. 65% coverage</v>
      </c>
    </row>
    <row r="15" spans="1:16" ht="30.75" customHeight="1">
      <c r="A15" s="389">
        <v>2</v>
      </c>
      <c r="B15" s="987" t="s">
        <v>376</v>
      </c>
      <c r="C15" s="851"/>
      <c r="D15" s="150" t="s">
        <v>51</v>
      </c>
      <c r="E15" s="31" t="s">
        <v>50</v>
      </c>
      <c r="F15" s="547"/>
      <c r="G15" s="278"/>
      <c r="H15" s="283"/>
      <c r="I15" s="148" t="s">
        <v>144</v>
      </c>
      <c r="K15" s="152" t="str">
        <f>IF(F15&lt;65%,"Min. 80% coverage"," ")</f>
        <v>Min. 80% coverage</v>
      </c>
    </row>
    <row r="16" spans="1:16" ht="15" customHeight="1">
      <c r="A16" s="389">
        <v>3</v>
      </c>
      <c r="B16" s="987" t="s">
        <v>375</v>
      </c>
      <c r="C16" s="851"/>
      <c r="D16" s="150" t="s">
        <v>51</v>
      </c>
      <c r="E16" s="31" t="s">
        <v>50</v>
      </c>
      <c r="F16" s="547"/>
      <c r="G16" s="278"/>
      <c r="H16" s="386"/>
      <c r="I16" s="3" t="s">
        <v>143</v>
      </c>
      <c r="K16" s="152" t="str">
        <f>IF(F16&lt;65%,"Min. 65% coverage"," ")</f>
        <v>Min. 65% coverage</v>
      </c>
    </row>
    <row r="17" spans="1:19">
      <c r="A17" s="389">
        <v>4</v>
      </c>
      <c r="B17" s="886" t="s">
        <v>191</v>
      </c>
      <c r="C17" s="884"/>
      <c r="D17" s="147" t="s">
        <v>3</v>
      </c>
      <c r="E17" s="31" t="s">
        <v>50</v>
      </c>
      <c r="F17" s="547"/>
      <c r="G17" s="278"/>
      <c r="H17" s="386"/>
      <c r="I17" s="3" t="s">
        <v>145</v>
      </c>
      <c r="K17" s="152" t="str">
        <f>IF(F17&lt;65%,"Min. 65% coverage"," ")</f>
        <v>Min. 65% coverage</v>
      </c>
    </row>
    <row r="18" spans="1:19" s="29" customFormat="1" ht="15.6">
      <c r="A18" s="390" t="s">
        <v>127</v>
      </c>
      <c r="B18" s="180"/>
      <c r="C18" s="180"/>
      <c r="D18" s="180"/>
      <c r="E18" s="181"/>
      <c r="F18" s="182"/>
      <c r="G18" s="319"/>
      <c r="H18" s="388"/>
      <c r="K18" s="10"/>
      <c r="O18" s="45"/>
      <c r="P18" s="45"/>
    </row>
    <row r="19" spans="1:19" ht="32.25" customHeight="1">
      <c r="A19" s="391">
        <v>5</v>
      </c>
      <c r="B19" s="873" t="s">
        <v>288</v>
      </c>
      <c r="C19" s="989"/>
      <c r="D19" s="151" t="s">
        <v>3</v>
      </c>
      <c r="E19" s="536"/>
      <c r="F19" s="31">
        <f>IFERROR(E19/$F$115,0)</f>
        <v>0</v>
      </c>
      <c r="G19" s="278"/>
      <c r="H19" s="386"/>
      <c r="I19" s="3" t="s">
        <v>144</v>
      </c>
      <c r="K19" s="152" t="str">
        <f>IF($A$7=$K$2,IF(E19=0,"Please input wall length"," ")," ")</f>
        <v>Please input wall length</v>
      </c>
    </row>
    <row r="20" spans="1:19">
      <c r="A20" s="391">
        <v>6</v>
      </c>
      <c r="B20" s="987" t="s">
        <v>289</v>
      </c>
      <c r="C20" s="851"/>
      <c r="D20" s="190" t="s">
        <v>51</v>
      </c>
      <c r="E20" s="31" t="s">
        <v>50</v>
      </c>
      <c r="F20" s="30"/>
      <c r="G20" s="278"/>
      <c r="H20" s="386"/>
      <c r="I20" s="3" t="s">
        <v>144</v>
      </c>
      <c r="K20" s="152" t="str">
        <f>IF($A$7=$K$2,IF(F20&lt;65%,"Min. 65% coverage"," ")," ")</f>
        <v>Min. 65% coverage</v>
      </c>
    </row>
    <row r="21" spans="1:19">
      <c r="A21" s="391">
        <v>7</v>
      </c>
      <c r="B21" s="886" t="s">
        <v>306</v>
      </c>
      <c r="C21" s="884"/>
      <c r="D21" s="150" t="s">
        <v>51</v>
      </c>
      <c r="E21" s="31" t="s">
        <v>50</v>
      </c>
      <c r="F21" s="547"/>
      <c r="G21" s="278"/>
      <c r="H21" s="386"/>
      <c r="I21" s="3" t="s">
        <v>143</v>
      </c>
      <c r="K21" s="152" t="str">
        <f>IF($A$7=$K$2,IF(F21&lt;65%,"Min. 65% coverage"," ")," ")</f>
        <v>Min. 65% coverage</v>
      </c>
    </row>
    <row r="22" spans="1:19">
      <c r="A22" s="391" t="s">
        <v>308</v>
      </c>
      <c r="B22" s="886" t="s">
        <v>307</v>
      </c>
      <c r="C22" s="884"/>
      <c r="D22" s="150" t="s">
        <v>51</v>
      </c>
      <c r="E22" s="31" t="s">
        <v>50</v>
      </c>
      <c r="F22" s="547"/>
      <c r="G22" s="278"/>
      <c r="H22" s="386"/>
      <c r="K22" s="152"/>
    </row>
    <row r="23" spans="1:19">
      <c r="A23" s="380"/>
      <c r="B23" s="281"/>
      <c r="C23" s="281"/>
      <c r="D23" s="281"/>
      <c r="E23" s="281"/>
      <c r="F23" s="281"/>
      <c r="G23" s="282"/>
      <c r="H23" s="283"/>
      <c r="K23" s="148"/>
    </row>
    <row r="24" spans="1:19" ht="15.6">
      <c r="A24" s="392" t="s">
        <v>44</v>
      </c>
      <c r="B24" s="169"/>
      <c r="C24" s="169"/>
      <c r="D24" s="169"/>
      <c r="E24" s="169"/>
      <c r="F24" s="170" t="s">
        <v>43</v>
      </c>
      <c r="G24" s="171">
        <f>VLOOKUP($A$7,'Manpower allocation'!A4:D11,2,FALSE)*100</f>
        <v>45</v>
      </c>
      <c r="H24" s="393" t="s">
        <v>42</v>
      </c>
      <c r="J24" s="497">
        <f>VLOOKUP($A$7,'Manpower allocation'!A4:D11,2,FALSE)*100</f>
        <v>45</v>
      </c>
      <c r="K24" s="148"/>
    </row>
    <row r="25" spans="1:19" ht="15.6">
      <c r="A25" s="380"/>
      <c r="B25" s="320"/>
      <c r="C25" s="321"/>
      <c r="D25" s="281"/>
      <c r="E25" s="281"/>
      <c r="F25" s="281"/>
      <c r="G25" s="282"/>
      <c r="H25" s="283"/>
      <c r="K25" s="148"/>
    </row>
    <row r="26" spans="1:19" s="29" customFormat="1" ht="46.8">
      <c r="A26" s="394" t="s">
        <v>0</v>
      </c>
      <c r="B26" s="41"/>
      <c r="C26" s="41"/>
      <c r="D26" s="42"/>
      <c r="E26" s="43" t="s">
        <v>17</v>
      </c>
      <c r="F26" s="43" t="s">
        <v>114</v>
      </c>
      <c r="G26" s="43" t="s">
        <v>18</v>
      </c>
      <c r="H26" s="395" t="s">
        <v>53</v>
      </c>
      <c r="K26" s="44"/>
      <c r="R26" s="45"/>
      <c r="S26" s="45"/>
    </row>
    <row r="27" spans="1:19" s="29" customFormat="1" ht="15.6">
      <c r="A27" s="396" t="s">
        <v>198</v>
      </c>
      <c r="B27" s="46" t="s">
        <v>214</v>
      </c>
      <c r="C27" s="47"/>
      <c r="D27" s="47"/>
      <c r="E27" s="48"/>
      <c r="F27" s="48"/>
      <c r="G27" s="48"/>
      <c r="H27" s="397"/>
      <c r="R27" s="45"/>
      <c r="S27" s="45"/>
    </row>
    <row r="28" spans="1:19" s="29" customFormat="1" ht="15.6">
      <c r="A28" s="398">
        <v>1</v>
      </c>
      <c r="B28" s="40" t="s">
        <v>338</v>
      </c>
      <c r="C28" s="41"/>
      <c r="D28" s="49"/>
      <c r="E28" s="41"/>
      <c r="F28" s="50"/>
      <c r="G28" s="50"/>
      <c r="H28" s="399"/>
      <c r="R28" s="45"/>
      <c r="S28" s="45"/>
    </row>
    <row r="29" spans="1:19" s="29" customFormat="1">
      <c r="A29" s="980">
        <v>1.1000000000000001</v>
      </c>
      <c r="B29" s="852" t="s">
        <v>290</v>
      </c>
      <c r="C29" s="988"/>
      <c r="D29" s="988"/>
      <c r="E29" s="904">
        <f>VLOOKUP(A29,'Point Allocation'!$A$5:$J$15,MATCH(A7,'Point Allocation'!$A$5:$J$5,0),0)</f>
        <v>45</v>
      </c>
      <c r="F29" s="1014"/>
      <c r="G29" s="1015">
        <f>IFERROR(F29/$F$56,0)</f>
        <v>0</v>
      </c>
      <c r="H29" s="909">
        <f>E29*G29</f>
        <v>0</v>
      </c>
      <c r="R29" s="45"/>
      <c r="S29" s="45"/>
    </row>
    <row r="30" spans="1:19" s="29" customFormat="1" ht="15.6">
      <c r="A30" s="981"/>
      <c r="B30" s="998" t="s">
        <v>401</v>
      </c>
      <c r="C30" s="998"/>
      <c r="D30" s="998"/>
      <c r="E30" s="904"/>
      <c r="F30" s="1014"/>
      <c r="G30" s="1015">
        <f t="shared" ref="G30" si="0">IFERROR(F30/$F$56,0)</f>
        <v>0</v>
      </c>
      <c r="H30" s="909"/>
      <c r="R30" s="45"/>
      <c r="S30" s="45"/>
    </row>
    <row r="31" spans="1:19" s="29" customFormat="1" ht="15.6">
      <c r="A31" s="398">
        <v>2</v>
      </c>
      <c r="B31" s="40" t="s">
        <v>339</v>
      </c>
      <c r="C31" s="51"/>
      <c r="D31" s="49"/>
      <c r="E31" s="52"/>
      <c r="F31" s="8"/>
      <c r="G31" s="22"/>
      <c r="H31" s="400"/>
      <c r="R31" s="53"/>
      <c r="S31" s="45"/>
    </row>
    <row r="32" spans="1:19" s="29" customFormat="1">
      <c r="A32" s="401">
        <v>2.1</v>
      </c>
      <c r="B32" s="885" t="s">
        <v>203</v>
      </c>
      <c r="C32" s="886"/>
      <c r="D32" s="884"/>
      <c r="E32" s="20">
        <f>VLOOKUP(A32,'Point Allocation'!$A$5:$J$15,MATCH(A7,'Point Allocation'!$A$5:$J$5,0),0)</f>
        <v>42</v>
      </c>
      <c r="F32" s="536"/>
      <c r="G32" s="31">
        <f>IFERROR(F32/$F$56,0)</f>
        <v>0</v>
      </c>
      <c r="H32" s="405">
        <f>E32*G32</f>
        <v>0</v>
      </c>
      <c r="R32" s="53"/>
      <c r="S32" s="45"/>
    </row>
    <row r="33" spans="1:19" s="29" customFormat="1" ht="15.6">
      <c r="A33" s="398">
        <v>3</v>
      </c>
      <c r="B33" s="40" t="s">
        <v>340</v>
      </c>
      <c r="C33" s="51"/>
      <c r="D33" s="49"/>
      <c r="E33" s="52"/>
      <c r="F33" s="8"/>
      <c r="G33" s="22"/>
      <c r="H33" s="400"/>
      <c r="R33" s="53"/>
      <c r="S33" s="45"/>
    </row>
    <row r="34" spans="1:19" s="29" customFormat="1" ht="15" customHeight="1">
      <c r="A34" s="401">
        <v>3.1</v>
      </c>
      <c r="B34" s="885" t="s">
        <v>587</v>
      </c>
      <c r="C34" s="886"/>
      <c r="D34" s="884"/>
      <c r="E34" s="20">
        <f>VLOOKUP(A34,'Point Allocation'!$A$5:$J$15,MATCH(A7,'Point Allocation'!$A$5:$J$5,0),0)</f>
        <v>39</v>
      </c>
      <c r="F34" s="37"/>
      <c r="G34" s="31">
        <f>IFERROR(F34/$F$56,0)</f>
        <v>0</v>
      </c>
      <c r="H34" s="419">
        <f>E34*G34</f>
        <v>0</v>
      </c>
      <c r="R34" s="53"/>
      <c r="S34" s="45"/>
    </row>
    <row r="35" spans="1:19" s="29" customFormat="1" ht="31.5" customHeight="1">
      <c r="A35" s="967">
        <v>3.2</v>
      </c>
      <c r="B35" s="969" t="s">
        <v>330</v>
      </c>
      <c r="C35" s="970"/>
      <c r="D35" s="971"/>
      <c r="E35" s="910">
        <f>VLOOKUP(A35,'Point Allocation'!$A$5:$J$15,MATCH(A7,'Point Allocation'!$A$5:$J$5,0),0)</f>
        <v>39</v>
      </c>
      <c r="F35" s="37"/>
      <c r="G35" s="31">
        <f>IFERROR(F35/$F$56,0)</f>
        <v>0</v>
      </c>
      <c r="H35" s="945">
        <f>IF(SUM(J37:J42)&gt;=4,E35*G35,0)</f>
        <v>0</v>
      </c>
      <c r="R35" s="53"/>
      <c r="S35" s="45"/>
    </row>
    <row r="36" spans="1:19" s="29" customFormat="1" ht="31.5" customHeight="1">
      <c r="A36" s="968"/>
      <c r="B36" s="972"/>
      <c r="C36" s="973"/>
      <c r="D36" s="974"/>
      <c r="E36" s="911"/>
      <c r="F36" s="9" t="s">
        <v>130</v>
      </c>
      <c r="G36" s="54" t="s">
        <v>117</v>
      </c>
      <c r="H36" s="947"/>
      <c r="R36" s="53"/>
      <c r="S36" s="45"/>
    </row>
    <row r="37" spans="1:19" s="29" customFormat="1" ht="89.25" customHeight="1">
      <c r="A37" s="402" t="s">
        <v>192</v>
      </c>
      <c r="B37" s="1016" t="s">
        <v>359</v>
      </c>
      <c r="C37" s="1017"/>
      <c r="D37" s="1018"/>
      <c r="E37" s="958"/>
      <c r="F37" s="187" t="s">
        <v>131</v>
      </c>
      <c r="G37" s="546"/>
      <c r="H37" s="946"/>
      <c r="J37" s="55">
        <f t="shared" ref="J37:J42" si="1">IF(G37&gt;=65%,1,0)</f>
        <v>0</v>
      </c>
      <c r="R37" s="53"/>
      <c r="S37" s="45"/>
    </row>
    <row r="38" spans="1:19" s="29" customFormat="1" ht="33.75" customHeight="1">
      <c r="A38" s="402" t="s">
        <v>193</v>
      </c>
      <c r="B38" s="871" t="s">
        <v>215</v>
      </c>
      <c r="C38" s="872"/>
      <c r="D38" s="873"/>
      <c r="E38" s="958"/>
      <c r="F38" s="39" t="s">
        <v>132</v>
      </c>
      <c r="G38" s="547"/>
      <c r="H38" s="946"/>
      <c r="J38" s="55">
        <f t="shared" si="1"/>
        <v>0</v>
      </c>
      <c r="R38" s="53"/>
      <c r="S38" s="45"/>
    </row>
    <row r="39" spans="1:19" s="29" customFormat="1" ht="48.75" customHeight="1">
      <c r="A39" s="402" t="s">
        <v>201</v>
      </c>
      <c r="B39" s="871" t="s">
        <v>216</v>
      </c>
      <c r="C39" s="872"/>
      <c r="D39" s="873"/>
      <c r="E39" s="958"/>
      <c r="F39" s="39" t="s">
        <v>133</v>
      </c>
      <c r="G39" s="547"/>
      <c r="H39" s="946"/>
      <c r="J39" s="55">
        <f t="shared" si="1"/>
        <v>0</v>
      </c>
      <c r="R39" s="53"/>
      <c r="S39" s="45"/>
    </row>
    <row r="40" spans="1:19" s="29" customFormat="1" ht="45">
      <c r="A40" s="402" t="s">
        <v>194</v>
      </c>
      <c r="B40" s="871" t="s">
        <v>217</v>
      </c>
      <c r="C40" s="872"/>
      <c r="D40" s="873"/>
      <c r="E40" s="958"/>
      <c r="F40" s="39" t="s">
        <v>134</v>
      </c>
      <c r="G40" s="547"/>
      <c r="H40" s="946"/>
      <c r="J40" s="55">
        <f t="shared" si="1"/>
        <v>0</v>
      </c>
      <c r="R40" s="53"/>
      <c r="S40" s="45"/>
    </row>
    <row r="41" spans="1:19" s="29" customFormat="1" ht="48.75" customHeight="1">
      <c r="A41" s="402" t="s">
        <v>202</v>
      </c>
      <c r="B41" s="871" t="s">
        <v>218</v>
      </c>
      <c r="C41" s="872"/>
      <c r="D41" s="873"/>
      <c r="E41" s="958"/>
      <c r="F41" s="39" t="s">
        <v>135</v>
      </c>
      <c r="G41" s="547"/>
      <c r="H41" s="946"/>
      <c r="J41" s="55">
        <f t="shared" si="1"/>
        <v>0</v>
      </c>
      <c r="R41" s="53"/>
      <c r="S41" s="45"/>
    </row>
    <row r="42" spans="1:19" s="29" customFormat="1" ht="31.5" customHeight="1">
      <c r="A42" s="402" t="s">
        <v>195</v>
      </c>
      <c r="B42" s="975" t="s">
        <v>345</v>
      </c>
      <c r="C42" s="976"/>
      <c r="D42" s="977"/>
      <c r="E42" s="959"/>
      <c r="F42" s="39" t="s">
        <v>136</v>
      </c>
      <c r="G42" s="547"/>
      <c r="H42" s="947"/>
      <c r="J42" s="55">
        <f t="shared" si="1"/>
        <v>0</v>
      </c>
      <c r="R42" s="53"/>
      <c r="S42" s="45"/>
    </row>
    <row r="43" spans="1:19" s="29" customFormat="1" ht="15.6">
      <c r="A43" s="398" t="s">
        <v>196</v>
      </c>
      <c r="B43" s="40" t="s">
        <v>341</v>
      </c>
      <c r="C43" s="56"/>
      <c r="D43" s="49"/>
      <c r="E43" s="52"/>
      <c r="F43" s="36"/>
      <c r="G43" s="23"/>
      <c r="H43" s="403"/>
      <c r="R43" s="53"/>
      <c r="S43" s="45"/>
    </row>
    <row r="44" spans="1:19" s="29" customFormat="1" ht="31.5" customHeight="1">
      <c r="A44" s="404">
        <v>4.0999999999999996</v>
      </c>
      <c r="B44" s="885" t="s">
        <v>331</v>
      </c>
      <c r="C44" s="886"/>
      <c r="D44" s="884"/>
      <c r="E44" s="20">
        <f>VLOOKUP(A44,'Point Allocation'!$A$5:$J$15,MATCH(A7,'Point Allocation'!$A$5:$J$5,0),0)</f>
        <v>35</v>
      </c>
      <c r="F44" s="536"/>
      <c r="G44" s="31">
        <f>IFERROR(F44/$F$56,0)</f>
        <v>0</v>
      </c>
      <c r="H44" s="405">
        <f>E44*G44</f>
        <v>0</v>
      </c>
      <c r="R44" s="53"/>
      <c r="S44" s="45"/>
    </row>
    <row r="45" spans="1:19" s="29" customFormat="1">
      <c r="A45" s="406">
        <v>4.2</v>
      </c>
      <c r="B45" s="928" t="s">
        <v>348</v>
      </c>
      <c r="C45" s="990"/>
      <c r="D45" s="929"/>
      <c r="E45" s="20">
        <f>VLOOKUP(A45,'Point Allocation'!$A$5:$J$15,MATCH(A7,'Point Allocation'!$A$5:$J$5,0),0)</f>
        <v>35</v>
      </c>
      <c r="F45" s="536"/>
      <c r="G45" s="31">
        <f>IFERROR(F45/$F$56,0)</f>
        <v>0</v>
      </c>
      <c r="H45" s="405">
        <f>E45*G45</f>
        <v>0</v>
      </c>
      <c r="R45" s="53"/>
      <c r="S45" s="45"/>
    </row>
    <row r="46" spans="1:19" s="29" customFormat="1">
      <c r="A46" s="406">
        <v>4.3</v>
      </c>
      <c r="B46" s="960" t="s">
        <v>346</v>
      </c>
      <c r="C46" s="961"/>
      <c r="D46" s="962"/>
      <c r="E46" s="20">
        <f>VLOOKUP(A46,'Point Allocation'!$A$5:$J$15,MATCH(A7,'Point Allocation'!$A$5:$J$5,0),0)</f>
        <v>28</v>
      </c>
      <c r="F46" s="536"/>
      <c r="G46" s="31">
        <f>IFERROR(F46/$F$56,0)</f>
        <v>0</v>
      </c>
      <c r="H46" s="405">
        <f>E46*G46</f>
        <v>0</v>
      </c>
      <c r="R46" s="53"/>
      <c r="S46" s="45"/>
    </row>
    <row r="47" spans="1:19" s="29" customFormat="1">
      <c r="A47" s="404">
        <v>4.4000000000000004</v>
      </c>
      <c r="B47" s="885" t="s">
        <v>347</v>
      </c>
      <c r="C47" s="886"/>
      <c r="D47" s="884"/>
      <c r="E47" s="20">
        <f>VLOOKUP(A47,'Point Allocation'!$A$5:$J$15,MATCH(A7,'Point Allocation'!$A$5:$J$5,0),0)</f>
        <v>28</v>
      </c>
      <c r="F47" s="536"/>
      <c r="G47" s="31">
        <f>IFERROR(F47/$F$56,0)</f>
        <v>0</v>
      </c>
      <c r="H47" s="405">
        <f>E47*G47</f>
        <v>0</v>
      </c>
      <c r="R47" s="53"/>
      <c r="S47" s="45"/>
    </row>
    <row r="48" spans="1:19" s="59" customFormat="1" ht="15.6">
      <c r="A48" s="396" t="s">
        <v>197</v>
      </c>
      <c r="B48" s="46" t="s">
        <v>211</v>
      </c>
      <c r="C48" s="57"/>
      <c r="D48" s="58"/>
      <c r="E48" s="7"/>
      <c r="F48" s="7"/>
      <c r="G48" s="24"/>
      <c r="H48" s="407"/>
      <c r="J48" s="29"/>
      <c r="K48" s="29"/>
      <c r="L48" s="29"/>
      <c r="M48" s="29"/>
      <c r="N48" s="29"/>
      <c r="R48" s="60"/>
    </row>
    <row r="49" spans="1:19" s="59" customFormat="1" ht="15.6">
      <c r="A49" s="408">
        <v>5</v>
      </c>
      <c r="B49" s="40" t="s">
        <v>212</v>
      </c>
      <c r="C49" s="49"/>
      <c r="D49" s="49"/>
      <c r="E49" s="8"/>
      <c r="F49" s="8"/>
      <c r="G49" s="22"/>
      <c r="H49" s="403"/>
      <c r="J49" s="29"/>
      <c r="K49" s="29"/>
      <c r="L49" s="29"/>
      <c r="M49" s="29"/>
      <c r="N49" s="29"/>
      <c r="R49" s="60"/>
    </row>
    <row r="50" spans="1:19" s="29" customFormat="1">
      <c r="A50" s="409">
        <v>5.0999999999999996</v>
      </c>
      <c r="B50" s="844" t="s">
        <v>204</v>
      </c>
      <c r="C50" s="846"/>
      <c r="D50" s="845"/>
      <c r="E50" s="20">
        <f>VLOOKUP(A50,'Point Allocation'!$A$5:$J$15,MATCH(A7,'Point Allocation'!$A$5:$J$5,0),0)</f>
        <v>22</v>
      </c>
      <c r="F50" s="536"/>
      <c r="G50" s="31">
        <f>IFERROR(F50/$F$56,0)</f>
        <v>0</v>
      </c>
      <c r="H50" s="405">
        <f>E50*G50</f>
        <v>0</v>
      </c>
      <c r="R50" s="53"/>
      <c r="S50" s="45"/>
    </row>
    <row r="51" spans="1:19" s="29" customFormat="1">
      <c r="A51" s="409">
        <v>5.2</v>
      </c>
      <c r="B51" s="844" t="s">
        <v>151</v>
      </c>
      <c r="C51" s="846"/>
      <c r="D51" s="845"/>
      <c r="E51" s="20">
        <f>VLOOKUP(A51,'Point Allocation'!$A$5:$J$15,MATCH(A7,'Point Allocation'!$A$5:$J$5,0),0)</f>
        <v>10</v>
      </c>
      <c r="F51" s="536"/>
      <c r="G51" s="31">
        <f>IFERROR(F51/$F$56,0)</f>
        <v>0</v>
      </c>
      <c r="H51" s="405">
        <f>E51*G51</f>
        <v>0</v>
      </c>
      <c r="R51" s="53"/>
      <c r="S51" s="45"/>
    </row>
    <row r="52" spans="1:19" s="29" customFormat="1" ht="15.6">
      <c r="A52" s="410">
        <v>6</v>
      </c>
      <c r="B52" s="61" t="s">
        <v>213</v>
      </c>
      <c r="C52" s="49"/>
      <c r="D52" s="49"/>
      <c r="E52" s="8"/>
      <c r="F52" s="8"/>
      <c r="G52" s="22"/>
      <c r="H52" s="403"/>
      <c r="R52" s="53"/>
      <c r="S52" s="45"/>
    </row>
    <row r="53" spans="1:19" s="29" customFormat="1">
      <c r="A53" s="411">
        <v>6.1</v>
      </c>
      <c r="B53" s="826"/>
      <c r="C53" s="821"/>
      <c r="D53" s="847"/>
      <c r="E53" s="536"/>
      <c r="F53" s="536"/>
      <c r="G53" s="31">
        <f>IFERROR(F53/$F$56,0)</f>
        <v>0</v>
      </c>
      <c r="H53" s="405">
        <f>E53*G53</f>
        <v>0</v>
      </c>
      <c r="R53" s="53"/>
      <c r="S53" s="45"/>
    </row>
    <row r="54" spans="1:19" s="29" customFormat="1">
      <c r="A54" s="411">
        <v>6.2</v>
      </c>
      <c r="B54" s="826"/>
      <c r="C54" s="821"/>
      <c r="D54" s="847"/>
      <c r="E54" s="536"/>
      <c r="F54" s="536"/>
      <c r="G54" s="31">
        <f>IFERROR(F54/$F$56,0)</f>
        <v>0</v>
      </c>
      <c r="H54" s="405">
        <f>E54*G54</f>
        <v>0</v>
      </c>
      <c r="R54" s="53"/>
      <c r="S54" s="45"/>
    </row>
    <row r="55" spans="1:19" s="29" customFormat="1">
      <c r="A55" s="411">
        <v>6.3</v>
      </c>
      <c r="B55" s="826"/>
      <c r="C55" s="821"/>
      <c r="D55" s="847"/>
      <c r="E55" s="536"/>
      <c r="F55" s="536"/>
      <c r="G55" s="31">
        <f>IFERROR(F55/$F$56,0)</f>
        <v>0</v>
      </c>
      <c r="H55" s="405">
        <f>E55*G55</f>
        <v>0</v>
      </c>
      <c r="R55" s="53"/>
      <c r="S55" s="45"/>
    </row>
    <row r="56" spans="1:19" s="29" customFormat="1" ht="15.6">
      <c r="A56" s="412"/>
      <c r="B56" s="322"/>
      <c r="C56" s="323"/>
      <c r="D56" s="323"/>
      <c r="E56" s="324" t="s">
        <v>61</v>
      </c>
      <c r="F56" s="26">
        <f>SUM(F29,F32,F34,F35,F44,F45,F46,F47,F50,F51,F53,F54,F55)</f>
        <v>0</v>
      </c>
      <c r="G56" s="25">
        <f>SUM(G29,G32:G32,G34:G35,G44:G47,G50:G51,G53:G55)</f>
        <v>0</v>
      </c>
      <c r="H56" s="413">
        <f>IFERROR(SUM(H29:H55),0)</f>
        <v>0</v>
      </c>
      <c r="N56" s="62"/>
      <c r="R56" s="53"/>
      <c r="S56" s="45"/>
    </row>
    <row r="57" spans="1:19" s="29" customFormat="1" ht="15.6" thickBot="1">
      <c r="A57" s="491"/>
      <c r="B57" s="492"/>
      <c r="C57" s="493"/>
      <c r="D57" s="493"/>
      <c r="E57" s="493"/>
      <c r="F57" s="493"/>
      <c r="G57" s="480"/>
      <c r="H57" s="639"/>
      <c r="R57" s="53"/>
      <c r="S57" s="45"/>
    </row>
    <row r="58" spans="1:19" s="29" customFormat="1" ht="15.6">
      <c r="A58" s="954" t="s">
        <v>0</v>
      </c>
      <c r="B58" s="955"/>
      <c r="C58" s="646"/>
      <c r="D58" s="978" t="s">
        <v>4</v>
      </c>
      <c r="E58" s="952" t="s">
        <v>1</v>
      </c>
      <c r="F58" s="953"/>
      <c r="G58" s="948" t="s">
        <v>21</v>
      </c>
      <c r="H58" s="950" t="s">
        <v>63</v>
      </c>
      <c r="R58" s="53"/>
      <c r="S58" s="45"/>
    </row>
    <row r="59" spans="1:19" s="29" customFormat="1" ht="31.2">
      <c r="A59" s="956"/>
      <c r="B59" s="957"/>
      <c r="C59" s="63"/>
      <c r="D59" s="979"/>
      <c r="E59" s="43" t="s">
        <v>118</v>
      </c>
      <c r="F59" s="43" t="s">
        <v>119</v>
      </c>
      <c r="G59" s="949"/>
      <c r="H59" s="951"/>
      <c r="J59" s="64"/>
      <c r="R59" s="53"/>
      <c r="S59" s="45"/>
    </row>
    <row r="60" spans="1:19" s="29" customFormat="1" ht="15.6">
      <c r="A60" s="415" t="s">
        <v>219</v>
      </c>
      <c r="B60" s="46" t="s">
        <v>148</v>
      </c>
      <c r="C60" s="58"/>
      <c r="D60" s="65"/>
      <c r="E60" s="48"/>
      <c r="F60" s="48"/>
      <c r="G60" s="48"/>
      <c r="H60" s="416"/>
      <c r="J60" s="62"/>
      <c r="K60" s="62"/>
      <c r="L60" s="62"/>
      <c r="M60" s="62"/>
      <c r="R60" s="53"/>
      <c r="S60" s="45"/>
    </row>
    <row r="61" spans="1:19" s="29" customFormat="1" ht="15" customHeight="1">
      <c r="A61" s="417" t="s">
        <v>349</v>
      </c>
      <c r="B61" s="850" t="s">
        <v>595</v>
      </c>
      <c r="C61" s="851"/>
      <c r="D61" s="5" t="s">
        <v>51</v>
      </c>
      <c r="E61" s="9">
        <v>3</v>
      </c>
      <c r="F61" s="9">
        <v>4</v>
      </c>
      <c r="G61" s="66"/>
      <c r="H61" s="405">
        <f>IF(G61&gt;=80%,F61,IF(G61&lt;65%,0,E61))</f>
        <v>0</v>
      </c>
      <c r="R61" s="53"/>
      <c r="S61" s="45"/>
    </row>
    <row r="62" spans="1:19" s="29" customFormat="1">
      <c r="A62" s="417" t="s">
        <v>350</v>
      </c>
      <c r="B62" s="850" t="s">
        <v>596</v>
      </c>
      <c r="C62" s="851"/>
      <c r="D62" s="5" t="s">
        <v>51</v>
      </c>
      <c r="E62" s="9">
        <v>3</v>
      </c>
      <c r="F62" s="9">
        <v>4</v>
      </c>
      <c r="G62" s="66"/>
      <c r="H62" s="405">
        <f>IF(G62&gt;=80%,F62,IF(G62&lt;65%,0,E62))</f>
        <v>0</v>
      </c>
      <c r="R62" s="53"/>
      <c r="S62" s="45"/>
    </row>
    <row r="63" spans="1:19" s="29" customFormat="1">
      <c r="A63" s="418" t="s">
        <v>351</v>
      </c>
      <c r="B63" s="850" t="s">
        <v>588</v>
      </c>
      <c r="C63" s="851"/>
      <c r="D63" s="5" t="s">
        <v>51</v>
      </c>
      <c r="E63" s="9">
        <v>3</v>
      </c>
      <c r="F63" s="9">
        <v>4</v>
      </c>
      <c r="G63" s="66"/>
      <c r="H63" s="405">
        <f>IF(G63&gt;=80%,F63,IF(G63&lt;65%,0,E63))</f>
        <v>0</v>
      </c>
      <c r="R63" s="53"/>
      <c r="S63" s="45"/>
    </row>
    <row r="64" spans="1:19" s="29" customFormat="1" ht="51" customHeight="1">
      <c r="A64" s="417">
        <v>7.2</v>
      </c>
      <c r="B64" s="1019" t="s">
        <v>354</v>
      </c>
      <c r="C64" s="1019"/>
      <c r="D64" s="518" t="s">
        <v>51</v>
      </c>
      <c r="E64" s="540">
        <v>2</v>
      </c>
      <c r="F64" s="540">
        <v>2.5</v>
      </c>
      <c r="G64" s="516"/>
      <c r="H64" s="419">
        <f>IF(H35&gt;0,0,IF(G64&gt;=80%,F64,IF(G64&lt;65%,0,E64)))</f>
        <v>0</v>
      </c>
      <c r="J64" s="11"/>
      <c r="K64" s="11"/>
      <c r="L64" s="11"/>
      <c r="R64" s="53"/>
      <c r="S64" s="45"/>
    </row>
    <row r="65" spans="1:19" s="29" customFormat="1" ht="15" customHeight="1">
      <c r="A65" s="417">
        <v>7.3</v>
      </c>
      <c r="B65" s="885" t="s">
        <v>226</v>
      </c>
      <c r="C65" s="886"/>
      <c r="D65" s="375"/>
      <c r="E65" s="375"/>
      <c r="F65" s="375"/>
      <c r="G65" s="375"/>
      <c r="H65" s="420"/>
      <c r="J65" s="11"/>
      <c r="K65" s="11"/>
      <c r="L65" s="11"/>
      <c r="R65" s="53"/>
      <c r="S65" s="45"/>
    </row>
    <row r="66" spans="1:19" s="29" customFormat="1" ht="32.25" customHeight="1">
      <c r="A66" s="418" t="s">
        <v>220</v>
      </c>
      <c r="B66" s="883" t="s">
        <v>227</v>
      </c>
      <c r="C66" s="884"/>
      <c r="D66" s="856" t="s">
        <v>51</v>
      </c>
      <c r="E66" s="296">
        <v>1</v>
      </c>
      <c r="F66" s="296">
        <v>1.5</v>
      </c>
      <c r="G66" s="67"/>
      <c r="H66" s="298">
        <f>IF(H29+H35&gt;0,0.5,IF(G66&gt;=80%,F66,IF(G66&lt;65%,0,E66)))</f>
        <v>0</v>
      </c>
      <c r="K66" s="11"/>
      <c r="L66" s="11"/>
      <c r="R66" s="53"/>
      <c r="S66" s="45"/>
    </row>
    <row r="67" spans="1:19" s="29" customFormat="1" ht="47.25" customHeight="1">
      <c r="A67" s="418" t="s">
        <v>221</v>
      </c>
      <c r="B67" s="883" t="s">
        <v>228</v>
      </c>
      <c r="C67" s="884"/>
      <c r="D67" s="857"/>
      <c r="E67" s="296">
        <v>1</v>
      </c>
      <c r="F67" s="296">
        <v>1.5</v>
      </c>
      <c r="G67" s="67"/>
      <c r="H67" s="298">
        <f>IF(H29+H35&gt;0,0.5,IF(G67&gt;=80%,F67,IF(G67&lt;65%,0,E67)))</f>
        <v>0</v>
      </c>
      <c r="R67" s="53"/>
      <c r="S67" s="45"/>
    </row>
    <row r="68" spans="1:19" s="29" customFormat="1">
      <c r="A68" s="418" t="s">
        <v>235</v>
      </c>
      <c r="B68" s="883" t="s">
        <v>229</v>
      </c>
      <c r="C68" s="884"/>
      <c r="D68" s="857"/>
      <c r="E68" s="296">
        <v>1</v>
      </c>
      <c r="F68" s="296">
        <v>1.5</v>
      </c>
      <c r="G68" s="67"/>
      <c r="H68" s="298">
        <f>IF(H29+H35&gt;0,0.5,IF(G68&gt;=80%,F68,IF(G68&lt;65%,0,E68)))</f>
        <v>0</v>
      </c>
      <c r="R68" s="53"/>
      <c r="S68" s="45"/>
    </row>
    <row r="69" spans="1:19" s="29" customFormat="1" ht="46.5" customHeight="1">
      <c r="A69" s="418" t="s">
        <v>222</v>
      </c>
      <c r="B69" s="883" t="s">
        <v>230</v>
      </c>
      <c r="C69" s="884"/>
      <c r="D69" s="858"/>
      <c r="E69" s="296">
        <v>1</v>
      </c>
      <c r="F69" s="296">
        <v>1.5</v>
      </c>
      <c r="G69" s="67"/>
      <c r="H69" s="298">
        <f>IF(H29+H35&gt;0,0.5,IF(G69&gt;=80%,F69,IF(G69&lt;65%,0,E69)))</f>
        <v>0</v>
      </c>
      <c r="R69" s="53"/>
      <c r="S69" s="45"/>
    </row>
    <row r="70" spans="1:19" s="29" customFormat="1">
      <c r="A70" s="417">
        <v>7.4</v>
      </c>
      <c r="B70" s="930" t="s">
        <v>441</v>
      </c>
      <c r="C70" s="930"/>
      <c r="D70" s="350" t="s">
        <v>2</v>
      </c>
      <c r="E70" s="296">
        <v>1</v>
      </c>
      <c r="F70" s="296">
        <v>1.5</v>
      </c>
      <c r="G70" s="67"/>
      <c r="H70" s="298">
        <f>IF(G70&gt;=80%,F70,IF(G70&lt;65%,0,E70))</f>
        <v>0</v>
      </c>
      <c r="R70" s="53"/>
      <c r="S70" s="45"/>
    </row>
    <row r="71" spans="1:19" s="29" customFormat="1" ht="15" customHeight="1">
      <c r="A71" s="664">
        <v>7.5</v>
      </c>
      <c r="B71" s="1020" t="s">
        <v>422</v>
      </c>
      <c r="C71" s="1020"/>
      <c r="D71" s="561" t="s">
        <v>420</v>
      </c>
      <c r="E71" s="855">
        <v>2</v>
      </c>
      <c r="F71" s="855"/>
      <c r="G71" s="546"/>
      <c r="H71" s="519">
        <f>IF(G71&gt;=5%,E71,0)</f>
        <v>0</v>
      </c>
      <c r="R71" s="53"/>
      <c r="S71" s="45"/>
    </row>
    <row r="72" spans="1:19" s="29" customFormat="1" ht="15.6">
      <c r="A72" s="421" t="s">
        <v>223</v>
      </c>
      <c r="B72" s="68" t="s">
        <v>231</v>
      </c>
      <c r="C72" s="69"/>
      <c r="D72" s="70"/>
      <c r="E72" s="71"/>
      <c r="F72" s="71"/>
      <c r="G72" s="71"/>
      <c r="H72" s="422"/>
      <c r="R72" s="53"/>
      <c r="S72" s="45"/>
    </row>
    <row r="73" spans="1:19" s="29" customFormat="1">
      <c r="A73" s="417">
        <v>8.1</v>
      </c>
      <c r="B73" s="852" t="s">
        <v>232</v>
      </c>
      <c r="C73" s="852"/>
      <c r="D73" s="5" t="s">
        <v>51</v>
      </c>
      <c r="E73" s="20">
        <v>2</v>
      </c>
      <c r="F73" s="20">
        <v>2.5</v>
      </c>
      <c r="G73" s="72"/>
      <c r="H73" s="405">
        <f>IF(G73&gt;=80%,F73,IF(G73&lt;65%,0,E73))</f>
        <v>0</v>
      </c>
      <c r="J73" s="73"/>
      <c r="R73" s="53"/>
      <c r="S73" s="45"/>
    </row>
    <row r="74" spans="1:19" s="29" customFormat="1">
      <c r="A74" s="417">
        <v>8.1999999999999993</v>
      </c>
      <c r="B74" s="852" t="s">
        <v>233</v>
      </c>
      <c r="C74" s="852"/>
      <c r="D74" s="5" t="s">
        <v>51</v>
      </c>
      <c r="E74" s="20">
        <v>2</v>
      </c>
      <c r="F74" s="20">
        <v>2.5</v>
      </c>
      <c r="G74" s="72"/>
      <c r="H74" s="405">
        <f>IF(G74&gt;=80%,F74,IF(G74&lt;65%,0,E74))</f>
        <v>0</v>
      </c>
      <c r="J74" s="11"/>
      <c r="K74" s="11"/>
      <c r="L74" s="11"/>
      <c r="R74" s="53"/>
      <c r="S74" s="45"/>
    </row>
    <row r="75" spans="1:19" s="29" customFormat="1">
      <c r="A75" s="417">
        <v>8.3000000000000007</v>
      </c>
      <c r="B75" s="874" t="s">
        <v>147</v>
      </c>
      <c r="C75" s="875"/>
      <c r="D75" s="5" t="s">
        <v>2</v>
      </c>
      <c r="E75" s="20">
        <v>2</v>
      </c>
      <c r="F75" s="20">
        <v>2.5</v>
      </c>
      <c r="G75" s="66"/>
      <c r="H75" s="405">
        <f>IF(G75&gt;=80%,F75,IF(G75&lt;65%,0,E75))</f>
        <v>0</v>
      </c>
      <c r="R75" s="53"/>
      <c r="S75" s="45"/>
    </row>
    <row r="76" spans="1:19" s="29" customFormat="1" ht="15.6">
      <c r="A76" s="421" t="s">
        <v>224</v>
      </c>
      <c r="B76" s="68" t="s">
        <v>234</v>
      </c>
      <c r="C76" s="69"/>
      <c r="D76" s="70"/>
      <c r="E76" s="71"/>
      <c r="F76" s="71"/>
      <c r="G76" s="71"/>
      <c r="H76" s="422"/>
      <c r="R76" s="53"/>
      <c r="S76" s="45"/>
    </row>
    <row r="77" spans="1:19" s="29" customFormat="1" ht="31.5" customHeight="1">
      <c r="A77" s="417">
        <v>9.1</v>
      </c>
      <c r="B77" s="852" t="s">
        <v>371</v>
      </c>
      <c r="C77" s="852"/>
      <c r="D77" s="5" t="s">
        <v>51</v>
      </c>
      <c r="E77" s="20">
        <v>2</v>
      </c>
      <c r="F77" s="20">
        <v>2.5</v>
      </c>
      <c r="G77" s="72"/>
      <c r="H77" s="405">
        <f>IF(G77&gt;=80%,F77,IF(G77&lt;65%,0,E77))</f>
        <v>0</v>
      </c>
      <c r="R77" s="53"/>
      <c r="S77" s="45"/>
    </row>
    <row r="78" spans="1:19" s="29" customFormat="1" ht="15.6">
      <c r="A78" s="423" t="s">
        <v>225</v>
      </c>
      <c r="B78" s="74" t="s">
        <v>213</v>
      </c>
      <c r="C78" s="58"/>
      <c r="D78" s="58"/>
      <c r="E78" s="75"/>
      <c r="F78" s="75"/>
      <c r="G78" s="76"/>
      <c r="H78" s="424"/>
      <c r="R78" s="53"/>
      <c r="S78" s="45"/>
    </row>
    <row r="79" spans="1:19" s="29" customFormat="1">
      <c r="A79" s="417">
        <v>10.1</v>
      </c>
      <c r="B79" s="848"/>
      <c r="C79" s="848"/>
      <c r="D79" s="77"/>
      <c r="E79" s="536"/>
      <c r="F79" s="536"/>
      <c r="G79" s="547"/>
      <c r="H79" s="405">
        <f>IF(G79&gt;=80%,F79,IF(G79&lt;65%,0,E79))</f>
        <v>0</v>
      </c>
      <c r="R79" s="53"/>
      <c r="S79" s="45"/>
    </row>
    <row r="80" spans="1:19" s="29" customFormat="1">
      <c r="A80" s="417">
        <v>10.199999999999999</v>
      </c>
      <c r="B80" s="848"/>
      <c r="C80" s="848"/>
      <c r="D80" s="77"/>
      <c r="E80" s="536"/>
      <c r="F80" s="536"/>
      <c r="G80" s="547"/>
      <c r="H80" s="405">
        <f>IF(G80&gt;=80%,F80,IF(G80&lt;65%,0,E80))</f>
        <v>0</v>
      </c>
      <c r="R80" s="53"/>
      <c r="S80" s="45"/>
    </row>
    <row r="81" spans="1:19" s="29" customFormat="1">
      <c r="A81" s="417">
        <v>10.3</v>
      </c>
      <c r="B81" s="848"/>
      <c r="C81" s="848"/>
      <c r="D81" s="77"/>
      <c r="E81" s="536"/>
      <c r="F81" s="536"/>
      <c r="G81" s="547"/>
      <c r="H81" s="405">
        <f>IF(G81&gt;=80%,F81,IF(G81&lt;65%,0,E81))</f>
        <v>0</v>
      </c>
      <c r="R81" s="53"/>
      <c r="S81" s="45"/>
    </row>
    <row r="82" spans="1:19" s="29" customFormat="1" ht="15.6">
      <c r="A82" s="425"/>
      <c r="B82" s="325"/>
      <c r="C82" s="323"/>
      <c r="D82" s="323"/>
      <c r="E82" s="326"/>
      <c r="F82" s="327"/>
      <c r="G82" s="328" t="s">
        <v>418</v>
      </c>
      <c r="H82" s="426">
        <f>IFERROR((SUM(H61:H81)),0)</f>
        <v>0</v>
      </c>
      <c r="R82" s="53"/>
      <c r="S82" s="45"/>
    </row>
    <row r="83" spans="1:19" s="29" customFormat="1">
      <c r="A83" s="412"/>
      <c r="B83" s="325"/>
      <c r="C83" s="323"/>
      <c r="D83" s="323"/>
      <c r="E83" s="323"/>
      <c r="F83" s="323"/>
      <c r="G83" s="329"/>
      <c r="H83" s="388"/>
      <c r="R83" s="53"/>
      <c r="S83" s="45"/>
    </row>
    <row r="84" spans="1:19" s="29" customFormat="1" ht="15.6">
      <c r="A84" s="412"/>
      <c r="B84" s="325"/>
      <c r="C84" s="323"/>
      <c r="D84" s="323"/>
      <c r="E84" s="323"/>
      <c r="F84" s="323"/>
      <c r="G84" s="330" t="s">
        <v>129</v>
      </c>
      <c r="H84" s="427">
        <f>IFERROR(MIN(G24,H56+H82),0)</f>
        <v>0</v>
      </c>
      <c r="R84" s="53"/>
      <c r="S84" s="45"/>
    </row>
    <row r="85" spans="1:19" s="29" customFormat="1" ht="16.2" thickBot="1">
      <c r="A85" s="491"/>
      <c r="B85" s="492"/>
      <c r="C85" s="493"/>
      <c r="D85" s="493"/>
      <c r="E85" s="493"/>
      <c r="F85" s="493"/>
      <c r="G85" s="496"/>
      <c r="H85" s="495"/>
      <c r="R85" s="53"/>
      <c r="S85" s="45"/>
    </row>
    <row r="86" spans="1:19" s="29" customFormat="1" ht="15.6">
      <c r="A86" s="486" t="s">
        <v>52</v>
      </c>
      <c r="B86" s="487"/>
      <c r="C86" s="487"/>
      <c r="D86" s="487"/>
      <c r="E86" s="487"/>
      <c r="F86" s="488" t="s">
        <v>43</v>
      </c>
      <c r="G86" s="489">
        <f>VLOOKUP($A$7,'Manpower allocation'!A4:D11,3,FALSE)*100</f>
        <v>40</v>
      </c>
      <c r="H86" s="490" t="s">
        <v>42</v>
      </c>
      <c r="J86" s="79">
        <f>VLOOKUP($A$7,'Manpower allocation'!A4:D11,3,FALSE)*100</f>
        <v>40</v>
      </c>
      <c r="R86" s="53"/>
      <c r="S86" s="45"/>
    </row>
    <row r="87" spans="1:19" s="29" customFormat="1" ht="15.6">
      <c r="A87" s="412"/>
      <c r="B87" s="331"/>
      <c r="C87" s="326"/>
      <c r="D87" s="323"/>
      <c r="E87" s="323"/>
      <c r="F87" s="323"/>
      <c r="G87" s="332"/>
      <c r="H87" s="388"/>
      <c r="R87" s="53"/>
      <c r="S87" s="45"/>
    </row>
    <row r="88" spans="1:19" s="29" customFormat="1" ht="46.8">
      <c r="A88" s="549" t="s">
        <v>0</v>
      </c>
      <c r="B88" s="550"/>
      <c r="C88" s="168"/>
      <c r="D88" s="80"/>
      <c r="E88" s="81" t="s">
        <v>17</v>
      </c>
      <c r="F88" s="82" t="s">
        <v>81</v>
      </c>
      <c r="G88" s="82" t="s">
        <v>20</v>
      </c>
      <c r="H88" s="428" t="s">
        <v>53</v>
      </c>
      <c r="R88" s="53"/>
      <c r="S88" s="45"/>
    </row>
    <row r="89" spans="1:19" s="29" customFormat="1" ht="15.6">
      <c r="A89" s="429" t="s">
        <v>303</v>
      </c>
      <c r="B89" s="83" t="s">
        <v>332</v>
      </c>
      <c r="C89" s="84"/>
      <c r="D89" s="84"/>
      <c r="E89" s="85"/>
      <c r="F89" s="85"/>
      <c r="G89" s="85"/>
      <c r="H89" s="430"/>
      <c r="R89" s="53"/>
      <c r="S89" s="45"/>
    </row>
    <row r="90" spans="1:19" s="29" customFormat="1" ht="15.6">
      <c r="A90" s="431">
        <v>1</v>
      </c>
      <c r="B90" s="86" t="s">
        <v>338</v>
      </c>
      <c r="C90" s="87"/>
      <c r="D90" s="87"/>
      <c r="E90" s="88"/>
      <c r="F90" s="88"/>
      <c r="G90" s="88"/>
      <c r="H90" s="432"/>
      <c r="R90" s="53"/>
      <c r="S90" s="45"/>
    </row>
    <row r="91" spans="1:19" s="29" customFormat="1">
      <c r="A91" s="417">
        <v>1.1000000000000001</v>
      </c>
      <c r="B91" s="885" t="s">
        <v>290</v>
      </c>
      <c r="C91" s="846"/>
      <c r="D91" s="845"/>
      <c r="E91" s="89">
        <f>VLOOKUP(A91,'Point Allocation'!$A$20:$J$40,MATCH(A7,'Point Allocation'!$A$20:$J$20,0),0)</f>
        <v>30</v>
      </c>
      <c r="F91" s="90"/>
      <c r="G91" s="91">
        <f>IFERROR(F91/$F$115,0)</f>
        <v>0</v>
      </c>
      <c r="H91" s="433">
        <f>E91*G91</f>
        <v>0</v>
      </c>
      <c r="R91" s="45"/>
      <c r="S91" s="45"/>
    </row>
    <row r="92" spans="1:19" s="29" customFormat="1" ht="15.6">
      <c r="A92" s="434">
        <v>2</v>
      </c>
      <c r="B92" s="92" t="s">
        <v>339</v>
      </c>
      <c r="C92" s="93"/>
      <c r="D92" s="94"/>
      <c r="E92" s="94"/>
      <c r="F92" s="95"/>
      <c r="G92" s="96"/>
      <c r="H92" s="435"/>
      <c r="R92" s="53"/>
      <c r="S92" s="45"/>
    </row>
    <row r="93" spans="1:19" s="29" customFormat="1">
      <c r="A93" s="849">
        <v>2.1</v>
      </c>
      <c r="B93" s="844" t="s">
        <v>207</v>
      </c>
      <c r="C93" s="846"/>
      <c r="D93" s="845"/>
      <c r="E93" s="853">
        <f>VLOOKUP(A93,'Point Allocation'!$A$20:$J$40,MATCH(A7,'Point Allocation'!$A$20:$J$20,0),0)</f>
        <v>28</v>
      </c>
      <c r="F93" s="854"/>
      <c r="G93" s="914">
        <f>IFERROR(F93/$F$115,0)</f>
        <v>0</v>
      </c>
      <c r="H93" s="921">
        <f>E93*G93</f>
        <v>0</v>
      </c>
      <c r="R93" s="53"/>
      <c r="S93" s="45"/>
    </row>
    <row r="94" spans="1:19" s="29" customFormat="1" ht="15.6">
      <c r="A94" s="841"/>
      <c r="B94" s="836" t="s">
        <v>120</v>
      </c>
      <c r="C94" s="837"/>
      <c r="D94" s="838"/>
      <c r="E94" s="853"/>
      <c r="F94" s="854"/>
      <c r="G94" s="914"/>
      <c r="H94" s="921"/>
      <c r="R94" s="53"/>
      <c r="S94" s="45"/>
    </row>
    <row r="95" spans="1:19" s="29" customFormat="1">
      <c r="A95" s="849">
        <v>2.2000000000000002</v>
      </c>
      <c r="B95" s="885" t="s">
        <v>178</v>
      </c>
      <c r="C95" s="886"/>
      <c r="D95" s="884"/>
      <c r="E95" s="853">
        <f>VLOOKUP(A95,'Point Allocation'!$A$20:$J$40,MATCH(A7,'Point Allocation'!$A$20:$J$20,0),0)</f>
        <v>28</v>
      </c>
      <c r="F95" s="854"/>
      <c r="G95" s="914">
        <f>IFERROR(F95/$F$115,0)</f>
        <v>0</v>
      </c>
      <c r="H95" s="921">
        <f>E95*G95</f>
        <v>0</v>
      </c>
      <c r="R95" s="53"/>
      <c r="S95" s="45"/>
    </row>
    <row r="96" spans="1:19" s="29" customFormat="1" ht="15.6">
      <c r="A96" s="882"/>
      <c r="B96" s="836" t="s">
        <v>120</v>
      </c>
      <c r="C96" s="837"/>
      <c r="D96" s="838"/>
      <c r="E96" s="853"/>
      <c r="F96" s="854"/>
      <c r="G96" s="914"/>
      <c r="H96" s="921"/>
      <c r="R96" s="53"/>
      <c r="S96" s="45"/>
    </row>
    <row r="97" spans="1:19" s="29" customFormat="1" ht="15.6">
      <c r="A97" s="431">
        <v>3</v>
      </c>
      <c r="B97" s="86" t="s">
        <v>340</v>
      </c>
      <c r="C97" s="93"/>
      <c r="D97" s="93"/>
      <c r="E97" s="95"/>
      <c r="F97" s="95"/>
      <c r="G97" s="96"/>
      <c r="H97" s="436"/>
      <c r="R97" s="53"/>
      <c r="S97" s="45"/>
    </row>
    <row r="98" spans="1:19" s="29" customFormat="1">
      <c r="A98" s="849">
        <v>3.1</v>
      </c>
      <c r="B98" s="844" t="s">
        <v>208</v>
      </c>
      <c r="C98" s="846"/>
      <c r="D98" s="845"/>
      <c r="E98" s="853">
        <f>VLOOKUP(A98,'Point Allocation'!$A$20:$J$40,MATCH(A7,'Point Allocation'!$A$20:$J$20,0),0)</f>
        <v>27</v>
      </c>
      <c r="F98" s="854"/>
      <c r="G98" s="914">
        <f>IFERROR(F98/$F$115,0)</f>
        <v>0</v>
      </c>
      <c r="H98" s="921">
        <f>E98*G98</f>
        <v>0</v>
      </c>
      <c r="R98" s="53"/>
      <c r="S98" s="45"/>
    </row>
    <row r="99" spans="1:19" s="29" customFormat="1" ht="15.6">
      <c r="A99" s="841"/>
      <c r="B99" s="836" t="s">
        <v>286</v>
      </c>
      <c r="C99" s="837"/>
      <c r="D99" s="838"/>
      <c r="E99" s="853"/>
      <c r="F99" s="854"/>
      <c r="G99" s="914"/>
      <c r="H99" s="921"/>
      <c r="R99" s="53"/>
      <c r="S99" s="45"/>
    </row>
    <row r="100" spans="1:19" s="29" customFormat="1" ht="15.6">
      <c r="A100" s="431">
        <v>4</v>
      </c>
      <c r="B100" s="86" t="s">
        <v>341</v>
      </c>
      <c r="C100" s="93"/>
      <c r="D100" s="93"/>
      <c r="E100" s="95"/>
      <c r="F100" s="95"/>
      <c r="G100" s="96"/>
      <c r="H100" s="436"/>
      <c r="R100" s="53"/>
      <c r="S100" s="45"/>
    </row>
    <row r="101" spans="1:19" s="29" customFormat="1" ht="30" customHeight="1">
      <c r="A101" s="418" t="s">
        <v>205</v>
      </c>
      <c r="B101" s="871" t="s">
        <v>292</v>
      </c>
      <c r="C101" s="872"/>
      <c r="D101" s="873"/>
      <c r="E101" s="97">
        <f>VLOOKUP(A101,'Point Allocation'!$A$20:$J$40,MATCH(A7,'Point Allocation'!$A$20:$J$20,0),0)</f>
        <v>25</v>
      </c>
      <c r="F101" s="537"/>
      <c r="G101" s="538">
        <f>IFERROR(F101/$F$115,0)</f>
        <v>0</v>
      </c>
      <c r="H101" s="437">
        <f>E101*G101</f>
        <v>0</v>
      </c>
      <c r="R101" s="912"/>
      <c r="S101" s="45"/>
    </row>
    <row r="102" spans="1:19" s="29" customFormat="1">
      <c r="A102" s="418" t="s">
        <v>206</v>
      </c>
      <c r="B102" s="871" t="s">
        <v>293</v>
      </c>
      <c r="C102" s="872"/>
      <c r="D102" s="873"/>
      <c r="E102" s="97">
        <f>VLOOKUP(A102,'Point Allocation'!$A$20:$J$40,MATCH(A7,'Point Allocation'!$A$20:$J$20,0),0)</f>
        <v>25</v>
      </c>
      <c r="F102" s="537"/>
      <c r="G102" s="538">
        <f>IFERROR(F102/$F$115,0)</f>
        <v>0</v>
      </c>
      <c r="H102" s="437">
        <f>E102*G102</f>
        <v>0</v>
      </c>
      <c r="R102" s="912"/>
      <c r="S102" s="45"/>
    </row>
    <row r="103" spans="1:19" s="29" customFormat="1">
      <c r="A103" s="417">
        <v>4.2</v>
      </c>
      <c r="B103" s="874" t="s">
        <v>209</v>
      </c>
      <c r="C103" s="931"/>
      <c r="D103" s="875"/>
      <c r="E103" s="97">
        <f>VLOOKUP(A103,'Point Allocation'!$A$20:$J$40,MATCH(A7,'Point Allocation'!$A$20:$J$20,0),0)</f>
        <v>25</v>
      </c>
      <c r="F103" s="537"/>
      <c r="G103" s="538">
        <f>IFERROR(F103/$F$115,0)</f>
        <v>0</v>
      </c>
      <c r="H103" s="437">
        <f>E103*G103</f>
        <v>0</v>
      </c>
      <c r="R103" s="53"/>
      <c r="S103" s="45"/>
    </row>
    <row r="104" spans="1:19" s="29" customFormat="1">
      <c r="A104" s="417">
        <v>4.3</v>
      </c>
      <c r="B104" s="922" t="s">
        <v>159</v>
      </c>
      <c r="C104" s="923"/>
      <c r="D104" s="924"/>
      <c r="E104" s="97">
        <f>VLOOKUP(A104,'Point Allocation'!$A$20:$J$40,MATCH(A7,'Point Allocation'!$A$20:$J$20,0),0)</f>
        <v>25</v>
      </c>
      <c r="F104" s="537"/>
      <c r="G104" s="538">
        <f>IFERROR(F104/$F$115,0)</f>
        <v>0</v>
      </c>
      <c r="H104" s="438">
        <f>E104*G104</f>
        <v>0</v>
      </c>
      <c r="R104" s="53"/>
      <c r="S104" s="45"/>
    </row>
    <row r="105" spans="1:19" s="29" customFormat="1">
      <c r="A105" s="417">
        <v>4.4000000000000004</v>
      </c>
      <c r="B105" s="922" t="s">
        <v>355</v>
      </c>
      <c r="C105" s="923"/>
      <c r="D105" s="924"/>
      <c r="E105" s="97">
        <f>VLOOKUP(A105,'Point Allocation'!$A$20:$J$40,MATCH(A7,'Point Allocation'!$A$20:$J$20,0),0)</f>
        <v>22</v>
      </c>
      <c r="F105" s="537"/>
      <c r="G105" s="538">
        <f>IFERROR(F105/$F$115,0)</f>
        <v>0</v>
      </c>
      <c r="H105" s="438">
        <f>E105*G105</f>
        <v>0</v>
      </c>
      <c r="R105" s="53"/>
      <c r="S105" s="45"/>
    </row>
    <row r="106" spans="1:19" s="29" customFormat="1" ht="15.6">
      <c r="A106" s="439" t="s">
        <v>304</v>
      </c>
      <c r="B106" s="99" t="s">
        <v>236</v>
      </c>
      <c r="C106" s="100"/>
      <c r="D106" s="101"/>
      <c r="E106" s="102"/>
      <c r="F106" s="103"/>
      <c r="G106" s="104"/>
      <c r="H106" s="440"/>
      <c r="R106" s="53"/>
      <c r="S106" s="45"/>
    </row>
    <row r="107" spans="1:19" s="29" customFormat="1" ht="15.6">
      <c r="A107" s="431">
        <v>5</v>
      </c>
      <c r="B107" s="86" t="s">
        <v>237</v>
      </c>
      <c r="C107" s="93"/>
      <c r="D107" s="93"/>
      <c r="E107" s="95"/>
      <c r="F107" s="95"/>
      <c r="G107" s="96"/>
      <c r="H107" s="436"/>
      <c r="R107" s="53"/>
      <c r="S107" s="45"/>
    </row>
    <row r="108" spans="1:19" s="29" customFormat="1">
      <c r="A108" s="417">
        <v>5.0999999999999996</v>
      </c>
      <c r="B108" s="844" t="s">
        <v>210</v>
      </c>
      <c r="C108" s="846"/>
      <c r="D108" s="845"/>
      <c r="E108" s="105">
        <f>VLOOKUP(A108,'Point Allocation'!$A$20:$J$40,MATCH(A7,'Point Allocation'!$A$20:$J$20,0),0)</f>
        <v>16</v>
      </c>
      <c r="F108" s="156"/>
      <c r="G108" s="538">
        <f>IFERROR(F108/$F$115,0)</f>
        <v>0</v>
      </c>
      <c r="H108" s="441">
        <f>E108*G108</f>
        <v>0</v>
      </c>
      <c r="R108" s="53"/>
      <c r="S108" s="45"/>
    </row>
    <row r="109" spans="1:19" s="29" customFormat="1">
      <c r="A109" s="417">
        <v>5.2</v>
      </c>
      <c r="B109" s="844" t="s">
        <v>356</v>
      </c>
      <c r="C109" s="846"/>
      <c r="D109" s="845"/>
      <c r="E109" s="105">
        <f>VLOOKUP(A109,'Point Allocation'!$A$20:$J$40,MATCH(A7,'Point Allocation'!$A$20:$J$20,0),0)</f>
        <v>5</v>
      </c>
      <c r="F109" s="90"/>
      <c r="G109" s="538">
        <f>IFERROR(F109/$F$115,0)</f>
        <v>0</v>
      </c>
      <c r="H109" s="441">
        <f>E109*G109</f>
        <v>0</v>
      </c>
      <c r="R109" s="53"/>
      <c r="S109" s="45"/>
    </row>
    <row r="110" spans="1:19" s="29" customFormat="1">
      <c r="A110" s="417">
        <v>5.3</v>
      </c>
      <c r="B110" s="844" t="s">
        <v>357</v>
      </c>
      <c r="C110" s="846"/>
      <c r="D110" s="845"/>
      <c r="E110" s="105">
        <f>VLOOKUP(A110,'Point Allocation'!$A$20:$J$40,MATCH(A7,'Point Allocation'!$A$20:$J$20,0),0)</f>
        <v>0</v>
      </c>
      <c r="F110" s="155"/>
      <c r="G110" s="538">
        <f>IFERROR(F110/$F$115,0)</f>
        <v>0</v>
      </c>
      <c r="H110" s="442">
        <f>E110*G110</f>
        <v>0</v>
      </c>
      <c r="R110" s="53"/>
      <c r="S110" s="45"/>
    </row>
    <row r="111" spans="1:19" s="29" customFormat="1" ht="15.6">
      <c r="A111" s="443">
        <v>6</v>
      </c>
      <c r="B111" s="106" t="s">
        <v>213</v>
      </c>
      <c r="C111" s="93"/>
      <c r="D111" s="93"/>
      <c r="E111" s="95"/>
      <c r="F111" s="95"/>
      <c r="G111" s="96"/>
      <c r="H111" s="436"/>
      <c r="R111" s="53"/>
      <c r="S111" s="45"/>
    </row>
    <row r="112" spans="1:19" s="29" customFormat="1">
      <c r="A112" s="444">
        <v>6.1</v>
      </c>
      <c r="B112" s="826"/>
      <c r="C112" s="821"/>
      <c r="D112" s="847"/>
      <c r="E112" s="537"/>
      <c r="F112" s="537"/>
      <c r="G112" s="538">
        <f>IFERROR(F112/$F$115,0)</f>
        <v>0</v>
      </c>
      <c r="H112" s="442">
        <f>E112*G112</f>
        <v>0</v>
      </c>
      <c r="R112" s="53"/>
      <c r="S112" s="45"/>
    </row>
    <row r="113" spans="1:19" s="29" customFormat="1">
      <c r="A113" s="444">
        <v>6.2</v>
      </c>
      <c r="B113" s="826"/>
      <c r="C113" s="821"/>
      <c r="D113" s="847"/>
      <c r="E113" s="537"/>
      <c r="F113" s="537"/>
      <c r="G113" s="538">
        <f>IFERROR(F113/$F$115,0)</f>
        <v>0</v>
      </c>
      <c r="H113" s="442">
        <f>E113*G113</f>
        <v>0</v>
      </c>
      <c r="R113" s="53"/>
      <c r="S113" s="45"/>
    </row>
    <row r="114" spans="1:19" s="29" customFormat="1">
      <c r="A114" s="444">
        <v>6.3</v>
      </c>
      <c r="B114" s="848"/>
      <c r="C114" s="848"/>
      <c r="D114" s="848"/>
      <c r="E114" s="537"/>
      <c r="F114" s="537"/>
      <c r="G114" s="538">
        <f>IFERROR(F114/$F$115,0)</f>
        <v>0</v>
      </c>
      <c r="H114" s="442">
        <f>E114*G114</f>
        <v>0</v>
      </c>
      <c r="R114" s="53"/>
      <c r="S114" s="45"/>
    </row>
    <row r="115" spans="1:19" s="29" customFormat="1" ht="15.6">
      <c r="A115" s="425"/>
      <c r="B115" s="325"/>
      <c r="C115" s="323"/>
      <c r="D115" s="323"/>
      <c r="E115" s="330" t="s">
        <v>62</v>
      </c>
      <c r="F115" s="333">
        <f>SUM(F91:F114)+E19</f>
        <v>0</v>
      </c>
      <c r="G115" s="334">
        <f>SUM(G91:G114)+F19</f>
        <v>0</v>
      </c>
      <c r="H115" s="445">
        <f>IFERROR(SUM(H91:H114),0)</f>
        <v>0</v>
      </c>
      <c r="R115" s="53"/>
      <c r="S115" s="45"/>
    </row>
    <row r="116" spans="1:19" s="29" customFormat="1" ht="15.6" thickBot="1">
      <c r="A116" s="491"/>
      <c r="B116" s="492"/>
      <c r="C116" s="493"/>
      <c r="D116" s="493"/>
      <c r="E116" s="493"/>
      <c r="F116" s="493"/>
      <c r="G116" s="480"/>
      <c r="H116" s="639"/>
      <c r="R116" s="53"/>
      <c r="S116" s="45"/>
    </row>
    <row r="117" spans="1:19" s="29" customFormat="1" ht="31.2">
      <c r="A117" s="640" t="s">
        <v>0</v>
      </c>
      <c r="B117" s="641"/>
      <c r="C117" s="641"/>
      <c r="D117" s="642" t="s">
        <v>17</v>
      </c>
      <c r="E117" s="643" t="s">
        <v>81</v>
      </c>
      <c r="F117" s="644" t="s">
        <v>335</v>
      </c>
      <c r="G117" s="644" t="s">
        <v>336</v>
      </c>
      <c r="H117" s="645" t="s">
        <v>53</v>
      </c>
      <c r="R117" s="53"/>
      <c r="S117" s="45"/>
    </row>
    <row r="118" spans="1:19" s="29" customFormat="1" ht="15.6">
      <c r="A118" s="429" t="s">
        <v>238</v>
      </c>
      <c r="B118" s="83" t="s">
        <v>333</v>
      </c>
      <c r="C118" s="84"/>
      <c r="D118" s="85"/>
      <c r="E118" s="85"/>
      <c r="F118" s="85"/>
      <c r="G118" s="85"/>
      <c r="H118" s="430"/>
      <c r="R118" s="53"/>
      <c r="S118" s="45"/>
    </row>
    <row r="119" spans="1:19" s="29" customFormat="1" ht="15.6">
      <c r="A119" s="431">
        <v>7</v>
      </c>
      <c r="B119" s="86" t="s">
        <v>338</v>
      </c>
      <c r="C119" s="87"/>
      <c r="D119" s="88"/>
      <c r="E119" s="88"/>
      <c r="F119" s="88"/>
      <c r="G119" s="88"/>
      <c r="H119" s="432"/>
      <c r="R119" s="53"/>
      <c r="S119" s="45"/>
    </row>
    <row r="120" spans="1:19" s="29" customFormat="1" ht="15" customHeight="1">
      <c r="A120" s="404">
        <v>7.1</v>
      </c>
      <c r="B120" s="885" t="s">
        <v>290</v>
      </c>
      <c r="C120" s="884"/>
      <c r="D120" s="98">
        <f>VLOOKUP(A120,'Point Allocation'!$A$20:$J$41,MATCH(A7,'Point Allocation'!$A$20:$J$20,0),0)</f>
        <v>10</v>
      </c>
      <c r="E120" s="89">
        <f>F91</f>
        <v>0</v>
      </c>
      <c r="F120" s="89">
        <f>F29</f>
        <v>0</v>
      </c>
      <c r="G120" s="91">
        <f>IFERROR(SUM(E120:F120)/SUM($E$138:$F$138),0)</f>
        <v>0</v>
      </c>
      <c r="H120" s="433">
        <f>D120*G120</f>
        <v>0</v>
      </c>
      <c r="R120" s="53"/>
      <c r="S120" s="45"/>
    </row>
    <row r="121" spans="1:19" s="29" customFormat="1" ht="15.6">
      <c r="A121" s="434">
        <v>8</v>
      </c>
      <c r="B121" s="92" t="s">
        <v>339</v>
      </c>
      <c r="C121" s="93"/>
      <c r="D121" s="94"/>
      <c r="E121" s="95"/>
      <c r="F121" s="95"/>
      <c r="G121" s="96"/>
      <c r="H121" s="435"/>
      <c r="R121" s="53"/>
      <c r="S121" s="45"/>
    </row>
    <row r="122" spans="1:19" s="29" customFormat="1">
      <c r="A122" s="849">
        <v>8.1</v>
      </c>
      <c r="B122" s="844" t="s">
        <v>337</v>
      </c>
      <c r="C122" s="845"/>
      <c r="D122" s="925">
        <f>VLOOKUP(A122,'Point Allocation'!$A$20:$J$41,MATCH(A7,'Point Allocation'!$A$20:$J$20,0),0)</f>
        <v>8</v>
      </c>
      <c r="E122" s="927">
        <f>F93</f>
        <v>0</v>
      </c>
      <c r="F122" s="859"/>
      <c r="G122" s="860">
        <f>IFERROR(SUM(E122:F123)/SUM($E$138:$F$138),0)</f>
        <v>0</v>
      </c>
      <c r="H122" s="921">
        <f>D122*G122</f>
        <v>0</v>
      </c>
      <c r="R122" s="53"/>
      <c r="S122" s="45"/>
    </row>
    <row r="123" spans="1:19" s="29" customFormat="1" ht="15.6">
      <c r="A123" s="882"/>
      <c r="B123" s="836" t="s">
        <v>120</v>
      </c>
      <c r="C123" s="838"/>
      <c r="D123" s="926"/>
      <c r="E123" s="927"/>
      <c r="F123" s="859"/>
      <c r="G123" s="861"/>
      <c r="H123" s="921"/>
      <c r="R123" s="53"/>
      <c r="S123" s="45"/>
    </row>
    <row r="124" spans="1:19" s="29" customFormat="1">
      <c r="A124" s="404">
        <v>8.1999999999999993</v>
      </c>
      <c r="B124" s="885" t="s">
        <v>178</v>
      </c>
      <c r="C124" s="884"/>
      <c r="D124" s="98">
        <f>VLOOKUP(A124,'Point Allocation'!$A$20:$J$41,MATCH(A7,'Point Allocation'!$A$20:$J$20,0),0)</f>
        <v>8</v>
      </c>
      <c r="E124" s="189">
        <f>F95</f>
        <v>0</v>
      </c>
      <c r="F124" s="548"/>
      <c r="G124" s="91">
        <f>IFERROR(SUM(E124:F124)/SUM($E$138:$F$138),0)</f>
        <v>0</v>
      </c>
      <c r="H124" s="437">
        <f>D124*G124</f>
        <v>0</v>
      </c>
      <c r="R124" s="53"/>
      <c r="S124" s="45"/>
    </row>
    <row r="125" spans="1:19" s="29" customFormat="1" ht="15.6">
      <c r="A125" s="431">
        <v>9</v>
      </c>
      <c r="B125" s="86" t="s">
        <v>340</v>
      </c>
      <c r="C125" s="93"/>
      <c r="D125" s="95"/>
      <c r="E125" s="95"/>
      <c r="F125" s="95"/>
      <c r="G125" s="96"/>
      <c r="H125" s="436"/>
      <c r="R125" s="53"/>
      <c r="S125" s="45"/>
    </row>
    <row r="126" spans="1:19" s="29" customFormat="1">
      <c r="A126" s="849">
        <v>9.1</v>
      </c>
      <c r="B126" s="844" t="s">
        <v>381</v>
      </c>
      <c r="C126" s="845"/>
      <c r="D126" s="925">
        <f>VLOOKUP(A126,'Point Allocation'!$A$20:$J$41,MATCH(A7,'Point Allocation'!$A$20:$J$20,0),0)</f>
        <v>6</v>
      </c>
      <c r="E126" s="859"/>
      <c r="F126" s="859"/>
      <c r="G126" s="914">
        <f>IFERROR(SUM(E126:F127)/SUM($E$138:$F$138),0)</f>
        <v>0</v>
      </c>
      <c r="H126" s="921">
        <f>D126*G126</f>
        <v>0</v>
      </c>
      <c r="R126" s="53"/>
      <c r="S126" s="45"/>
    </row>
    <row r="127" spans="1:19" s="29" customFormat="1" ht="15.6">
      <c r="A127" s="882"/>
      <c r="B127" s="836" t="s">
        <v>5</v>
      </c>
      <c r="C127" s="838"/>
      <c r="D127" s="926"/>
      <c r="E127" s="859"/>
      <c r="F127" s="859"/>
      <c r="G127" s="914"/>
      <c r="H127" s="921"/>
      <c r="R127" s="53"/>
      <c r="S127" s="45"/>
    </row>
    <row r="128" spans="1:19" s="29" customFormat="1" ht="15.6">
      <c r="A128" s="431">
        <v>10</v>
      </c>
      <c r="B128" s="86" t="s">
        <v>342</v>
      </c>
      <c r="C128" s="93"/>
      <c r="D128" s="95"/>
      <c r="E128" s="95"/>
      <c r="F128" s="95"/>
      <c r="G128" s="96"/>
      <c r="H128" s="436"/>
      <c r="R128" s="53"/>
      <c r="S128" s="45"/>
    </row>
    <row r="129" spans="1:19" s="29" customFormat="1" ht="15" customHeight="1">
      <c r="A129" s="409">
        <v>10.1</v>
      </c>
      <c r="B129" s="844" t="s">
        <v>382</v>
      </c>
      <c r="C129" s="845"/>
      <c r="D129" s="98">
        <f>VLOOKUP(A129,'Point Allocation'!$A$20:$J$41,MATCH(A7,'Point Allocation'!$A$20:$J$20,0),0)</f>
        <v>4</v>
      </c>
      <c r="E129" s="548"/>
      <c r="F129" s="548"/>
      <c r="G129" s="91">
        <f>IFERROR(SUM(E129:F129)/SUM($E$138:$F$138),0)</f>
        <v>0</v>
      </c>
      <c r="H129" s="437">
        <f>D129*G129</f>
        <v>0</v>
      </c>
      <c r="R129" s="53"/>
      <c r="S129" s="45"/>
    </row>
    <row r="130" spans="1:19" s="29" customFormat="1" ht="32.25" customHeight="1">
      <c r="A130" s="406">
        <v>10.199999999999999</v>
      </c>
      <c r="B130" s="928" t="s">
        <v>353</v>
      </c>
      <c r="C130" s="929"/>
      <c r="D130" s="98">
        <f>VLOOKUP(A130,'Point Allocation'!$A$20:$J$41,MATCH(A7,'Point Allocation'!$A$20:$J$20,0),0)</f>
        <v>4</v>
      </c>
      <c r="E130" s="188"/>
      <c r="F130" s="548"/>
      <c r="G130" s="538">
        <f>IFERROR(SUM(E130:F130)/SUM($E$138:$F$138),0)</f>
        <v>0</v>
      </c>
      <c r="H130" s="437">
        <f>D130*G130</f>
        <v>0</v>
      </c>
      <c r="R130" s="53"/>
      <c r="S130" s="45"/>
    </row>
    <row r="131" spans="1:19" s="29" customFormat="1" ht="15.6">
      <c r="A131" s="439" t="s">
        <v>239</v>
      </c>
      <c r="B131" s="99" t="s">
        <v>262</v>
      </c>
      <c r="C131" s="100"/>
      <c r="D131" s="102"/>
      <c r="E131" s="103"/>
      <c r="F131" s="103"/>
      <c r="G131" s="104"/>
      <c r="H131" s="440"/>
      <c r="R131" s="53"/>
      <c r="S131" s="45"/>
    </row>
    <row r="132" spans="1:19" s="29" customFormat="1" ht="15.6">
      <c r="A132" s="431">
        <v>11</v>
      </c>
      <c r="B132" s="86" t="s">
        <v>263</v>
      </c>
      <c r="C132" s="93"/>
      <c r="D132" s="95"/>
      <c r="E132" s="95"/>
      <c r="F132" s="95"/>
      <c r="G132" s="96"/>
      <c r="H132" s="436"/>
      <c r="R132" s="53"/>
      <c r="S132" s="45"/>
    </row>
    <row r="133" spans="1:19" s="29" customFormat="1">
      <c r="A133" s="409">
        <v>11.1</v>
      </c>
      <c r="B133" s="844" t="s">
        <v>593</v>
      </c>
      <c r="C133" s="845"/>
      <c r="D133" s="98">
        <f>VLOOKUP(A133,'Point Allocation'!$A$20:$J$41,MATCH(A7,'Point Allocation'!$A$20:$J$20,0),0)</f>
        <v>2</v>
      </c>
      <c r="E133" s="548"/>
      <c r="F133" s="548"/>
      <c r="G133" s="538">
        <f>IFERROR(SUM(E133:F133)/SUM($E$138:$F$138),0)</f>
        <v>0</v>
      </c>
      <c r="H133" s="437">
        <f t="shared" ref="H133:H137" si="2">D133*G133</f>
        <v>0</v>
      </c>
      <c r="R133" s="53"/>
      <c r="S133" s="45"/>
    </row>
    <row r="134" spans="1:19" s="29" customFormat="1">
      <c r="A134" s="446">
        <v>11.2</v>
      </c>
      <c r="B134" s="874" t="s">
        <v>344</v>
      </c>
      <c r="C134" s="875"/>
      <c r="D134" s="189">
        <f>VLOOKUP(A133,'Point Allocation'!$A$20:$J$41,MATCH(A7,'Point Allocation'!$A$20:$J$20,0),0)</f>
        <v>2</v>
      </c>
      <c r="E134" s="548"/>
      <c r="F134" s="548"/>
      <c r="G134" s="538">
        <f>IFERROR(SUM(E134:F134)/SUM($E$138:$F$138),0)</f>
        <v>0</v>
      </c>
      <c r="H134" s="437">
        <f t="shared" si="2"/>
        <v>0</v>
      </c>
      <c r="R134" s="53"/>
      <c r="S134" s="45"/>
    </row>
    <row r="135" spans="1:19" s="29" customFormat="1">
      <c r="A135" s="409">
        <v>11.3</v>
      </c>
      <c r="B135" s="874" t="s">
        <v>352</v>
      </c>
      <c r="C135" s="875"/>
      <c r="D135" s="98">
        <f>VLOOKUP(A135,'Point Allocation'!$A$20:$J$41,MATCH(A7,'Point Allocation'!$A$20:$J$20,0),0)</f>
        <v>0</v>
      </c>
      <c r="E135" s="548"/>
      <c r="F135" s="548"/>
      <c r="G135" s="538">
        <f>IFERROR(SUM(E135:F135)/SUM($E$138:$F$138),0)</f>
        <v>0</v>
      </c>
      <c r="H135" s="437">
        <f t="shared" si="2"/>
        <v>0</v>
      </c>
      <c r="R135" s="53"/>
      <c r="S135" s="45"/>
    </row>
    <row r="136" spans="1:19" s="29" customFormat="1">
      <c r="A136" s="447">
        <v>11.4</v>
      </c>
      <c r="B136" s="866"/>
      <c r="C136" s="867"/>
      <c r="D136" s="537"/>
      <c r="E136" s="548"/>
      <c r="F136" s="548"/>
      <c r="G136" s="538">
        <f>IFERROR(SUM(E136:F136)/SUM($E$138:$F$138),0)</f>
        <v>0</v>
      </c>
      <c r="H136" s="437">
        <f t="shared" si="2"/>
        <v>0</v>
      </c>
      <c r="R136" s="53"/>
      <c r="S136" s="45"/>
    </row>
    <row r="137" spans="1:19" s="29" customFormat="1">
      <c r="A137" s="447">
        <v>11.5</v>
      </c>
      <c r="B137" s="866"/>
      <c r="C137" s="867"/>
      <c r="D137" s="537"/>
      <c r="E137" s="548"/>
      <c r="F137" s="548"/>
      <c r="G137" s="538">
        <f>IFERROR(SUM(E137:F137)/SUM($E$138:$F$138),0)</f>
        <v>0</v>
      </c>
      <c r="H137" s="437">
        <f t="shared" si="2"/>
        <v>0</v>
      </c>
      <c r="R137" s="53"/>
      <c r="S137" s="45"/>
    </row>
    <row r="138" spans="1:19" s="29" customFormat="1" ht="15.6">
      <c r="A138" s="412"/>
      <c r="B138" s="325"/>
      <c r="C138" s="323"/>
      <c r="D138" s="330" t="s">
        <v>140</v>
      </c>
      <c r="E138" s="333">
        <f>SUM(E120:E137)</f>
        <v>0</v>
      </c>
      <c r="F138" s="335">
        <f>SUM(F120:F137)</f>
        <v>0</v>
      </c>
      <c r="G138" s="336">
        <f>SUM(G120:G137)</f>
        <v>0</v>
      </c>
      <c r="H138" s="448">
        <f>IFERROR(SUM(H120:H137),0)</f>
        <v>0</v>
      </c>
      <c r="R138" s="53"/>
      <c r="S138" s="45"/>
    </row>
    <row r="139" spans="1:19" s="29" customFormat="1">
      <c r="A139" s="414"/>
      <c r="B139" s="325"/>
      <c r="C139" s="323"/>
      <c r="D139" s="323"/>
      <c r="E139" s="323"/>
      <c r="F139" s="323"/>
      <c r="G139" s="332"/>
      <c r="H139" s="388"/>
      <c r="R139" s="53"/>
      <c r="S139" s="45"/>
    </row>
    <row r="140" spans="1:19" s="29" customFormat="1" ht="46.8">
      <c r="A140" s="868" t="s">
        <v>0</v>
      </c>
      <c r="B140" s="869"/>
      <c r="C140" s="176"/>
      <c r="D140" s="545" t="s">
        <v>58</v>
      </c>
      <c r="E140" s="545" t="s">
        <v>59</v>
      </c>
      <c r="F140" s="870" t="s">
        <v>60</v>
      </c>
      <c r="G140" s="870"/>
      <c r="H140" s="449" t="s">
        <v>63</v>
      </c>
      <c r="K140" s="107" t="s">
        <v>72</v>
      </c>
      <c r="L140" s="107">
        <v>1</v>
      </c>
      <c r="M140" s="107">
        <v>2</v>
      </c>
      <c r="N140" s="107">
        <v>3</v>
      </c>
      <c r="O140" s="107">
        <v>4</v>
      </c>
      <c r="P140" s="107">
        <v>5</v>
      </c>
      <c r="Q140" s="107">
        <v>6</v>
      </c>
      <c r="R140" s="53"/>
      <c r="S140" s="45"/>
    </row>
    <row r="141" spans="1:19" s="29" customFormat="1" ht="15.6">
      <c r="A141" s="450" t="s">
        <v>240</v>
      </c>
      <c r="B141" s="130" t="s">
        <v>148</v>
      </c>
      <c r="C141" s="175"/>
      <c r="D141" s="57"/>
      <c r="E141" s="57"/>
      <c r="F141" s="58"/>
      <c r="G141" s="108"/>
      <c r="H141" s="451"/>
      <c r="K141" s="107" t="s">
        <v>74</v>
      </c>
      <c r="L141" s="107" t="s">
        <v>73</v>
      </c>
      <c r="M141" s="107">
        <v>1</v>
      </c>
      <c r="N141" s="107">
        <v>2</v>
      </c>
      <c r="O141" s="107">
        <v>3</v>
      </c>
      <c r="P141" s="107">
        <v>4</v>
      </c>
      <c r="Q141" s="107">
        <v>4</v>
      </c>
      <c r="R141" s="53"/>
      <c r="S141" s="45"/>
    </row>
    <row r="142" spans="1:19" s="29" customFormat="1">
      <c r="A142" s="391" t="s">
        <v>241</v>
      </c>
      <c r="B142" s="520" t="s">
        <v>442</v>
      </c>
      <c r="C142" s="177" t="s">
        <v>56</v>
      </c>
      <c r="D142" s="854"/>
      <c r="E142" s="854"/>
      <c r="F142" s="892" t="str">
        <f>IF(D142&gt;9,D142/E142," ")</f>
        <v xml:space="preserve"> </v>
      </c>
      <c r="G142" s="892"/>
      <c r="H142" s="437">
        <f>IF(D142="",0,IF(D142&lt;9,2,IF((D142/E142)=0,2,IF((D142/E142)&lt;10%,1.5,IF((D142/E142)&lt;15%,1,IF((D142/E142)&lt;20%,0.5,0))))))</f>
        <v>0</v>
      </c>
      <c r="K142" s="107" t="s">
        <v>75</v>
      </c>
      <c r="L142" s="107" t="s">
        <v>73</v>
      </c>
      <c r="M142" s="107">
        <v>5</v>
      </c>
      <c r="N142" s="107">
        <v>15</v>
      </c>
      <c r="O142" s="107">
        <v>25</v>
      </c>
      <c r="P142" s="107">
        <v>35</v>
      </c>
      <c r="Q142" s="107">
        <v>35</v>
      </c>
      <c r="R142" s="53"/>
      <c r="S142" s="45"/>
    </row>
    <row r="143" spans="1:19" s="29" customFormat="1">
      <c r="A143" s="391" t="s">
        <v>242</v>
      </c>
      <c r="B143" s="520" t="s">
        <v>443</v>
      </c>
      <c r="C143" s="177" t="s">
        <v>57</v>
      </c>
      <c r="D143" s="854"/>
      <c r="E143" s="854"/>
      <c r="F143" s="893"/>
      <c r="G143" s="893"/>
      <c r="H143" s="437">
        <f>IF(E142="",0,IF(E142&lt;15,HLOOKUP(F143,K140:Q147,4,FALSE),IF(E142&lt;45,HLOOKUP(F143,K140:Q147,5,FALSE),IF(E142&lt;90,HLOOKUP(F143,K140:Q147,6,FALSE),IF(E142&lt;135,HLOOKUP(F143,K140:Q147,7,FALSE),IF(E142&gt;=135,HLOOKUP(F143,K140:Q147,8,FALSE),3))))))</f>
        <v>0</v>
      </c>
      <c r="J143" s="55"/>
      <c r="K143" s="107" t="s">
        <v>76</v>
      </c>
      <c r="L143" s="107">
        <v>3</v>
      </c>
      <c r="M143" s="107">
        <v>3</v>
      </c>
      <c r="N143" s="107">
        <v>3</v>
      </c>
      <c r="O143" s="107">
        <v>2.5</v>
      </c>
      <c r="P143" s="107">
        <v>1.5</v>
      </c>
      <c r="Q143" s="107">
        <v>0</v>
      </c>
      <c r="R143" s="53"/>
      <c r="S143" s="45"/>
    </row>
    <row r="144" spans="1:19" s="29" customFormat="1">
      <c r="A144" s="412"/>
      <c r="B144" s="325"/>
      <c r="C144" s="332"/>
      <c r="D144" s="337"/>
      <c r="E144" s="337"/>
      <c r="F144" s="337"/>
      <c r="G144" s="337"/>
      <c r="H144" s="452"/>
      <c r="J144" s="55"/>
      <c r="K144" s="107" t="s">
        <v>77</v>
      </c>
      <c r="L144" s="107">
        <v>3</v>
      </c>
      <c r="M144" s="107">
        <v>3</v>
      </c>
      <c r="N144" s="107">
        <v>2.5</v>
      </c>
      <c r="O144" s="107">
        <v>1.5</v>
      </c>
      <c r="P144" s="107">
        <v>1</v>
      </c>
      <c r="Q144" s="107">
        <v>0</v>
      </c>
      <c r="R144" s="53"/>
      <c r="S144" s="45"/>
    </row>
    <row r="145" spans="1:19" s="29" customFormat="1" ht="15.6">
      <c r="A145" s="412"/>
      <c r="B145" s="338"/>
      <c r="C145" s="332"/>
      <c r="D145" s="332"/>
      <c r="E145" s="332"/>
      <c r="F145" s="323"/>
      <c r="G145" s="339"/>
      <c r="H145" s="453"/>
      <c r="J145" s="55"/>
      <c r="K145" s="107" t="s">
        <v>78</v>
      </c>
      <c r="L145" s="107">
        <v>3</v>
      </c>
      <c r="M145" s="107">
        <v>2.5</v>
      </c>
      <c r="N145" s="107">
        <v>1.5</v>
      </c>
      <c r="O145" s="107">
        <v>1</v>
      </c>
      <c r="P145" s="107">
        <v>0</v>
      </c>
      <c r="Q145" s="107">
        <v>0</v>
      </c>
      <c r="R145" s="53"/>
      <c r="S145" s="45"/>
    </row>
    <row r="146" spans="1:19" s="29" customFormat="1" ht="15.75" customHeight="1">
      <c r="A146" s="876" t="s">
        <v>0</v>
      </c>
      <c r="B146" s="877"/>
      <c r="C146" s="991"/>
      <c r="D146" s="880" t="s">
        <v>4</v>
      </c>
      <c r="E146" s="895" t="s">
        <v>1</v>
      </c>
      <c r="F146" s="881"/>
      <c r="G146" s="896" t="s">
        <v>21</v>
      </c>
      <c r="H146" s="890" t="s">
        <v>63</v>
      </c>
      <c r="J146" s="55"/>
      <c r="K146" s="107" t="s">
        <v>79</v>
      </c>
      <c r="L146" s="107">
        <v>3</v>
      </c>
      <c r="M146" s="107">
        <v>1.5</v>
      </c>
      <c r="N146" s="107">
        <v>1</v>
      </c>
      <c r="O146" s="107">
        <v>0</v>
      </c>
      <c r="P146" s="107">
        <v>0</v>
      </c>
      <c r="Q146" s="107">
        <v>0</v>
      </c>
      <c r="R146" s="53"/>
      <c r="S146" s="45"/>
    </row>
    <row r="147" spans="1:19" s="29" customFormat="1" ht="30" customHeight="1">
      <c r="A147" s="878"/>
      <c r="B147" s="879"/>
      <c r="C147" s="992"/>
      <c r="D147" s="881"/>
      <c r="E147" s="545" t="s">
        <v>65</v>
      </c>
      <c r="F147" s="545" t="s">
        <v>66</v>
      </c>
      <c r="G147" s="897"/>
      <c r="H147" s="891"/>
      <c r="J147" s="55"/>
      <c r="K147" s="107" t="s">
        <v>80</v>
      </c>
      <c r="L147" s="107">
        <v>3</v>
      </c>
      <c r="M147" s="107">
        <v>1</v>
      </c>
      <c r="N147" s="107">
        <v>0</v>
      </c>
      <c r="O147" s="107">
        <v>0</v>
      </c>
      <c r="P147" s="107">
        <v>0</v>
      </c>
      <c r="Q147" s="107">
        <v>0</v>
      </c>
      <c r="R147" s="53"/>
      <c r="S147" s="45"/>
    </row>
    <row r="148" spans="1:19" s="29" customFormat="1" ht="15.6">
      <c r="A148" s="454" t="s">
        <v>243</v>
      </c>
      <c r="B148" s="109" t="s">
        <v>264</v>
      </c>
      <c r="C148" s="110"/>
      <c r="D148" s="110"/>
      <c r="E148" s="110"/>
      <c r="F148" s="114"/>
      <c r="G148" s="115"/>
      <c r="H148" s="455"/>
      <c r="K148" s="107" t="s">
        <v>74</v>
      </c>
      <c r="L148" s="107" t="s">
        <v>73</v>
      </c>
      <c r="M148" s="107">
        <v>1</v>
      </c>
      <c r="N148" s="107">
        <v>2</v>
      </c>
      <c r="O148" s="107">
        <v>3</v>
      </c>
      <c r="P148" s="107">
        <v>4</v>
      </c>
      <c r="Q148" s="107">
        <v>4</v>
      </c>
      <c r="R148" s="53"/>
      <c r="S148" s="45"/>
    </row>
    <row r="149" spans="1:19" s="29" customFormat="1" ht="15.6">
      <c r="A149" s="456" t="s">
        <v>244</v>
      </c>
      <c r="B149" s="158" t="s">
        <v>231</v>
      </c>
      <c r="C149" s="159"/>
      <c r="D149" s="160"/>
      <c r="E149" s="161"/>
      <c r="F149" s="161"/>
      <c r="G149" s="162"/>
      <c r="H149" s="457"/>
      <c r="J149" s="55"/>
      <c r="R149" s="53"/>
      <c r="S149" s="45"/>
    </row>
    <row r="150" spans="1:19" s="29" customFormat="1">
      <c r="A150" s="418" t="s">
        <v>245</v>
      </c>
      <c r="B150" s="885" t="s">
        <v>424</v>
      </c>
      <c r="C150" s="884"/>
      <c r="D150" s="163" t="s">
        <v>51</v>
      </c>
      <c r="E150" s="541">
        <v>2</v>
      </c>
      <c r="F150" s="541">
        <v>3</v>
      </c>
      <c r="G150" s="27"/>
      <c r="H150" s="405">
        <f t="shared" ref="H150:H159" si="3">IF(G150&gt;=80%,F150,IF(G150&lt;65%,0,E150))</f>
        <v>0</v>
      </c>
      <c r="R150" s="53"/>
      <c r="S150" s="45"/>
    </row>
    <row r="151" spans="1:19" s="29" customFormat="1">
      <c r="A151" s="418" t="s">
        <v>246</v>
      </c>
      <c r="B151" s="844" t="s">
        <v>423</v>
      </c>
      <c r="C151" s="845"/>
      <c r="D151" s="164" t="s">
        <v>51</v>
      </c>
      <c r="E151" s="20">
        <v>2</v>
      </c>
      <c r="F151" s="20">
        <v>3</v>
      </c>
      <c r="G151" s="547"/>
      <c r="H151" s="405">
        <f>IF(G151&gt;=80%,F151,IF(G151&lt;65%,0,E151))</f>
        <v>0</v>
      </c>
      <c r="R151" s="53"/>
      <c r="S151" s="45"/>
    </row>
    <row r="152" spans="1:19" s="29" customFormat="1" ht="30">
      <c r="A152" s="839" t="s">
        <v>247</v>
      </c>
      <c r="B152" s="915" t="s">
        <v>448</v>
      </c>
      <c r="C152" s="916"/>
      <c r="D152" s="521" t="s">
        <v>446</v>
      </c>
      <c r="E152" s="907">
        <v>2.5</v>
      </c>
      <c r="F152" s="908"/>
      <c r="G152" s="940"/>
      <c r="H152" s="938">
        <f>IF(G152&gt;=35,E153,IF(G152&gt;=30,E152,0))</f>
        <v>0</v>
      </c>
      <c r="R152" s="53"/>
      <c r="S152" s="45"/>
    </row>
    <row r="153" spans="1:19" s="29" customFormat="1" ht="30">
      <c r="A153" s="841"/>
      <c r="B153" s="917"/>
      <c r="C153" s="918"/>
      <c r="D153" s="521" t="s">
        <v>447</v>
      </c>
      <c r="E153" s="907">
        <v>3</v>
      </c>
      <c r="F153" s="908"/>
      <c r="G153" s="941"/>
      <c r="H153" s="939"/>
      <c r="R153" s="53"/>
      <c r="S153" s="45"/>
    </row>
    <row r="154" spans="1:19" s="29" customFormat="1" ht="31.5" customHeight="1">
      <c r="A154" s="839" t="s">
        <v>248</v>
      </c>
      <c r="B154" s="915" t="s">
        <v>449</v>
      </c>
      <c r="C154" s="933"/>
      <c r="D154" s="165" t="s">
        <v>372</v>
      </c>
      <c r="E154" s="864">
        <v>4</v>
      </c>
      <c r="F154" s="865"/>
      <c r="G154" s="942"/>
      <c r="H154" s="945">
        <f>IF(G154&gt;=80,E154,IF(G154&gt;=70,E155,IF(G154&gt;=60,E156,IF(G154&gt;=50,E157,0))))</f>
        <v>0</v>
      </c>
      <c r="I154" s="913"/>
      <c r="R154" s="53"/>
      <c r="S154" s="45"/>
    </row>
    <row r="155" spans="1:19" s="29" customFormat="1" ht="31.5" customHeight="1">
      <c r="A155" s="840"/>
      <c r="B155" s="934"/>
      <c r="C155" s="935"/>
      <c r="D155" s="165" t="s">
        <v>373</v>
      </c>
      <c r="E155" s="864">
        <v>3</v>
      </c>
      <c r="F155" s="865"/>
      <c r="G155" s="943"/>
      <c r="H155" s="946"/>
      <c r="I155" s="913"/>
      <c r="R155" s="53"/>
      <c r="S155" s="45"/>
    </row>
    <row r="156" spans="1:19" s="29" customFormat="1" ht="31.5" customHeight="1">
      <c r="A156" s="840"/>
      <c r="B156" s="934"/>
      <c r="C156" s="935"/>
      <c r="D156" s="165" t="s">
        <v>411</v>
      </c>
      <c r="E156" s="864">
        <v>2</v>
      </c>
      <c r="F156" s="865"/>
      <c r="G156" s="943"/>
      <c r="H156" s="946"/>
      <c r="I156" s="913"/>
      <c r="R156" s="53"/>
      <c r="S156" s="45"/>
    </row>
    <row r="157" spans="1:19" s="29" customFormat="1" ht="31.5" customHeight="1">
      <c r="A157" s="841"/>
      <c r="B157" s="936"/>
      <c r="C157" s="937"/>
      <c r="D157" s="165" t="s">
        <v>412</v>
      </c>
      <c r="E157" s="864">
        <v>1</v>
      </c>
      <c r="F157" s="865"/>
      <c r="G157" s="944"/>
      <c r="H157" s="947"/>
      <c r="I157" s="913"/>
      <c r="R157" s="53"/>
      <c r="S157" s="45"/>
    </row>
    <row r="158" spans="1:19" s="29" customFormat="1" ht="31.5" customHeight="1">
      <c r="A158" s="839" t="s">
        <v>414</v>
      </c>
      <c r="B158" s="915" t="s">
        <v>444</v>
      </c>
      <c r="C158" s="933"/>
      <c r="D158" s="165" t="s">
        <v>67</v>
      </c>
      <c r="E158" s="376">
        <v>3.5</v>
      </c>
      <c r="F158" s="376">
        <v>4</v>
      </c>
      <c r="G158" s="27"/>
      <c r="H158" s="405">
        <f t="shared" si="3"/>
        <v>0</v>
      </c>
      <c r="I158" s="913"/>
      <c r="R158" s="53"/>
      <c r="S158" s="45"/>
    </row>
    <row r="159" spans="1:19" s="29" customFormat="1" ht="30">
      <c r="A159" s="841"/>
      <c r="B159" s="936"/>
      <c r="C159" s="937"/>
      <c r="D159" s="165" t="s">
        <v>68</v>
      </c>
      <c r="E159" s="376">
        <v>2.5</v>
      </c>
      <c r="F159" s="376">
        <v>3</v>
      </c>
      <c r="G159" s="27"/>
      <c r="H159" s="405">
        <f t="shared" si="3"/>
        <v>0</v>
      </c>
      <c r="R159" s="53"/>
      <c r="S159" s="45"/>
    </row>
    <row r="160" spans="1:19" s="29" customFormat="1">
      <c r="A160" s="522" t="s">
        <v>594</v>
      </c>
      <c r="B160" s="999" t="s">
        <v>421</v>
      </c>
      <c r="C160" s="1000"/>
      <c r="D160" s="523" t="s">
        <v>51</v>
      </c>
      <c r="E160" s="551">
        <v>2</v>
      </c>
      <c r="F160" s="551">
        <v>2.5</v>
      </c>
      <c r="G160" s="27"/>
      <c r="H160" s="298">
        <f>IF(G160&gt;=80%,F160,IF(G160&lt;65%,0,E160))</f>
        <v>0</v>
      </c>
      <c r="R160" s="53"/>
      <c r="S160" s="45"/>
    </row>
    <row r="161" spans="1:19" s="29" customFormat="1" ht="15.6">
      <c r="A161" s="431" t="s">
        <v>249</v>
      </c>
      <c r="B161" s="86" t="s">
        <v>299</v>
      </c>
      <c r="C161" s="93"/>
      <c r="D161" s="160"/>
      <c r="E161" s="161"/>
      <c r="F161" s="161"/>
      <c r="G161" s="162"/>
      <c r="H161" s="457"/>
      <c r="I161" s="172"/>
      <c r="R161" s="53"/>
      <c r="S161" s="45"/>
    </row>
    <row r="162" spans="1:19" s="29" customFormat="1" ht="32.25" customHeight="1">
      <c r="A162" s="418" t="s">
        <v>250</v>
      </c>
      <c r="B162" s="936" t="s">
        <v>597</v>
      </c>
      <c r="C162" s="937"/>
      <c r="D162" s="543" t="s">
        <v>51</v>
      </c>
      <c r="E162" s="541">
        <v>2</v>
      </c>
      <c r="F162" s="541">
        <v>2.5</v>
      </c>
      <c r="G162" s="27"/>
      <c r="H162" s="405">
        <f>IF(G162&gt;=80%,F162,IF(G162&lt;65%,0,E162))</f>
        <v>0</v>
      </c>
      <c r="R162" s="53"/>
      <c r="S162" s="45"/>
    </row>
    <row r="163" spans="1:19" s="29" customFormat="1" ht="29.25" customHeight="1">
      <c r="A163" s="418" t="s">
        <v>251</v>
      </c>
      <c r="B163" s="999" t="s">
        <v>445</v>
      </c>
      <c r="C163" s="1000"/>
      <c r="D163" s="543" t="s">
        <v>51</v>
      </c>
      <c r="E163" s="541">
        <v>2</v>
      </c>
      <c r="F163" s="541">
        <v>2.5</v>
      </c>
      <c r="G163" s="27"/>
      <c r="H163" s="405">
        <f>IF(G163&gt;=80%,F163,IF(G163&lt;65%,0,E163))</f>
        <v>0</v>
      </c>
      <c r="R163" s="53"/>
      <c r="S163" s="45"/>
    </row>
    <row r="164" spans="1:19" s="29" customFormat="1" ht="15.6">
      <c r="A164" s="431">
        <v>15</v>
      </c>
      <c r="B164" s="86" t="s">
        <v>278</v>
      </c>
      <c r="C164" s="93"/>
      <c r="D164" s="160"/>
      <c r="E164" s="161"/>
      <c r="F164" s="161"/>
      <c r="G164" s="162"/>
      <c r="H164" s="457"/>
      <c r="I164" s="172"/>
      <c r="R164" s="53"/>
      <c r="S164" s="45"/>
    </row>
    <row r="165" spans="1:19" s="29" customFormat="1">
      <c r="A165" s="839" t="s">
        <v>252</v>
      </c>
      <c r="B165" s="936" t="s">
        <v>297</v>
      </c>
      <c r="C165" s="937"/>
      <c r="D165" s="919" t="s">
        <v>51</v>
      </c>
      <c r="E165" s="910">
        <v>2.5</v>
      </c>
      <c r="F165" s="910">
        <v>4</v>
      </c>
      <c r="G165" s="899"/>
      <c r="H165" s="945">
        <f>IF(G165&gt;=80%,F165,IF(G165&lt;65%,0,E165))</f>
        <v>0</v>
      </c>
      <c r="I165" s="172"/>
      <c r="R165" s="53"/>
      <c r="S165" s="45"/>
    </row>
    <row r="166" spans="1:19" s="29" customFormat="1" ht="15.6">
      <c r="A166" s="841"/>
      <c r="B166" s="998" t="s">
        <v>298</v>
      </c>
      <c r="C166" s="998"/>
      <c r="D166" s="920"/>
      <c r="E166" s="911"/>
      <c r="F166" s="911"/>
      <c r="G166" s="900"/>
      <c r="H166" s="947"/>
      <c r="I166" s="172"/>
      <c r="R166" s="53"/>
      <c r="S166" s="45"/>
    </row>
    <row r="167" spans="1:19" s="29" customFormat="1">
      <c r="A167" s="839" t="s">
        <v>253</v>
      </c>
      <c r="B167" s="885" t="s">
        <v>146</v>
      </c>
      <c r="C167" s="884"/>
      <c r="D167" s="769" t="s">
        <v>51</v>
      </c>
      <c r="E167" s="906">
        <v>2.5</v>
      </c>
      <c r="F167" s="906">
        <v>4</v>
      </c>
      <c r="G167" s="905"/>
      <c r="H167" s="909">
        <f>IF(G167&gt;=80%,F167,IF(G167&lt;65%,0,E167))</f>
        <v>0</v>
      </c>
      <c r="I167" s="172"/>
      <c r="R167" s="53"/>
      <c r="S167" s="45"/>
    </row>
    <row r="168" spans="1:19" s="29" customFormat="1" ht="15.6">
      <c r="A168" s="841"/>
      <c r="B168" s="998" t="s">
        <v>120</v>
      </c>
      <c r="C168" s="998"/>
      <c r="D168" s="769"/>
      <c r="E168" s="906"/>
      <c r="F168" s="906"/>
      <c r="G168" s="905"/>
      <c r="H168" s="909"/>
      <c r="I168" s="172"/>
      <c r="R168" s="53"/>
      <c r="S168" s="45"/>
    </row>
    <row r="169" spans="1:19" s="29" customFormat="1" ht="15.6">
      <c r="A169" s="443">
        <v>16</v>
      </c>
      <c r="B169" s="106" t="s">
        <v>213</v>
      </c>
      <c r="C169" s="93"/>
      <c r="D169" s="93"/>
      <c r="E169" s="95"/>
      <c r="F169" s="95"/>
      <c r="G169" s="96"/>
      <c r="H169" s="436"/>
      <c r="R169" s="60"/>
      <c r="S169" s="45"/>
    </row>
    <row r="170" spans="1:19" s="29" customFormat="1">
      <c r="A170" s="418" t="s">
        <v>255</v>
      </c>
      <c r="B170" s="826"/>
      <c r="C170" s="821"/>
      <c r="D170" s="111"/>
      <c r="E170" s="537"/>
      <c r="F170" s="537"/>
      <c r="G170" s="67"/>
      <c r="H170" s="542">
        <f>IF(G170&gt;=80%,F170,IF(G170&lt;65%,0,E170))</f>
        <v>0</v>
      </c>
      <c r="R170" s="53"/>
      <c r="S170" s="45"/>
    </row>
    <row r="171" spans="1:19" s="29" customFormat="1">
      <c r="A171" s="418" t="s">
        <v>256</v>
      </c>
      <c r="B171" s="826"/>
      <c r="C171" s="821"/>
      <c r="D171" s="111"/>
      <c r="E171" s="537"/>
      <c r="F171" s="537"/>
      <c r="G171" s="67"/>
      <c r="H171" s="542">
        <f>IF(G171&gt;=80%,F171,IF(G171&lt;65%,0,E171))</f>
        <v>0</v>
      </c>
      <c r="R171" s="53"/>
      <c r="S171" s="45"/>
    </row>
    <row r="172" spans="1:19" s="29" customFormat="1">
      <c r="A172" s="418" t="s">
        <v>257</v>
      </c>
      <c r="B172" s="826"/>
      <c r="C172" s="821"/>
      <c r="D172" s="111"/>
      <c r="E172" s="537"/>
      <c r="F172" s="537"/>
      <c r="G172" s="67"/>
      <c r="H172" s="542">
        <f>IF(G172&gt;=80%,F172,IF(G172&lt;65%,0,E172))</f>
        <v>0</v>
      </c>
      <c r="R172" s="53"/>
      <c r="S172" s="45"/>
    </row>
    <row r="173" spans="1:19" s="29" customFormat="1" ht="15.6">
      <c r="A173" s="425"/>
      <c r="B173" s="325"/>
      <c r="C173" s="323"/>
      <c r="D173" s="323"/>
      <c r="E173" s="323"/>
      <c r="F173" s="327"/>
      <c r="G173" s="328" t="s">
        <v>419</v>
      </c>
      <c r="H173" s="458">
        <f>IFERROR((SUM(H142:H172)),0)</f>
        <v>0</v>
      </c>
      <c r="R173" s="53"/>
      <c r="S173" s="45"/>
    </row>
    <row r="174" spans="1:19" s="29" customFormat="1" ht="15.6" thickBot="1">
      <c r="A174" s="491"/>
      <c r="B174" s="492"/>
      <c r="C174" s="493"/>
      <c r="D174" s="493"/>
      <c r="E174" s="493"/>
      <c r="F174" s="493"/>
      <c r="G174" s="480"/>
      <c r="H174" s="639"/>
      <c r="R174" s="53"/>
      <c r="S174" s="45"/>
    </row>
    <row r="175" spans="1:19" s="29" customFormat="1" ht="30.75" customHeight="1">
      <c r="A175" s="995" t="s">
        <v>0</v>
      </c>
      <c r="B175" s="996"/>
      <c r="C175" s="997"/>
      <c r="D175" s="1011" t="s">
        <v>4</v>
      </c>
      <c r="E175" s="902" t="s">
        <v>1</v>
      </c>
      <c r="F175" s="903"/>
      <c r="G175" s="898" t="s">
        <v>21</v>
      </c>
      <c r="H175" s="888" t="s">
        <v>63</v>
      </c>
      <c r="R175" s="53"/>
      <c r="S175" s="45"/>
    </row>
    <row r="176" spans="1:19" s="29" customFormat="1" ht="15.6">
      <c r="A176" s="878"/>
      <c r="B176" s="879"/>
      <c r="C176" s="992"/>
      <c r="D176" s="1012"/>
      <c r="E176" s="545" t="s">
        <v>121</v>
      </c>
      <c r="F176" s="545" t="s">
        <v>122</v>
      </c>
      <c r="G176" s="870"/>
      <c r="H176" s="889"/>
      <c r="R176" s="53"/>
      <c r="S176" s="45"/>
    </row>
    <row r="177" spans="1:19" s="29" customFormat="1" ht="15.6">
      <c r="A177" s="450" t="s">
        <v>254</v>
      </c>
      <c r="B177" s="109" t="s">
        <v>258</v>
      </c>
      <c r="C177" s="110"/>
      <c r="D177" s="110"/>
      <c r="E177" s="110"/>
      <c r="F177" s="114"/>
      <c r="G177" s="115"/>
      <c r="H177" s="455"/>
      <c r="R177" s="53"/>
      <c r="S177" s="45"/>
    </row>
    <row r="178" spans="1:19" s="29" customFormat="1">
      <c r="A178" s="391" t="s">
        <v>300</v>
      </c>
      <c r="B178" s="885" t="s">
        <v>259</v>
      </c>
      <c r="C178" s="886"/>
      <c r="D178" s="5" t="s">
        <v>51</v>
      </c>
      <c r="E178" s="20">
        <v>-1</v>
      </c>
      <c r="F178" s="20">
        <v>-2</v>
      </c>
      <c r="G178" s="28"/>
      <c r="H178" s="405">
        <f>IF(G178&gt;=30%,F178,IF(G178=0%,0,E178))</f>
        <v>0</v>
      </c>
      <c r="R178" s="53"/>
      <c r="S178" s="45"/>
    </row>
    <row r="179" spans="1:19" s="29" customFormat="1">
      <c r="A179" s="391" t="s">
        <v>301</v>
      </c>
      <c r="B179" s="885" t="s">
        <v>260</v>
      </c>
      <c r="C179" s="886"/>
      <c r="D179" s="5" t="s">
        <v>51</v>
      </c>
      <c r="E179" s="20">
        <v>-1</v>
      </c>
      <c r="F179" s="20">
        <v>-1.5</v>
      </c>
      <c r="G179" s="28"/>
      <c r="H179" s="405">
        <f>IF(G179&gt;=30%,F179,IF(G179=0%,0,E179))</f>
        <v>0</v>
      </c>
      <c r="R179" s="53"/>
      <c r="S179" s="45"/>
    </row>
    <row r="180" spans="1:19" s="29" customFormat="1">
      <c r="A180" s="391" t="s">
        <v>302</v>
      </c>
      <c r="B180" s="885" t="s">
        <v>261</v>
      </c>
      <c r="C180" s="886"/>
      <c r="D180" s="5" t="s">
        <v>51</v>
      </c>
      <c r="E180" s="904">
        <v>-1</v>
      </c>
      <c r="F180" s="904"/>
      <c r="G180" s="547"/>
      <c r="H180" s="405">
        <f>IF(G180&gt;0%,E180,0)</f>
        <v>0</v>
      </c>
      <c r="R180" s="53"/>
      <c r="S180" s="45"/>
    </row>
    <row r="181" spans="1:19" s="29" customFormat="1" ht="15.6">
      <c r="A181" s="425"/>
      <c r="B181" s="325"/>
      <c r="C181" s="323"/>
      <c r="D181" s="323"/>
      <c r="E181" s="323"/>
      <c r="F181" s="327"/>
      <c r="G181" s="328" t="s">
        <v>142</v>
      </c>
      <c r="H181" s="458">
        <f>IFERROR(MAX(SUM(H178:H180),-4),0)</f>
        <v>0</v>
      </c>
      <c r="R181" s="45"/>
      <c r="S181" s="45"/>
    </row>
    <row r="182" spans="1:19" s="29" customFormat="1">
      <c r="A182" s="412"/>
      <c r="B182" s="325"/>
      <c r="C182" s="323"/>
      <c r="D182" s="323"/>
      <c r="E182" s="323"/>
      <c r="F182" s="323"/>
      <c r="G182" s="332"/>
      <c r="H182" s="388"/>
      <c r="R182" s="53"/>
      <c r="S182" s="45"/>
    </row>
    <row r="183" spans="1:19" s="29" customFormat="1" ht="15.6">
      <c r="A183" s="412"/>
      <c r="B183" s="325"/>
      <c r="C183" s="323"/>
      <c r="D183" s="323"/>
      <c r="E183" s="323"/>
      <c r="F183" s="323"/>
      <c r="G183" s="330" t="s">
        <v>141</v>
      </c>
      <c r="H183" s="459">
        <f>IFERROR(MIN(SUM(H115+H138+H173+H181),G86),0)</f>
        <v>0</v>
      </c>
      <c r="R183" s="53"/>
      <c r="S183" s="45"/>
    </row>
    <row r="184" spans="1:19" s="29" customFormat="1" ht="16.2" thickBot="1">
      <c r="A184" s="491"/>
      <c r="B184" s="492"/>
      <c r="C184" s="493"/>
      <c r="D184" s="493"/>
      <c r="E184" s="493"/>
      <c r="F184" s="493"/>
      <c r="G184" s="494"/>
      <c r="H184" s="495"/>
      <c r="R184" s="53"/>
      <c r="S184" s="45"/>
    </row>
    <row r="185" spans="1:19" s="29" customFormat="1" ht="15.6">
      <c r="A185" s="481" t="s">
        <v>64</v>
      </c>
      <c r="B185" s="482"/>
      <c r="C185" s="482"/>
      <c r="D185" s="482"/>
      <c r="E185" s="482"/>
      <c r="F185" s="483" t="s">
        <v>43</v>
      </c>
      <c r="G185" s="484">
        <f>VLOOKUP($A$7,'Manpower allocation'!A4:D11,4,FALSE)*100</f>
        <v>15</v>
      </c>
      <c r="H185" s="485" t="s">
        <v>42</v>
      </c>
      <c r="J185" s="112">
        <f>VLOOKUP($A$7,'Manpower allocation'!A4:D11,4,FALSE)*100</f>
        <v>15</v>
      </c>
      <c r="R185" s="53"/>
      <c r="S185" s="45"/>
    </row>
    <row r="186" spans="1:19" s="29" customFormat="1" ht="15.6">
      <c r="A186" s="412"/>
      <c r="B186" s="331"/>
      <c r="C186" s="323"/>
      <c r="D186" s="323"/>
      <c r="E186" s="323"/>
      <c r="F186" s="323"/>
      <c r="G186" s="332"/>
      <c r="H186" s="388"/>
      <c r="R186" s="53"/>
      <c r="S186" s="45"/>
    </row>
    <row r="187" spans="1:19" s="29" customFormat="1" ht="46.8">
      <c r="A187" s="993" t="s">
        <v>0</v>
      </c>
      <c r="B187" s="994"/>
      <c r="C187" s="113"/>
      <c r="D187" s="539" t="s">
        <v>17</v>
      </c>
      <c r="E187" s="539" t="s">
        <v>125</v>
      </c>
      <c r="F187" s="539" t="s">
        <v>109</v>
      </c>
      <c r="G187" s="539" t="s">
        <v>18</v>
      </c>
      <c r="H187" s="544" t="s">
        <v>63</v>
      </c>
      <c r="R187" s="53"/>
      <c r="S187" s="45"/>
    </row>
    <row r="188" spans="1:19" s="29" customFormat="1" ht="15.6">
      <c r="A188" s="454" t="s">
        <v>265</v>
      </c>
      <c r="B188" s="109" t="s">
        <v>358</v>
      </c>
      <c r="C188" s="110"/>
      <c r="D188" s="110"/>
      <c r="E188" s="110"/>
      <c r="F188" s="114"/>
      <c r="G188" s="115"/>
      <c r="H188" s="455"/>
      <c r="R188" s="53"/>
      <c r="S188" s="45"/>
    </row>
    <row r="189" spans="1:19" s="29" customFormat="1" ht="15.6">
      <c r="A189" s="460">
        <v>1</v>
      </c>
      <c r="B189" s="116" t="s">
        <v>338</v>
      </c>
      <c r="C189" s="117"/>
      <c r="D189" s="118"/>
      <c r="E189" s="118"/>
      <c r="F189" s="118"/>
      <c r="G189" s="118"/>
      <c r="H189" s="461"/>
      <c r="R189" s="53"/>
      <c r="S189" s="45"/>
    </row>
    <row r="190" spans="1:19" s="29" customFormat="1">
      <c r="A190" s="409">
        <v>1.1000000000000001</v>
      </c>
      <c r="B190" s="844" t="s">
        <v>290</v>
      </c>
      <c r="C190" s="845"/>
      <c r="D190" s="20">
        <f>VLOOKUP(A190,'Point Allocation'!$A$46:$J$55,MATCH(A7,'Point Allocation'!$A$46:$J$46,0),0)</f>
        <v>15</v>
      </c>
      <c r="E190" s="38"/>
      <c r="F190" s="38"/>
      <c r="G190" s="31">
        <f>MIN(IFERROR(F190/E190,0),100%)</f>
        <v>0</v>
      </c>
      <c r="H190" s="405">
        <f>D190*G190</f>
        <v>0</v>
      </c>
      <c r="R190" s="53"/>
      <c r="S190" s="45"/>
    </row>
    <row r="191" spans="1:19" s="29" customFormat="1" ht="15.6">
      <c r="A191" s="462">
        <v>2</v>
      </c>
      <c r="B191" s="119" t="s">
        <v>339</v>
      </c>
      <c r="C191" s="120"/>
      <c r="D191" s="32"/>
      <c r="E191" s="33"/>
      <c r="F191" s="33"/>
      <c r="G191" s="34"/>
      <c r="H191" s="463"/>
      <c r="R191" s="53"/>
      <c r="S191" s="45"/>
    </row>
    <row r="192" spans="1:19" s="29" customFormat="1" ht="33" customHeight="1">
      <c r="A192" s="464">
        <v>2.1</v>
      </c>
      <c r="B192" s="969" t="s">
        <v>266</v>
      </c>
      <c r="C192" s="971"/>
      <c r="D192" s="20">
        <f>VLOOKUP(A192,'Point Allocation'!$A$46:$J$55,MATCH(A7,'Point Allocation'!$A$46:$J$46,0),0)</f>
        <v>12</v>
      </c>
      <c r="E192" s="38"/>
      <c r="F192" s="38"/>
      <c r="G192" s="31">
        <f>MIN(IFERROR(F192/E192,0),100%)</f>
        <v>0</v>
      </c>
      <c r="H192" s="405">
        <f>D192*G192</f>
        <v>0</v>
      </c>
      <c r="R192" s="53"/>
      <c r="S192" s="45"/>
    </row>
    <row r="193" spans="1:19" s="29" customFormat="1" ht="15.6">
      <c r="A193" s="460">
        <v>3</v>
      </c>
      <c r="B193" s="116" t="s">
        <v>343</v>
      </c>
      <c r="C193" s="121"/>
      <c r="D193" s="35"/>
      <c r="E193" s="35"/>
      <c r="F193" s="35"/>
      <c r="G193" s="34"/>
      <c r="H193" s="465"/>
      <c r="R193" s="53"/>
      <c r="S193" s="45"/>
    </row>
    <row r="194" spans="1:19" s="29" customFormat="1">
      <c r="A194" s="466">
        <v>3.1</v>
      </c>
      <c r="B194" s="850" t="s">
        <v>451</v>
      </c>
      <c r="C194" s="851"/>
      <c r="D194" s="20">
        <f>VLOOKUP(A194,'Point Allocation'!$A$46:$J$55,MATCH(A7,'Point Allocation'!$A$46:$J$46,0),0)</f>
        <v>4</v>
      </c>
      <c r="E194" s="38"/>
      <c r="F194" s="38"/>
      <c r="G194" s="31">
        <f>MIN(IFERROR(F194/E194,0),100%)</f>
        <v>0</v>
      </c>
      <c r="H194" s="405">
        <f>D194*G194</f>
        <v>0</v>
      </c>
      <c r="R194" s="53"/>
      <c r="S194" s="45"/>
    </row>
    <row r="195" spans="1:19" s="29" customFormat="1" ht="32.25" customHeight="1">
      <c r="A195" s="466">
        <v>3.2</v>
      </c>
      <c r="B195" s="850" t="s">
        <v>452</v>
      </c>
      <c r="C195" s="851"/>
      <c r="D195" s="20">
        <f>VLOOKUP(A195,'Point Allocation'!$A$46:$J$55,MATCH(A7,'Point Allocation'!$A$46:$J$46,0),0)</f>
        <v>4</v>
      </c>
      <c r="E195" s="178"/>
      <c r="F195" s="38"/>
      <c r="G195" s="31">
        <f>MIN(IFERROR(F195/E195,0),100%)</f>
        <v>0</v>
      </c>
      <c r="H195" s="405">
        <f>D195*G195</f>
        <v>0</v>
      </c>
      <c r="R195" s="53"/>
      <c r="S195" s="45"/>
    </row>
    <row r="196" spans="1:19" s="29" customFormat="1" ht="32.25" customHeight="1">
      <c r="A196" s="404">
        <v>3.3</v>
      </c>
      <c r="B196" s="885" t="s">
        <v>170</v>
      </c>
      <c r="C196" s="886"/>
      <c r="D196" s="20">
        <f>VLOOKUP(A196,'Point Allocation'!$A$46:$J$55,MATCH(A7,'Point Allocation'!$A$46:$J$46,0),0)</f>
        <v>4</v>
      </c>
      <c r="E196" s="179"/>
      <c r="F196" s="536"/>
      <c r="G196" s="31">
        <f>MIN(IFERROR(F196/E196,0),100%)</f>
        <v>0</v>
      </c>
      <c r="H196" s="405">
        <f>D196*G196</f>
        <v>0</v>
      </c>
      <c r="R196" s="53"/>
      <c r="S196" s="45"/>
    </row>
    <row r="197" spans="1:19" s="29" customFormat="1" ht="15.6">
      <c r="A197" s="412"/>
      <c r="B197" s="325"/>
      <c r="C197" s="323"/>
      <c r="D197" s="324" t="s">
        <v>6</v>
      </c>
      <c r="E197" s="300">
        <f>MAX(SUM(E190:E196),F197)</f>
        <v>0</v>
      </c>
      <c r="F197" s="300">
        <f>SUM(F190:F196)</f>
        <v>0</v>
      </c>
      <c r="G197" s="340">
        <f>IFERROR(MIN(F197/E197,100%),0)</f>
        <v>0</v>
      </c>
      <c r="H197" s="413">
        <f>IFERROR(SUM(H190:H196),0)</f>
        <v>0</v>
      </c>
      <c r="R197" s="53"/>
      <c r="S197" s="45"/>
    </row>
    <row r="198" spans="1:19" s="29" customFormat="1" ht="15.6">
      <c r="A198" s="412"/>
      <c r="B198" s="338"/>
      <c r="C198" s="341"/>
      <c r="D198" s="342"/>
      <c r="E198" s="341"/>
      <c r="F198" s="341"/>
      <c r="G198" s="343"/>
      <c r="H198" s="467"/>
      <c r="R198" s="53"/>
      <c r="S198" s="45"/>
    </row>
    <row r="199" spans="1:19" s="29" customFormat="1" ht="15.6">
      <c r="A199" s="993" t="s">
        <v>0</v>
      </c>
      <c r="B199" s="994"/>
      <c r="C199" s="982"/>
      <c r="D199" s="901" t="s">
        <v>4</v>
      </c>
      <c r="E199" s="901" t="s">
        <v>1</v>
      </c>
      <c r="F199" s="901"/>
      <c r="G199" s="894" t="s">
        <v>21</v>
      </c>
      <c r="H199" s="887" t="s">
        <v>63</v>
      </c>
      <c r="R199" s="53"/>
      <c r="S199" s="45"/>
    </row>
    <row r="200" spans="1:19" s="29" customFormat="1" ht="30.75" customHeight="1">
      <c r="A200" s="1007"/>
      <c r="B200" s="1008"/>
      <c r="C200" s="983"/>
      <c r="D200" s="901"/>
      <c r="E200" s="539" t="s">
        <v>65</v>
      </c>
      <c r="F200" s="539" t="s">
        <v>66</v>
      </c>
      <c r="G200" s="894"/>
      <c r="H200" s="887"/>
      <c r="R200" s="53"/>
      <c r="S200" s="45"/>
    </row>
    <row r="201" spans="1:19" s="29" customFormat="1" ht="15.6">
      <c r="A201" s="415" t="s">
        <v>271</v>
      </c>
      <c r="B201" s="46" t="s">
        <v>272</v>
      </c>
      <c r="C201" s="57"/>
      <c r="D201" s="57"/>
      <c r="E201" s="57"/>
      <c r="F201" s="58"/>
      <c r="G201" s="108"/>
      <c r="H201" s="451"/>
      <c r="R201" s="53"/>
      <c r="S201" s="45"/>
    </row>
    <row r="202" spans="1:19" s="29" customFormat="1" ht="15.6">
      <c r="A202" s="468">
        <v>4</v>
      </c>
      <c r="B202" s="122" t="s">
        <v>341</v>
      </c>
      <c r="C202" s="120"/>
      <c r="D202" s="123"/>
      <c r="E202" s="124"/>
      <c r="F202" s="124"/>
      <c r="G202" s="125"/>
      <c r="H202" s="469"/>
      <c r="R202" s="53"/>
      <c r="S202" s="45"/>
    </row>
    <row r="203" spans="1:19" s="29" customFormat="1">
      <c r="A203" s="409">
        <v>4.0999999999999996</v>
      </c>
      <c r="B203" s="844" t="s">
        <v>164</v>
      </c>
      <c r="C203" s="845"/>
      <c r="D203" s="5" t="s">
        <v>51</v>
      </c>
      <c r="E203" s="20" t="s">
        <v>50</v>
      </c>
      <c r="F203" s="20">
        <f>VLOOKUP(A203,'Point Allocation'!$A$46:$J$55,MATCH(A7,'Point Allocation'!$A$46:$J$46,0),0)</f>
        <v>1.5</v>
      </c>
      <c r="G203" s="547"/>
      <c r="H203" s="405">
        <f>IF(G203&gt;=80%,F203,0)</f>
        <v>0</v>
      </c>
      <c r="R203" s="53"/>
      <c r="S203" s="45"/>
    </row>
    <row r="204" spans="1:19" s="29" customFormat="1">
      <c r="A204" s="409">
        <v>4.2</v>
      </c>
      <c r="B204" s="844" t="s">
        <v>161</v>
      </c>
      <c r="C204" s="845"/>
      <c r="D204" s="5" t="s">
        <v>51</v>
      </c>
      <c r="E204" s="20" t="s">
        <v>50</v>
      </c>
      <c r="F204" s="20">
        <f>VLOOKUP(A204,'Point Allocation'!$A$46:$J$55,MATCH(A7,'Point Allocation'!$A$46:$J$46,0),0)</f>
        <v>1.5</v>
      </c>
      <c r="G204" s="547"/>
      <c r="H204" s="405">
        <f>IF(G204&gt;=80%,F204,0)</f>
        <v>0</v>
      </c>
      <c r="R204" s="53"/>
      <c r="S204" s="45"/>
    </row>
    <row r="205" spans="1:19" s="29" customFormat="1">
      <c r="A205" s="409">
        <v>4.3</v>
      </c>
      <c r="B205" s="844" t="s">
        <v>155</v>
      </c>
      <c r="C205" s="845"/>
      <c r="D205" s="5" t="s">
        <v>3</v>
      </c>
      <c r="E205" s="20" t="s">
        <v>50</v>
      </c>
      <c r="F205" s="20">
        <f>VLOOKUP(A205,'Point Allocation'!$A$46:$J$55,MATCH(A7,'Point Allocation'!$A$46:$J$46,0),0)</f>
        <v>1.5</v>
      </c>
      <c r="G205" s="547"/>
      <c r="H205" s="405">
        <f>IF(G205&gt;=80%,F205,0)</f>
        <v>0</v>
      </c>
      <c r="R205" s="53"/>
      <c r="S205" s="45"/>
    </row>
    <row r="206" spans="1:19" s="29" customFormat="1">
      <c r="A206" s="470">
        <v>4.4000000000000004</v>
      </c>
      <c r="B206" s="874" t="s">
        <v>270</v>
      </c>
      <c r="C206" s="875"/>
      <c r="D206" s="5" t="s">
        <v>3</v>
      </c>
      <c r="E206" s="20" t="s">
        <v>50</v>
      </c>
      <c r="F206" s="20">
        <f>VLOOKUP(A206,'Point Allocation'!$A$46:$J$55,MATCH(A7,'Point Allocation'!$A$46:$J$46,0),0)</f>
        <v>1.5</v>
      </c>
      <c r="G206" s="547"/>
      <c r="H206" s="405">
        <f>IF(G206&gt;=80%,F206,0)</f>
        <v>0</v>
      </c>
      <c r="R206" s="53"/>
      <c r="S206" s="45"/>
    </row>
    <row r="207" spans="1:19" s="29" customFormat="1" ht="15.6">
      <c r="A207" s="468">
        <v>5</v>
      </c>
      <c r="B207" s="122" t="s">
        <v>213</v>
      </c>
      <c r="C207" s="120"/>
      <c r="D207" s="126"/>
      <c r="E207" s="127"/>
      <c r="F207" s="127"/>
      <c r="G207" s="128"/>
      <c r="H207" s="471"/>
      <c r="R207" s="53"/>
      <c r="S207" s="45"/>
    </row>
    <row r="208" spans="1:19" s="29" customFormat="1">
      <c r="A208" s="411">
        <v>5.0999999999999996</v>
      </c>
      <c r="B208" s="826"/>
      <c r="C208" s="847"/>
      <c r="D208" s="530"/>
      <c r="E208" s="536"/>
      <c r="F208" s="536"/>
      <c r="G208" s="547"/>
      <c r="H208" s="542">
        <f>IF(G208&gt;=80%,F208,IF(G208&lt;65%,0,E208))</f>
        <v>0</v>
      </c>
      <c r="R208" s="53"/>
      <c r="S208" s="45"/>
    </row>
    <row r="209" spans="1:19" s="29" customFormat="1">
      <c r="A209" s="411">
        <v>5.2</v>
      </c>
      <c r="B209" s="826"/>
      <c r="C209" s="847"/>
      <c r="D209" s="530"/>
      <c r="E209" s="536"/>
      <c r="F209" s="536"/>
      <c r="G209" s="547"/>
      <c r="H209" s="542">
        <f>IF(G209&gt;=80%,F209,IF(G209&lt;65%,0,E209))</f>
        <v>0</v>
      </c>
      <c r="R209" s="53"/>
      <c r="S209" s="45"/>
    </row>
    <row r="210" spans="1:19" s="29" customFormat="1">
      <c r="A210" s="411">
        <v>5.3</v>
      </c>
      <c r="B210" s="826"/>
      <c r="C210" s="847"/>
      <c r="D210" s="530"/>
      <c r="E210" s="536"/>
      <c r="F210" s="536"/>
      <c r="G210" s="547"/>
      <c r="H210" s="542">
        <f>IF(G210&gt;=80%,F210,IF(G210&lt;65%,0,E210))</f>
        <v>0</v>
      </c>
      <c r="R210" s="53"/>
      <c r="S210" s="45"/>
    </row>
    <row r="211" spans="1:19" s="29" customFormat="1" ht="15.6">
      <c r="A211" s="412"/>
      <c r="B211" s="344"/>
      <c r="C211" s="344"/>
      <c r="D211" s="332"/>
      <c r="E211" s="332"/>
      <c r="F211" s="332"/>
      <c r="G211" s="330" t="s">
        <v>7</v>
      </c>
      <c r="H211" s="445">
        <f>IFERROR(SUM(H203:H206,H208:H210),0)</f>
        <v>0</v>
      </c>
      <c r="R211" s="53"/>
      <c r="S211" s="45"/>
    </row>
    <row r="212" spans="1:19" s="29" customFormat="1">
      <c r="A212" s="412"/>
      <c r="B212" s="325"/>
      <c r="C212" s="323"/>
      <c r="D212" s="323"/>
      <c r="E212" s="323"/>
      <c r="F212" s="323"/>
      <c r="G212" s="332"/>
      <c r="H212" s="388"/>
      <c r="R212" s="53"/>
      <c r="S212" s="45"/>
    </row>
    <row r="213" spans="1:19" s="29" customFormat="1" ht="15.6">
      <c r="A213" s="993" t="s">
        <v>0</v>
      </c>
      <c r="B213" s="994"/>
      <c r="C213" s="982"/>
      <c r="D213" s="894" t="s">
        <v>4</v>
      </c>
      <c r="E213" s="901" t="s">
        <v>1</v>
      </c>
      <c r="F213" s="901"/>
      <c r="G213" s="894" t="s">
        <v>21</v>
      </c>
      <c r="H213" s="887" t="s">
        <v>63</v>
      </c>
      <c r="R213" s="53"/>
      <c r="S213" s="45"/>
    </row>
    <row r="214" spans="1:19" s="29" customFormat="1" ht="31.2">
      <c r="A214" s="1007"/>
      <c r="B214" s="1008"/>
      <c r="C214" s="983"/>
      <c r="D214" s="901"/>
      <c r="E214" s="539" t="s">
        <v>65</v>
      </c>
      <c r="F214" s="539" t="s">
        <v>66</v>
      </c>
      <c r="G214" s="894"/>
      <c r="H214" s="887"/>
      <c r="R214" s="53"/>
      <c r="S214" s="45"/>
    </row>
    <row r="215" spans="1:19" s="29" customFormat="1" ht="15.6">
      <c r="A215" s="454" t="s">
        <v>273</v>
      </c>
      <c r="B215" s="109" t="s">
        <v>234</v>
      </c>
      <c r="C215" s="129"/>
      <c r="D215" s="130"/>
      <c r="E215" s="130"/>
      <c r="F215" s="131"/>
      <c r="G215" s="132"/>
      <c r="H215" s="472"/>
      <c r="R215" s="53"/>
      <c r="S215" s="45"/>
    </row>
    <row r="216" spans="1:19" s="29" customFormat="1" ht="15.6">
      <c r="A216" s="391" t="s">
        <v>199</v>
      </c>
      <c r="B216" s="844" t="s">
        <v>274</v>
      </c>
      <c r="C216" s="845"/>
      <c r="D216" s="98" t="s">
        <v>2</v>
      </c>
      <c r="E216" s="98">
        <v>1</v>
      </c>
      <c r="F216" s="98">
        <v>2</v>
      </c>
      <c r="G216" s="67"/>
      <c r="H216" s="437">
        <f>IF(G216&gt;=80%,F216,IF(G216&lt;65%,0,E216))</f>
        <v>0</v>
      </c>
      <c r="K216" s="135"/>
      <c r="R216" s="53"/>
      <c r="S216" s="45"/>
    </row>
    <row r="217" spans="1:19" s="29" customFormat="1" ht="31.5" customHeight="1">
      <c r="A217" s="473" t="s">
        <v>200</v>
      </c>
      <c r="B217" s="960" t="s">
        <v>275</v>
      </c>
      <c r="C217" s="962"/>
      <c r="D217" s="98" t="s">
        <v>51</v>
      </c>
      <c r="E217" s="98">
        <v>0.5</v>
      </c>
      <c r="F217" s="98">
        <v>1</v>
      </c>
      <c r="G217" s="67"/>
      <c r="H217" s="437">
        <f>IF(G217&gt;=80%,F217,IF(G217&lt;65%,0,E217))</f>
        <v>0</v>
      </c>
      <c r="R217" s="53"/>
      <c r="S217" s="45"/>
    </row>
    <row r="218" spans="1:19" s="29" customFormat="1" ht="15.6">
      <c r="A218" s="412"/>
      <c r="B218" s="325"/>
      <c r="C218" s="323"/>
      <c r="D218" s="323"/>
      <c r="E218" s="323"/>
      <c r="F218" s="326"/>
      <c r="G218" s="330" t="s">
        <v>110</v>
      </c>
      <c r="H218" s="474">
        <f>IFERROR(SUM(H216:H217),0)</f>
        <v>0</v>
      </c>
      <c r="R218" s="53"/>
      <c r="S218" s="45"/>
    </row>
    <row r="219" spans="1:19" s="29" customFormat="1">
      <c r="A219" s="412"/>
      <c r="B219" s="325"/>
      <c r="C219" s="323"/>
      <c r="D219" s="323"/>
      <c r="E219" s="323"/>
      <c r="F219" s="323"/>
      <c r="G219" s="332"/>
      <c r="H219" s="388"/>
      <c r="R219" s="53"/>
      <c r="S219" s="45"/>
    </row>
    <row r="220" spans="1:19" s="29" customFormat="1" ht="15.6">
      <c r="A220" s="412"/>
      <c r="B220" s="325"/>
      <c r="C220" s="323"/>
      <c r="D220" s="323"/>
      <c r="E220" s="323"/>
      <c r="F220" s="323"/>
      <c r="G220" s="330" t="s">
        <v>111</v>
      </c>
      <c r="H220" s="474">
        <f>IFERROR(MIN(SUM(H197+H211+H218),G185),0)</f>
        <v>0</v>
      </c>
      <c r="R220" s="53"/>
      <c r="S220" s="45"/>
    </row>
    <row r="221" spans="1:19" s="29" customFormat="1" ht="16.2" thickBot="1">
      <c r="A221" s="491"/>
      <c r="B221" s="492"/>
      <c r="C221" s="493"/>
      <c r="D221" s="493"/>
      <c r="E221" s="493"/>
      <c r="F221" s="493"/>
      <c r="G221" s="496"/>
      <c r="H221" s="495"/>
      <c r="R221" s="53"/>
      <c r="S221" s="45"/>
    </row>
    <row r="222" spans="1:19" s="29" customFormat="1" ht="15.6">
      <c r="A222" s="633" t="s">
        <v>137</v>
      </c>
      <c r="B222" s="634"/>
      <c r="C222" s="634"/>
      <c r="D222" s="634"/>
      <c r="E222" s="634"/>
      <c r="F222" s="635" t="s">
        <v>43</v>
      </c>
      <c r="G222" s="636">
        <v>20</v>
      </c>
      <c r="H222" s="637" t="s">
        <v>42</v>
      </c>
      <c r="R222" s="53"/>
      <c r="S222" s="45"/>
    </row>
    <row r="223" spans="1:19" s="29" customFormat="1" ht="15.6">
      <c r="A223" s="412"/>
      <c r="B223" s="347"/>
      <c r="C223" s="323"/>
      <c r="D223" s="323"/>
      <c r="E223" s="323"/>
      <c r="F223" s="323"/>
      <c r="G223" s="332"/>
      <c r="H223" s="388"/>
      <c r="R223" s="53"/>
      <c r="S223" s="45"/>
    </row>
    <row r="224" spans="1:19" s="29" customFormat="1" ht="33" customHeight="1">
      <c r="A224" s="1009" t="s">
        <v>0</v>
      </c>
      <c r="B224" s="1010"/>
      <c r="C224" s="136"/>
      <c r="D224" s="136"/>
      <c r="E224" s="137" t="s">
        <v>4</v>
      </c>
      <c r="F224" s="137" t="s">
        <v>70</v>
      </c>
      <c r="G224" s="138" t="s">
        <v>21</v>
      </c>
      <c r="H224" s="475" t="s">
        <v>63</v>
      </c>
      <c r="R224" s="53"/>
      <c r="S224" s="45"/>
    </row>
    <row r="225" spans="1:19" s="29" customFormat="1" ht="15.6">
      <c r="A225" s="454" t="s">
        <v>276</v>
      </c>
      <c r="B225" s="109" t="s">
        <v>277</v>
      </c>
      <c r="C225" s="110"/>
      <c r="D225" s="110"/>
      <c r="E225" s="110"/>
      <c r="F225" s="58"/>
      <c r="G225" s="139"/>
      <c r="H225" s="476"/>
      <c r="J225" s="134"/>
      <c r="R225" s="53"/>
      <c r="S225" s="45"/>
    </row>
    <row r="226" spans="1:19" s="29" customFormat="1" ht="15.6">
      <c r="A226" s="411">
        <v>1.1000000000000001</v>
      </c>
      <c r="B226" s="836" t="s">
        <v>123</v>
      </c>
      <c r="C226" s="837"/>
      <c r="D226" s="838"/>
      <c r="E226" s="167"/>
      <c r="F226" s="140"/>
      <c r="G226" s="141"/>
      <c r="H226" s="441">
        <f t="shared" ref="H226:H231" si="4">F226*G226</f>
        <v>0</v>
      </c>
      <c r="R226" s="53"/>
      <c r="S226" s="45"/>
    </row>
    <row r="227" spans="1:19" s="29" customFormat="1" ht="15.6">
      <c r="A227" s="406">
        <v>1.2</v>
      </c>
      <c r="B227" s="1004" t="s">
        <v>124</v>
      </c>
      <c r="C227" s="1005"/>
      <c r="D227" s="1006"/>
      <c r="E227" s="167"/>
      <c r="F227" s="140"/>
      <c r="G227" s="141"/>
      <c r="H227" s="441">
        <f t="shared" si="4"/>
        <v>0</v>
      </c>
      <c r="R227" s="53"/>
      <c r="S227" s="45"/>
    </row>
    <row r="228" spans="1:19" s="29" customFormat="1" ht="15.6">
      <c r="A228" s="411">
        <v>1.3</v>
      </c>
      <c r="B228" s="836" t="s">
        <v>115</v>
      </c>
      <c r="C228" s="837"/>
      <c r="D228" s="838"/>
      <c r="E228" s="167"/>
      <c r="F228" s="140"/>
      <c r="G228" s="141"/>
      <c r="H228" s="441">
        <f t="shared" si="4"/>
        <v>0</v>
      </c>
      <c r="R228" s="53"/>
      <c r="S228" s="45"/>
    </row>
    <row r="229" spans="1:19" s="29" customFormat="1" ht="15.6">
      <c r="A229" s="411">
        <v>1.4</v>
      </c>
      <c r="B229" s="836" t="s">
        <v>305</v>
      </c>
      <c r="C229" s="837"/>
      <c r="D229" s="838"/>
      <c r="E229" s="167"/>
      <c r="F229" s="140"/>
      <c r="G229" s="141"/>
      <c r="H229" s="441">
        <f t="shared" si="4"/>
        <v>0</v>
      </c>
      <c r="R229" s="53"/>
      <c r="S229" s="45"/>
    </row>
    <row r="230" spans="1:19" s="29" customFormat="1" ht="15.6">
      <c r="A230" s="411">
        <v>1.5</v>
      </c>
      <c r="B230" s="836"/>
      <c r="C230" s="837"/>
      <c r="D230" s="838"/>
      <c r="E230" s="167"/>
      <c r="F230" s="140"/>
      <c r="G230" s="141"/>
      <c r="H230" s="441">
        <f t="shared" si="4"/>
        <v>0</v>
      </c>
      <c r="R230" s="53"/>
      <c r="S230" s="45"/>
    </row>
    <row r="231" spans="1:19" s="29" customFormat="1" ht="15.6">
      <c r="A231" s="411">
        <v>1.6</v>
      </c>
      <c r="B231" s="836"/>
      <c r="C231" s="837"/>
      <c r="D231" s="838"/>
      <c r="E231" s="111"/>
      <c r="F231" s="142"/>
      <c r="G231" s="67"/>
      <c r="H231" s="441">
        <f t="shared" si="4"/>
        <v>0</v>
      </c>
      <c r="R231" s="53"/>
      <c r="S231" s="45"/>
    </row>
    <row r="232" spans="1:19" s="29" customFormat="1" ht="15.6">
      <c r="A232" s="454" t="s">
        <v>279</v>
      </c>
      <c r="B232" s="109" t="s">
        <v>278</v>
      </c>
      <c r="C232" s="110"/>
      <c r="D232" s="110"/>
      <c r="E232" s="110"/>
      <c r="F232" s="58"/>
      <c r="G232" s="139"/>
      <c r="H232" s="476"/>
      <c r="R232" s="53"/>
      <c r="S232" s="45"/>
    </row>
    <row r="233" spans="1:19" s="29" customFormat="1">
      <c r="A233" s="411">
        <v>2.1</v>
      </c>
      <c r="B233" s="1001" t="s">
        <v>138</v>
      </c>
      <c r="C233" s="1002"/>
      <c r="D233" s="1003"/>
      <c r="E233" s="157" t="s">
        <v>410</v>
      </c>
      <c r="F233" s="527">
        <v>2</v>
      </c>
      <c r="G233" s="528"/>
      <c r="H233" s="441">
        <f>IFERROR(VLOOKUP(E233,K234:L237,2,FALSE),0)</f>
        <v>0</v>
      </c>
      <c r="K233" s="29" t="s">
        <v>410</v>
      </c>
      <c r="L233" s="29">
        <v>0</v>
      </c>
      <c r="R233" s="53"/>
      <c r="S233" s="45"/>
    </row>
    <row r="234" spans="1:19" s="29" customFormat="1" ht="15.6">
      <c r="A234" s="412"/>
      <c r="B234" s="322"/>
      <c r="C234" s="323"/>
      <c r="D234" s="323"/>
      <c r="E234" s="323"/>
      <c r="F234" s="323"/>
      <c r="G234" s="330" t="s">
        <v>139</v>
      </c>
      <c r="H234" s="477">
        <f>IFERROR(MIN(SUM(H226:H233),G222),0)</f>
        <v>0</v>
      </c>
      <c r="K234" s="29" t="s">
        <v>406</v>
      </c>
      <c r="L234" s="29">
        <v>2</v>
      </c>
      <c r="R234" s="45"/>
      <c r="S234" s="45"/>
    </row>
    <row r="235" spans="1:19" s="29" customFormat="1">
      <c r="A235" s="412"/>
      <c r="B235" s="325"/>
      <c r="C235" s="323"/>
      <c r="D235" s="323"/>
      <c r="E235" s="323"/>
      <c r="F235" s="323"/>
      <c r="G235" s="332"/>
      <c r="H235" s="388"/>
      <c r="K235" s="29" t="s">
        <v>407</v>
      </c>
      <c r="L235" s="29">
        <v>2</v>
      </c>
      <c r="R235" s="45"/>
      <c r="S235" s="45"/>
    </row>
    <row r="236" spans="1:19" s="29" customFormat="1" ht="15.6">
      <c r="A236" s="412"/>
      <c r="B236" s="325"/>
      <c r="C236" s="323"/>
      <c r="D236" s="323"/>
      <c r="E236" s="323"/>
      <c r="F236" s="323"/>
      <c r="G236" s="330" t="s">
        <v>69</v>
      </c>
      <c r="H236" s="445">
        <f>IFERROR(H84+H183+H220+H234,0)</f>
        <v>0</v>
      </c>
      <c r="K236" s="29" t="s">
        <v>408</v>
      </c>
      <c r="L236" s="29">
        <v>2</v>
      </c>
      <c r="R236" s="45"/>
      <c r="S236" s="45"/>
    </row>
    <row r="237" spans="1:19" s="29" customFormat="1">
      <c r="A237" s="412"/>
      <c r="B237" s="325"/>
      <c r="C237" s="323"/>
      <c r="D237" s="323"/>
      <c r="E237" s="323"/>
      <c r="F237" s="323"/>
      <c r="G237" s="332"/>
      <c r="H237" s="388"/>
      <c r="K237" s="29" t="s">
        <v>409</v>
      </c>
      <c r="L237" s="29">
        <v>2</v>
      </c>
      <c r="R237" s="53"/>
      <c r="S237" s="45"/>
    </row>
    <row r="238" spans="1:19" s="29" customFormat="1" ht="15.75" customHeight="1">
      <c r="A238" s="412"/>
      <c r="B238" s="345" t="s">
        <v>37</v>
      </c>
      <c r="C238" s="332"/>
      <c r="D238" s="1013" t="s">
        <v>415</v>
      </c>
      <c r="E238" s="1013"/>
      <c r="F238" s="1013"/>
      <c r="G238" s="332"/>
      <c r="H238" s="478"/>
      <c r="R238" s="53"/>
      <c r="S238" s="45"/>
    </row>
    <row r="239" spans="1:19" s="29" customFormat="1" ht="15.6">
      <c r="A239" s="412"/>
      <c r="B239" s="346"/>
      <c r="C239" s="332"/>
      <c r="D239" s="1013"/>
      <c r="E239" s="1013"/>
      <c r="F239" s="1013"/>
      <c r="G239" s="332"/>
      <c r="H239" s="478"/>
      <c r="R239" s="53"/>
      <c r="S239" s="45"/>
    </row>
    <row r="240" spans="1:19" s="29" customFormat="1" ht="15.6">
      <c r="A240" s="479" t="s">
        <v>280</v>
      </c>
      <c r="B240" s="346" t="s">
        <v>100</v>
      </c>
      <c r="C240" s="369">
        <f>IFERROR(SUM(G29+G32+G34+G35+G44+G47),0)</f>
        <v>0</v>
      </c>
      <c r="D240" s="332" t="s">
        <v>284</v>
      </c>
      <c r="E240" s="141"/>
      <c r="F240" s="332" t="s">
        <v>285</v>
      </c>
      <c r="G240" s="144">
        <f>MIN(IFERROR(SUM(C240+E240),0),100%)</f>
        <v>0</v>
      </c>
      <c r="H240" s="388"/>
      <c r="M240" s="53"/>
      <c r="N240" s="45"/>
    </row>
    <row r="241" spans="1:19" s="29" customFormat="1" ht="15.6">
      <c r="A241" s="479" t="s">
        <v>281</v>
      </c>
      <c r="B241" s="346" t="s">
        <v>101</v>
      </c>
      <c r="C241" s="369">
        <f>IFERROR(SUM(F19+G91+G93+G95+G98+G101+G102+G103+G104+G105),0)</f>
        <v>0</v>
      </c>
      <c r="D241" s="332" t="s">
        <v>284</v>
      </c>
      <c r="E241" s="141"/>
      <c r="F241" s="332" t="s">
        <v>285</v>
      </c>
      <c r="G241" s="144">
        <f t="shared" ref="G241:G242" si="5">MIN(IFERROR(SUM(C241+E241),0),100%)</f>
        <v>0</v>
      </c>
      <c r="H241" s="388"/>
      <c r="M241" s="53"/>
      <c r="N241" s="45"/>
    </row>
    <row r="242" spans="1:19" s="29" customFormat="1" ht="15.6">
      <c r="A242" s="479" t="s">
        <v>282</v>
      </c>
      <c r="B242" s="346" t="s">
        <v>102</v>
      </c>
      <c r="C242" s="369">
        <f>IFERROR(G197,0)</f>
        <v>0</v>
      </c>
      <c r="D242" s="332" t="s">
        <v>284</v>
      </c>
      <c r="E242" s="141"/>
      <c r="F242" s="303" t="s">
        <v>285</v>
      </c>
      <c r="G242" s="144">
        <f t="shared" si="5"/>
        <v>0</v>
      </c>
      <c r="H242" s="283"/>
      <c r="I242" s="3"/>
      <c r="J242" s="3"/>
      <c r="K242" s="3"/>
      <c r="L242" s="3"/>
      <c r="M242" s="53"/>
      <c r="N242" s="45"/>
    </row>
    <row r="243" spans="1:19" s="29" customFormat="1" ht="15.6" thickBot="1">
      <c r="A243" s="491"/>
      <c r="B243" s="492"/>
      <c r="C243" s="493"/>
      <c r="D243" s="493"/>
      <c r="E243" s="493"/>
      <c r="F243" s="493"/>
      <c r="G243" s="638"/>
      <c r="H243" s="639"/>
      <c r="K243" s="3"/>
      <c r="L243" s="3"/>
      <c r="M243" s="3"/>
      <c r="N243" s="3"/>
      <c r="O243" s="3"/>
      <c r="P243" s="3"/>
      <c r="Q243" s="3"/>
      <c r="R243" s="53"/>
      <c r="S243" s="45"/>
    </row>
    <row r="244" spans="1:19" s="29" customFormat="1">
      <c r="A244" s="174"/>
      <c r="B244" s="3"/>
      <c r="C244" s="3"/>
      <c r="D244" s="3"/>
      <c r="E244" s="3"/>
      <c r="F244" s="3"/>
      <c r="G244" s="10"/>
      <c r="H244" s="3"/>
      <c r="K244" s="3"/>
      <c r="L244" s="3"/>
      <c r="M244" s="3"/>
      <c r="N244" s="3"/>
      <c r="O244" s="3"/>
      <c r="P244" s="3"/>
      <c r="Q244" s="3"/>
      <c r="R244" s="53"/>
      <c r="S244" s="45"/>
    </row>
    <row r="245" spans="1:19" s="29" customFormat="1">
      <c r="A245" s="174"/>
      <c r="B245" s="3"/>
      <c r="C245" s="3"/>
      <c r="D245" s="3"/>
      <c r="E245" s="3"/>
      <c r="F245" s="3"/>
      <c r="G245" s="10"/>
      <c r="H245" s="3"/>
      <c r="K245" s="3"/>
      <c r="L245" s="3"/>
      <c r="M245" s="3"/>
      <c r="N245" s="3"/>
      <c r="O245" s="3"/>
      <c r="P245" s="3"/>
      <c r="Q245" s="3"/>
      <c r="R245" s="53"/>
      <c r="S245" s="45"/>
    </row>
    <row r="246" spans="1:19" s="29" customFormat="1">
      <c r="A246" s="174"/>
      <c r="B246" s="3"/>
      <c r="C246" s="3"/>
      <c r="D246" s="3"/>
      <c r="E246" s="3"/>
      <c r="F246" s="3"/>
      <c r="G246" s="10"/>
      <c r="H246" s="3"/>
      <c r="K246" s="3"/>
      <c r="L246" s="3"/>
      <c r="M246" s="3"/>
      <c r="N246" s="3"/>
      <c r="O246" s="3"/>
      <c r="P246" s="3"/>
      <c r="Q246" s="3"/>
      <c r="R246" s="53"/>
      <c r="S246" s="45"/>
    </row>
    <row r="247" spans="1:19" s="29" customFormat="1">
      <c r="A247" s="174"/>
      <c r="B247" s="3"/>
      <c r="C247" s="3"/>
      <c r="D247" s="3"/>
      <c r="E247" s="3"/>
      <c r="F247" s="3"/>
      <c r="G247" s="10"/>
      <c r="H247" s="3"/>
      <c r="K247" s="3"/>
      <c r="L247" s="3"/>
      <c r="M247" s="3"/>
      <c r="N247" s="3"/>
      <c r="O247" s="3"/>
      <c r="P247" s="3"/>
      <c r="Q247" s="3"/>
      <c r="R247" s="45"/>
      <c r="S247" s="45"/>
    </row>
    <row r="248" spans="1:19" s="29" customFormat="1">
      <c r="A248" s="174"/>
      <c r="B248" s="3"/>
      <c r="C248" s="3"/>
      <c r="D248" s="3"/>
      <c r="E248" s="3"/>
      <c r="F248" s="3"/>
      <c r="G248" s="10"/>
      <c r="H248" s="3"/>
      <c r="K248" s="3"/>
      <c r="L248" s="3"/>
      <c r="M248" s="3"/>
      <c r="N248" s="3"/>
      <c r="O248" s="3"/>
      <c r="P248" s="3"/>
      <c r="Q248" s="3"/>
      <c r="R248" s="45"/>
      <c r="S248" s="45"/>
    </row>
    <row r="249" spans="1:19" s="29" customFormat="1">
      <c r="A249" s="174"/>
      <c r="B249" s="3"/>
      <c r="C249" s="3"/>
      <c r="D249" s="3"/>
      <c r="E249" s="3"/>
      <c r="F249" s="3"/>
      <c r="G249" s="10"/>
      <c r="H249" s="3"/>
      <c r="K249" s="3"/>
      <c r="L249" s="3"/>
      <c r="M249" s="3"/>
      <c r="N249" s="3"/>
      <c r="O249" s="3"/>
      <c r="P249" s="3"/>
      <c r="Q249" s="3"/>
      <c r="R249" s="45"/>
      <c r="S249" s="45"/>
    </row>
    <row r="250" spans="1:19" s="29" customFormat="1">
      <c r="A250" s="174"/>
      <c r="B250" s="3"/>
      <c r="C250" s="3"/>
      <c r="D250" s="3"/>
      <c r="E250" s="3"/>
      <c r="F250" s="3"/>
      <c r="G250" s="10"/>
      <c r="H250" s="3"/>
      <c r="K250" s="3"/>
      <c r="L250" s="3"/>
      <c r="M250" s="3"/>
      <c r="N250" s="3"/>
      <c r="O250" s="3"/>
      <c r="P250" s="3"/>
      <c r="Q250" s="3"/>
      <c r="R250" s="45"/>
      <c r="S250" s="45"/>
    </row>
  </sheetData>
  <sheetProtection algorithmName="SHA-512" hashValue="O2C5E0xvrCfwZVsKJGi9vczcxVH3LR/Qb4S8d/4aWIryE27jlLgc+D5pDFLUfC83EOeNxXYhZNKkD7IOV/EA7A==" saltValue="am55fSBSHIbtqNPHK/kxFw==" spinCount="100000" sheet="1" selectLockedCells="1"/>
  <mergeCells count="228">
    <mergeCell ref="B196:C196"/>
    <mergeCell ref="B209:C209"/>
    <mergeCell ref="B210:C210"/>
    <mergeCell ref="B195:C195"/>
    <mergeCell ref="A187:B187"/>
    <mergeCell ref="B190:C190"/>
    <mergeCell ref="B163:C163"/>
    <mergeCell ref="A199:B200"/>
    <mergeCell ref="C199:C200"/>
    <mergeCell ref="B233:D233"/>
    <mergeCell ref="D238:F239"/>
    <mergeCell ref="E199:F199"/>
    <mergeCell ref="G199:G200"/>
    <mergeCell ref="B228:D228"/>
    <mergeCell ref="B227:D227"/>
    <mergeCell ref="B230:D230"/>
    <mergeCell ref="B231:D231"/>
    <mergeCell ref="B192:C192"/>
    <mergeCell ref="B194:C194"/>
    <mergeCell ref="B229:D229"/>
    <mergeCell ref="D199:D200"/>
    <mergeCell ref="B216:C216"/>
    <mergeCell ref="A224:B224"/>
    <mergeCell ref="G165:G166"/>
    <mergeCell ref="D165:D166"/>
    <mergeCell ref="B217:C217"/>
    <mergeCell ref="B226:D226"/>
    <mergeCell ref="A167:A168"/>
    <mergeCell ref="D167:D168"/>
    <mergeCell ref="A165:A166"/>
    <mergeCell ref="H199:H200"/>
    <mergeCell ref="B203:C203"/>
    <mergeCell ref="B208:C208"/>
    <mergeCell ref="A213:B214"/>
    <mergeCell ref="C213:C214"/>
    <mergeCell ref="D213:D214"/>
    <mergeCell ref="E213:F213"/>
    <mergeCell ref="G213:G214"/>
    <mergeCell ref="H213:H214"/>
    <mergeCell ref="B204:C204"/>
    <mergeCell ref="B205:C205"/>
    <mergeCell ref="B206:C206"/>
    <mergeCell ref="G126:G127"/>
    <mergeCell ref="H126:H127"/>
    <mergeCell ref="B129:C129"/>
    <mergeCell ref="B123:C123"/>
    <mergeCell ref="G122:G123"/>
    <mergeCell ref="H122:H123"/>
    <mergeCell ref="I154:I158"/>
    <mergeCell ref="A158:A159"/>
    <mergeCell ref="B158:C159"/>
    <mergeCell ref="B134:C134"/>
    <mergeCell ref="B135:C135"/>
    <mergeCell ref="B130:C130"/>
    <mergeCell ref="B137:C137"/>
    <mergeCell ref="E122:E123"/>
    <mergeCell ref="F122:F123"/>
    <mergeCell ref="D126:D127"/>
    <mergeCell ref="B133:C133"/>
    <mergeCell ref="B136:C136"/>
    <mergeCell ref="E126:E127"/>
    <mergeCell ref="F126:F127"/>
    <mergeCell ref="H146:H147"/>
    <mergeCell ref="H152:H153"/>
    <mergeCell ref="H154:H157"/>
    <mergeCell ref="E153:F153"/>
    <mergeCell ref="E98:E99"/>
    <mergeCell ref="F98:F99"/>
    <mergeCell ref="G98:G99"/>
    <mergeCell ref="H98:H99"/>
    <mergeCell ref="B101:D101"/>
    <mergeCell ref="R101:R102"/>
    <mergeCell ref="B108:D108"/>
    <mergeCell ref="B103:D103"/>
    <mergeCell ref="B104:D104"/>
    <mergeCell ref="B99:D99"/>
    <mergeCell ref="G93:G94"/>
    <mergeCell ref="H93:H94"/>
    <mergeCell ref="B67:C67"/>
    <mergeCell ref="B65:C65"/>
    <mergeCell ref="B70:C70"/>
    <mergeCell ref="B71:C71"/>
    <mergeCell ref="B73:C73"/>
    <mergeCell ref="B80:C80"/>
    <mergeCell ref="G95:G96"/>
    <mergeCell ref="H95:H96"/>
    <mergeCell ref="E71:F71"/>
    <mergeCell ref="B75:C75"/>
    <mergeCell ref="B81:C81"/>
    <mergeCell ref="B77:C77"/>
    <mergeCell ref="B79:C79"/>
    <mergeCell ref="B96:D96"/>
    <mergeCell ref="B95:D95"/>
    <mergeCell ref="B94:D94"/>
    <mergeCell ref="E95:E96"/>
    <mergeCell ref="F95:F96"/>
    <mergeCell ref="B74:C74"/>
    <mergeCell ref="B93:D93"/>
    <mergeCell ref="E93:E94"/>
    <mergeCell ref="F93:F94"/>
    <mergeCell ref="B55:D55"/>
    <mergeCell ref="A58:B59"/>
    <mergeCell ref="D58:D59"/>
    <mergeCell ref="E58:F58"/>
    <mergeCell ref="G58:G59"/>
    <mergeCell ref="H58:H59"/>
    <mergeCell ref="E37:E42"/>
    <mergeCell ref="B54:D54"/>
    <mergeCell ref="B69:C69"/>
    <mergeCell ref="B64:C64"/>
    <mergeCell ref="B61:C61"/>
    <mergeCell ref="A35:A36"/>
    <mergeCell ref="B35:D36"/>
    <mergeCell ref="E35:E36"/>
    <mergeCell ref="H35:H36"/>
    <mergeCell ref="A29:A30"/>
    <mergeCell ref="G29:G30"/>
    <mergeCell ref="E29:E30"/>
    <mergeCell ref="F29:F30"/>
    <mergeCell ref="H37:H42"/>
    <mergeCell ref="B42:D42"/>
    <mergeCell ref="B19:C19"/>
    <mergeCell ref="B20:C20"/>
    <mergeCell ref="B21:C21"/>
    <mergeCell ref="B29:D29"/>
    <mergeCell ref="B53:D53"/>
    <mergeCell ref="B44:D44"/>
    <mergeCell ref="B45:D45"/>
    <mergeCell ref="H29:H30"/>
    <mergeCell ref="B30:D30"/>
    <mergeCell ref="B32:D32"/>
    <mergeCell ref="B34:D34"/>
    <mergeCell ref="B47:D47"/>
    <mergeCell ref="B51:D51"/>
    <mergeCell ref="A4:B4"/>
    <mergeCell ref="A7:B7"/>
    <mergeCell ref="D7:G7"/>
    <mergeCell ref="B46:D46"/>
    <mergeCell ref="B50:D50"/>
    <mergeCell ref="B62:C62"/>
    <mergeCell ref="B66:C66"/>
    <mergeCell ref="A11:B12"/>
    <mergeCell ref="B40:D40"/>
    <mergeCell ref="B41:D41"/>
    <mergeCell ref="B37:D37"/>
    <mergeCell ref="B38:D38"/>
    <mergeCell ref="B22:C22"/>
    <mergeCell ref="B39:D39"/>
    <mergeCell ref="D66:D69"/>
    <mergeCell ref="B68:C68"/>
    <mergeCell ref="B63:C63"/>
    <mergeCell ref="E11:E12"/>
    <mergeCell ref="F11:F12"/>
    <mergeCell ref="B14:C14"/>
    <mergeCell ref="B15:C15"/>
    <mergeCell ref="B16:C16"/>
    <mergeCell ref="D11:D12"/>
    <mergeCell ref="B17:C17"/>
    <mergeCell ref="B151:C151"/>
    <mergeCell ref="E155:F155"/>
    <mergeCell ref="E156:F156"/>
    <mergeCell ref="B162:C162"/>
    <mergeCell ref="B150:C150"/>
    <mergeCell ref="A152:A153"/>
    <mergeCell ref="B152:C153"/>
    <mergeCell ref="E152:F152"/>
    <mergeCell ref="G152:G153"/>
    <mergeCell ref="A154:A157"/>
    <mergeCell ref="B154:C157"/>
    <mergeCell ref="G154:G157"/>
    <mergeCell ref="E157:F157"/>
    <mergeCell ref="E154:F154"/>
    <mergeCell ref="B160:C160"/>
    <mergeCell ref="F143:G143"/>
    <mergeCell ref="A146:B147"/>
    <mergeCell ref="C146:C147"/>
    <mergeCell ref="D146:D147"/>
    <mergeCell ref="E146:F146"/>
    <mergeCell ref="G146:G147"/>
    <mergeCell ref="A140:B140"/>
    <mergeCell ref="F140:G140"/>
    <mergeCell ref="D142:D143"/>
    <mergeCell ref="E142:E143"/>
    <mergeCell ref="F142:G142"/>
    <mergeCell ref="B91:D91"/>
    <mergeCell ref="A93:A94"/>
    <mergeCell ref="B124:C124"/>
    <mergeCell ref="B127:C127"/>
    <mergeCell ref="A122:A123"/>
    <mergeCell ref="B122:C122"/>
    <mergeCell ref="D122:D123"/>
    <mergeCell ref="B113:D113"/>
    <mergeCell ref="B102:D102"/>
    <mergeCell ref="B109:D109"/>
    <mergeCell ref="B105:D105"/>
    <mergeCell ref="B110:D110"/>
    <mergeCell ref="B114:D114"/>
    <mergeCell ref="B112:D112"/>
    <mergeCell ref="B120:C120"/>
    <mergeCell ref="A95:A96"/>
    <mergeCell ref="A126:A127"/>
    <mergeCell ref="B126:C126"/>
    <mergeCell ref="A98:A99"/>
    <mergeCell ref="B98:D98"/>
    <mergeCell ref="H165:H166"/>
    <mergeCell ref="B167:C167"/>
    <mergeCell ref="G167:G168"/>
    <mergeCell ref="H167:H168"/>
    <mergeCell ref="B179:C179"/>
    <mergeCell ref="B180:C180"/>
    <mergeCell ref="B170:C170"/>
    <mergeCell ref="A175:B176"/>
    <mergeCell ref="C175:C176"/>
    <mergeCell ref="D175:D176"/>
    <mergeCell ref="E175:F175"/>
    <mergeCell ref="G175:G176"/>
    <mergeCell ref="H175:H176"/>
    <mergeCell ref="B178:C178"/>
    <mergeCell ref="E180:F180"/>
    <mergeCell ref="B171:C171"/>
    <mergeCell ref="B172:C172"/>
    <mergeCell ref="E165:E166"/>
    <mergeCell ref="F165:F166"/>
    <mergeCell ref="B168:C168"/>
    <mergeCell ref="E167:E168"/>
    <mergeCell ref="F167:F168"/>
    <mergeCell ref="B166:C166"/>
    <mergeCell ref="B165:C165"/>
  </mergeCells>
  <dataValidations count="3">
    <dataValidation type="list" allowBlank="1" showInputMessage="1" showErrorMessage="1" sqref="E233" xr:uid="{28A504B4-2223-4F04-BB72-48516ABCF368}">
      <formula1>$K$233:$K$237</formula1>
    </dataValidation>
    <dataValidation type="list" allowBlank="1" showInputMessage="1" showErrorMessage="1" sqref="F143:G143" xr:uid="{7A77E4DA-195E-4D9F-8B06-79B4015DFA87}">
      <formula1>$L$140:$Q$140</formula1>
    </dataValidation>
    <dataValidation type="list" allowBlank="1" showInputMessage="1" showErrorMessage="1" sqref="A7:B7" xr:uid="{5B4A3C7C-82D5-48FD-9FBA-660A4FE03A8F}">
      <formula1>$K$1:$K$6</formula1>
    </dataValidation>
  </dataValidations>
  <pageMargins left="0.25" right="0.25" top="0.75" bottom="0.75" header="0.3" footer="0.3"/>
  <pageSetup paperSize="9" scale="60" fitToHeight="0" orientation="portrait" r:id="rId1"/>
  <headerFooter>
    <oddFooter>&amp;F</oddFooter>
  </headerFooter>
  <rowBreaks count="4" manualBreakCount="4">
    <brk id="57" max="14" man="1"/>
    <brk id="116" max="14" man="1"/>
    <brk id="174" max="14" man="1"/>
    <brk id="221"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73"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8" width="0" style="3" hidden="1" customWidth="1"/>
    <col min="19" max="16384" width="9.109375" style="3"/>
  </cols>
  <sheetData>
    <row r="1" spans="1:16" ht="15.6">
      <c r="A1" s="377" t="s">
        <v>90</v>
      </c>
      <c r="B1" s="378"/>
      <c r="C1" s="378"/>
      <c r="D1" s="378"/>
      <c r="E1" s="378"/>
      <c r="F1" s="378"/>
      <c r="G1" s="378"/>
      <c r="H1" s="379"/>
      <c r="K1" s="3" t="s">
        <v>41</v>
      </c>
    </row>
    <row r="2" spans="1:16">
      <c r="A2" s="380"/>
      <c r="B2" s="281"/>
      <c r="C2" s="281"/>
      <c r="D2" s="281"/>
      <c r="E2" s="281"/>
      <c r="F2" s="281"/>
      <c r="G2" s="282"/>
      <c r="H2" s="283"/>
      <c r="J2" s="148"/>
      <c r="K2" s="148" t="s">
        <v>428</v>
      </c>
    </row>
    <row r="3" spans="1:16" ht="15.6">
      <c r="A3" s="381" t="s">
        <v>378</v>
      </c>
      <c r="B3" s="281"/>
      <c r="C3" s="281"/>
      <c r="D3" s="349" t="s">
        <v>143</v>
      </c>
      <c r="E3" s="349" t="s">
        <v>144</v>
      </c>
      <c r="F3" s="349" t="s">
        <v>145</v>
      </c>
      <c r="G3" s="306" t="s">
        <v>105</v>
      </c>
      <c r="H3" s="292" t="s">
        <v>63</v>
      </c>
      <c r="J3" s="148"/>
      <c r="K3" s="148" t="s">
        <v>45</v>
      </c>
    </row>
    <row r="4" spans="1:16" ht="15.6">
      <c r="A4" s="862">
        <f>Summary!A6</f>
        <v>0</v>
      </c>
      <c r="B4" s="863"/>
      <c r="C4" s="281"/>
      <c r="D4" s="78">
        <f>H84</f>
        <v>0</v>
      </c>
      <c r="E4" s="166">
        <f>H183</f>
        <v>0</v>
      </c>
      <c r="F4" s="133">
        <f>H220</f>
        <v>0</v>
      </c>
      <c r="G4" s="143">
        <f>H234</f>
        <v>0</v>
      </c>
      <c r="H4" s="382">
        <f>H236</f>
        <v>0</v>
      </c>
      <c r="J4" s="148"/>
      <c r="K4" s="148" t="s">
        <v>15</v>
      </c>
    </row>
    <row r="5" spans="1:16">
      <c r="A5" s="380"/>
      <c r="B5" s="281"/>
      <c r="C5" s="281"/>
      <c r="D5" s="281"/>
      <c r="E5" s="281"/>
      <c r="F5" s="281"/>
      <c r="G5" s="282"/>
      <c r="H5" s="283"/>
      <c r="J5" s="148"/>
      <c r="K5" s="148" t="s">
        <v>16</v>
      </c>
    </row>
    <row r="6" spans="1:16" s="4" customFormat="1" ht="15.6">
      <c r="A6" s="381" t="s">
        <v>91</v>
      </c>
      <c r="B6" s="313"/>
      <c r="C6" s="313"/>
      <c r="D6" s="314" t="s">
        <v>35</v>
      </c>
      <c r="E6" s="281"/>
      <c r="F6" s="281"/>
      <c r="G6" s="282"/>
      <c r="H6" s="283"/>
      <c r="J6" s="148"/>
      <c r="K6" s="148" t="s">
        <v>427</v>
      </c>
      <c r="L6" s="3"/>
      <c r="M6" s="3"/>
      <c r="N6" s="3"/>
    </row>
    <row r="7" spans="1:16" ht="15.75" customHeight="1">
      <c r="A7" s="842" t="s">
        <v>428</v>
      </c>
      <c r="B7" s="843"/>
      <c r="D7" s="835">
        <f>Summary!A100</f>
        <v>0</v>
      </c>
      <c r="E7" s="785"/>
      <c r="F7" s="785"/>
      <c r="G7" s="786"/>
      <c r="H7" s="383"/>
      <c r="J7" s="29"/>
      <c r="K7" s="29"/>
    </row>
    <row r="8" spans="1:16" ht="15.6" thickBot="1">
      <c r="A8" s="380"/>
      <c r="B8" s="315"/>
      <c r="C8" s="281"/>
      <c r="D8" s="281"/>
      <c r="E8" s="281"/>
      <c r="F8" s="281"/>
      <c r="G8" s="282"/>
      <c r="H8" s="283"/>
    </row>
    <row r="9" spans="1:16" ht="16.2" thickBot="1">
      <c r="A9" s="384" t="s">
        <v>126</v>
      </c>
      <c r="B9" s="145"/>
      <c r="C9" s="145"/>
      <c r="D9" s="145"/>
      <c r="E9" s="145"/>
      <c r="F9" s="146"/>
      <c r="G9" s="16"/>
      <c r="H9" s="385"/>
    </row>
    <row r="10" spans="1:16">
      <c r="A10" s="380"/>
      <c r="B10" s="316"/>
      <c r="C10" s="281"/>
      <c r="D10" s="281"/>
      <c r="E10" s="281"/>
      <c r="F10" s="281"/>
      <c r="G10" s="282"/>
      <c r="H10" s="283"/>
    </row>
    <row r="11" spans="1:16" ht="15.75" customHeight="1">
      <c r="A11" s="963" t="s">
        <v>0</v>
      </c>
      <c r="B11" s="964"/>
      <c r="C11" s="153"/>
      <c r="D11" s="985" t="s">
        <v>4</v>
      </c>
      <c r="E11" s="984" t="s">
        <v>81</v>
      </c>
      <c r="F11" s="984" t="s">
        <v>21</v>
      </c>
      <c r="G11" s="317"/>
      <c r="H11" s="386"/>
    </row>
    <row r="12" spans="1:16" ht="15.75" customHeight="1">
      <c r="A12" s="965"/>
      <c r="B12" s="966"/>
      <c r="C12" s="154"/>
      <c r="D12" s="986"/>
      <c r="E12" s="984"/>
      <c r="F12" s="984"/>
      <c r="G12" s="317"/>
      <c r="H12" s="386"/>
    </row>
    <row r="13" spans="1:16" s="29" customFormat="1" ht="15.6">
      <c r="A13" s="387" t="s">
        <v>128</v>
      </c>
      <c r="B13" s="180"/>
      <c r="C13" s="180"/>
      <c r="D13" s="180"/>
      <c r="E13" s="183"/>
      <c r="F13" s="183"/>
      <c r="G13" s="318"/>
      <c r="H13" s="388"/>
      <c r="O13" s="45"/>
      <c r="P13" s="45"/>
    </row>
    <row r="14" spans="1:16">
      <c r="A14" s="389">
        <v>1</v>
      </c>
      <c r="B14" s="987" t="s">
        <v>287</v>
      </c>
      <c r="C14" s="851"/>
      <c r="D14" s="149" t="s">
        <v>2</v>
      </c>
      <c r="E14" s="54" t="s">
        <v>50</v>
      </c>
      <c r="F14" s="30"/>
      <c r="G14" s="278"/>
      <c r="H14" s="304"/>
      <c r="I14" s="148" t="s">
        <v>143</v>
      </c>
      <c r="K14" s="152" t="str">
        <f>IF(F14&lt;65%,"Min. 65% coverage"," ")</f>
        <v>Min. 65% coverage</v>
      </c>
    </row>
    <row r="15" spans="1:16" ht="30.75" customHeight="1">
      <c r="A15" s="389">
        <v>2</v>
      </c>
      <c r="B15" s="987" t="s">
        <v>376</v>
      </c>
      <c r="C15" s="851"/>
      <c r="D15" s="150" t="s">
        <v>51</v>
      </c>
      <c r="E15" s="31" t="s">
        <v>50</v>
      </c>
      <c r="F15" s="547"/>
      <c r="G15" s="278"/>
      <c r="H15" s="283"/>
      <c r="I15" s="148" t="s">
        <v>144</v>
      </c>
      <c r="K15" s="152" t="str">
        <f>IF(F15&lt;65%,"Min. 80% coverage"," ")</f>
        <v>Min. 80% coverage</v>
      </c>
    </row>
    <row r="16" spans="1:16" ht="15" customHeight="1">
      <c r="A16" s="389">
        <v>3</v>
      </c>
      <c r="B16" s="987" t="s">
        <v>375</v>
      </c>
      <c r="C16" s="851"/>
      <c r="D16" s="150" t="s">
        <v>51</v>
      </c>
      <c r="E16" s="31" t="s">
        <v>50</v>
      </c>
      <c r="F16" s="547"/>
      <c r="G16" s="278"/>
      <c r="H16" s="386"/>
      <c r="I16" s="3" t="s">
        <v>143</v>
      </c>
      <c r="K16" s="152" t="str">
        <f>IF(F16&lt;65%,"Min. 65% coverage"," ")</f>
        <v>Min. 65% coverage</v>
      </c>
    </row>
    <row r="17" spans="1:19">
      <c r="A17" s="389">
        <v>4</v>
      </c>
      <c r="B17" s="886" t="s">
        <v>191</v>
      </c>
      <c r="C17" s="884"/>
      <c r="D17" s="147" t="s">
        <v>3</v>
      </c>
      <c r="E17" s="31" t="s">
        <v>50</v>
      </c>
      <c r="F17" s="547"/>
      <c r="G17" s="278"/>
      <c r="H17" s="386"/>
      <c r="I17" s="3" t="s">
        <v>145</v>
      </c>
      <c r="K17" s="152" t="str">
        <f>IF(F17&lt;65%,"Min. 65% coverage"," ")</f>
        <v>Min. 65% coverage</v>
      </c>
    </row>
    <row r="18" spans="1:19" s="29" customFormat="1" ht="15.6">
      <c r="A18" s="390" t="s">
        <v>127</v>
      </c>
      <c r="B18" s="180"/>
      <c r="C18" s="180"/>
      <c r="D18" s="180"/>
      <c r="E18" s="181"/>
      <c r="F18" s="182"/>
      <c r="G18" s="319"/>
      <c r="H18" s="388"/>
      <c r="K18" s="10"/>
      <c r="O18" s="45"/>
      <c r="P18" s="45"/>
    </row>
    <row r="19" spans="1:19" ht="32.25" customHeight="1">
      <c r="A19" s="391">
        <v>5</v>
      </c>
      <c r="B19" s="873" t="s">
        <v>288</v>
      </c>
      <c r="C19" s="989"/>
      <c r="D19" s="151" t="s">
        <v>3</v>
      </c>
      <c r="E19" s="536"/>
      <c r="F19" s="31">
        <f>IFERROR(E19/$F$115,0)</f>
        <v>0</v>
      </c>
      <c r="G19" s="278"/>
      <c r="H19" s="386"/>
      <c r="I19" s="3" t="s">
        <v>144</v>
      </c>
      <c r="K19" s="152" t="str">
        <f>IF($A$7=$K$2,IF(E19=0,"Please input wall length"," ")," ")</f>
        <v>Please input wall length</v>
      </c>
    </row>
    <row r="20" spans="1:19">
      <c r="A20" s="391">
        <v>6</v>
      </c>
      <c r="B20" s="987" t="s">
        <v>289</v>
      </c>
      <c r="C20" s="851"/>
      <c r="D20" s="190" t="s">
        <v>51</v>
      </c>
      <c r="E20" s="31" t="s">
        <v>50</v>
      </c>
      <c r="F20" s="30"/>
      <c r="G20" s="278"/>
      <c r="H20" s="386"/>
      <c r="I20" s="3" t="s">
        <v>144</v>
      </c>
      <c r="K20" s="152" t="str">
        <f>IF($A$7=$K$2,IF(F20&lt;65%,"Min. 65% coverage"," ")," ")</f>
        <v>Min. 65% coverage</v>
      </c>
    </row>
    <row r="21" spans="1:19">
      <c r="A21" s="391">
        <v>7</v>
      </c>
      <c r="B21" s="886" t="s">
        <v>306</v>
      </c>
      <c r="C21" s="884"/>
      <c r="D21" s="150" t="s">
        <v>51</v>
      </c>
      <c r="E21" s="31" t="s">
        <v>50</v>
      </c>
      <c r="F21" s="547"/>
      <c r="G21" s="278"/>
      <c r="H21" s="386"/>
      <c r="I21" s="3" t="s">
        <v>143</v>
      </c>
      <c r="K21" s="152" t="str">
        <f>IF($A$7=$K$2,IF(F21&lt;65%,"Min. 65% coverage"," ")," ")</f>
        <v>Min. 65% coverage</v>
      </c>
    </row>
    <row r="22" spans="1:19">
      <c r="A22" s="391" t="s">
        <v>308</v>
      </c>
      <c r="B22" s="886" t="s">
        <v>307</v>
      </c>
      <c r="C22" s="884"/>
      <c r="D22" s="150" t="s">
        <v>51</v>
      </c>
      <c r="E22" s="31" t="s">
        <v>50</v>
      </c>
      <c r="F22" s="547"/>
      <c r="G22" s="278"/>
      <c r="H22" s="386"/>
      <c r="K22" s="152"/>
    </row>
    <row r="23" spans="1:19">
      <c r="A23" s="380"/>
      <c r="B23" s="281"/>
      <c r="C23" s="281"/>
      <c r="D23" s="281"/>
      <c r="E23" s="281"/>
      <c r="F23" s="281"/>
      <c r="G23" s="282"/>
      <c r="H23" s="283"/>
      <c r="K23" s="148"/>
    </row>
    <row r="24" spans="1:19" ht="15.6">
      <c r="A24" s="392" t="s">
        <v>44</v>
      </c>
      <c r="B24" s="169"/>
      <c r="C24" s="169"/>
      <c r="D24" s="169"/>
      <c r="E24" s="169"/>
      <c r="F24" s="170" t="s">
        <v>43</v>
      </c>
      <c r="G24" s="171">
        <f>VLOOKUP($A$7,'Manpower allocation'!A4:D11,2,FALSE)*100</f>
        <v>45</v>
      </c>
      <c r="H24" s="393" t="s">
        <v>42</v>
      </c>
      <c r="J24" s="497">
        <f>VLOOKUP($A$7,'Manpower allocation'!A4:D11,2,FALSE)*100</f>
        <v>45</v>
      </c>
      <c r="K24" s="148"/>
    </row>
    <row r="25" spans="1:19" ht="15.6">
      <c r="A25" s="380"/>
      <c r="B25" s="320"/>
      <c r="C25" s="321"/>
      <c r="D25" s="281"/>
      <c r="E25" s="281"/>
      <c r="F25" s="281"/>
      <c r="G25" s="282"/>
      <c r="H25" s="283"/>
      <c r="K25" s="148"/>
    </row>
    <row r="26" spans="1:19" s="29" customFormat="1" ht="46.8">
      <c r="A26" s="394" t="s">
        <v>0</v>
      </c>
      <c r="B26" s="41"/>
      <c r="C26" s="41"/>
      <c r="D26" s="42"/>
      <c r="E26" s="43" t="s">
        <v>17</v>
      </c>
      <c r="F26" s="43" t="s">
        <v>114</v>
      </c>
      <c r="G26" s="43" t="s">
        <v>18</v>
      </c>
      <c r="H26" s="395" t="s">
        <v>53</v>
      </c>
      <c r="K26" s="44"/>
      <c r="R26" s="45"/>
      <c r="S26" s="45"/>
    </row>
    <row r="27" spans="1:19" s="29" customFormat="1" ht="15.6">
      <c r="A27" s="396" t="s">
        <v>198</v>
      </c>
      <c r="B27" s="46" t="s">
        <v>214</v>
      </c>
      <c r="C27" s="47"/>
      <c r="D27" s="47"/>
      <c r="E27" s="48"/>
      <c r="F27" s="48"/>
      <c r="G27" s="48"/>
      <c r="H27" s="397"/>
      <c r="R27" s="45"/>
      <c r="S27" s="45"/>
    </row>
    <row r="28" spans="1:19" s="29" customFormat="1" ht="15.6">
      <c r="A28" s="398">
        <v>1</v>
      </c>
      <c r="B28" s="40" t="s">
        <v>338</v>
      </c>
      <c r="C28" s="41"/>
      <c r="D28" s="49"/>
      <c r="E28" s="41"/>
      <c r="F28" s="50"/>
      <c r="G28" s="50"/>
      <c r="H28" s="399"/>
      <c r="R28" s="45"/>
      <c r="S28" s="45"/>
    </row>
    <row r="29" spans="1:19" s="29" customFormat="1">
      <c r="A29" s="980">
        <v>1.1000000000000001</v>
      </c>
      <c r="B29" s="852" t="s">
        <v>290</v>
      </c>
      <c r="C29" s="988"/>
      <c r="D29" s="988"/>
      <c r="E29" s="904">
        <f>VLOOKUP(A29,'Point Allocation'!$A$5:$J$15,MATCH(A7,'Point Allocation'!$A$5:$J$5,0),0)</f>
        <v>45</v>
      </c>
      <c r="F29" s="1014"/>
      <c r="G29" s="1015">
        <f>IFERROR(F29/$F$56,0)</f>
        <v>0</v>
      </c>
      <c r="H29" s="909">
        <f>E29*G29</f>
        <v>0</v>
      </c>
      <c r="R29" s="45"/>
      <c r="S29" s="45"/>
    </row>
    <row r="30" spans="1:19" s="29" customFormat="1" ht="15.6">
      <c r="A30" s="981"/>
      <c r="B30" s="998" t="s">
        <v>401</v>
      </c>
      <c r="C30" s="998"/>
      <c r="D30" s="998"/>
      <c r="E30" s="904"/>
      <c r="F30" s="1014"/>
      <c r="G30" s="1015">
        <f t="shared" ref="G30" si="0">IFERROR(F30/$F$56,0)</f>
        <v>0</v>
      </c>
      <c r="H30" s="909"/>
      <c r="R30" s="45"/>
      <c r="S30" s="45"/>
    </row>
    <row r="31" spans="1:19" s="29" customFormat="1" ht="15.6">
      <c r="A31" s="398">
        <v>2</v>
      </c>
      <c r="B31" s="40" t="s">
        <v>339</v>
      </c>
      <c r="C31" s="51"/>
      <c r="D31" s="49"/>
      <c r="E31" s="52"/>
      <c r="F31" s="8"/>
      <c r="G31" s="22"/>
      <c r="H31" s="400"/>
      <c r="R31" s="53"/>
      <c r="S31" s="45"/>
    </row>
    <row r="32" spans="1:19" s="29" customFormat="1">
      <c r="A32" s="401">
        <v>2.1</v>
      </c>
      <c r="B32" s="885" t="s">
        <v>203</v>
      </c>
      <c r="C32" s="886"/>
      <c r="D32" s="884"/>
      <c r="E32" s="20">
        <f>VLOOKUP(A32,'Point Allocation'!$A$5:$J$15,MATCH(A7,'Point Allocation'!$A$5:$J$5,0),0)</f>
        <v>42</v>
      </c>
      <c r="F32" s="536"/>
      <c r="G32" s="31">
        <f>IFERROR(F32/$F$56,0)</f>
        <v>0</v>
      </c>
      <c r="H32" s="405">
        <f>E32*G32</f>
        <v>0</v>
      </c>
      <c r="R32" s="53"/>
      <c r="S32" s="45"/>
    </row>
    <row r="33" spans="1:19" s="29" customFormat="1" ht="15.6">
      <c r="A33" s="398">
        <v>3</v>
      </c>
      <c r="B33" s="40" t="s">
        <v>340</v>
      </c>
      <c r="C33" s="51"/>
      <c r="D33" s="49"/>
      <c r="E33" s="52"/>
      <c r="F33" s="8"/>
      <c r="G33" s="22"/>
      <c r="H33" s="400"/>
      <c r="R33" s="53"/>
      <c r="S33" s="45"/>
    </row>
    <row r="34" spans="1:19" s="29" customFormat="1" ht="15" customHeight="1">
      <c r="A34" s="401">
        <v>3.1</v>
      </c>
      <c r="B34" s="885" t="s">
        <v>587</v>
      </c>
      <c r="C34" s="886"/>
      <c r="D34" s="884"/>
      <c r="E34" s="20">
        <f>VLOOKUP(A34,'Point Allocation'!$A$5:$J$15,MATCH(A7,'Point Allocation'!$A$5:$J$5,0),0)</f>
        <v>39</v>
      </c>
      <c r="F34" s="37"/>
      <c r="G34" s="31">
        <f>IFERROR(F34/$F$56,0)</f>
        <v>0</v>
      </c>
      <c r="H34" s="419">
        <f>E34*G34</f>
        <v>0</v>
      </c>
      <c r="R34" s="53"/>
      <c r="S34" s="45"/>
    </row>
    <row r="35" spans="1:19" s="29" customFormat="1" ht="31.5" customHeight="1">
      <c r="A35" s="967">
        <v>3.2</v>
      </c>
      <c r="B35" s="969" t="s">
        <v>330</v>
      </c>
      <c r="C35" s="970"/>
      <c r="D35" s="971"/>
      <c r="E35" s="910">
        <f>VLOOKUP(A35,'Point Allocation'!$A$5:$J$15,MATCH(A7,'Point Allocation'!$A$5:$J$5,0),0)</f>
        <v>39</v>
      </c>
      <c r="F35" s="37"/>
      <c r="G35" s="31">
        <f>IFERROR(F35/$F$56,0)</f>
        <v>0</v>
      </c>
      <c r="H35" s="945">
        <f>IF(SUM(J37:J42)&gt;=4,E35*G35,0)</f>
        <v>0</v>
      </c>
      <c r="R35" s="53"/>
      <c r="S35" s="45"/>
    </row>
    <row r="36" spans="1:19" s="29" customFormat="1" ht="31.5" customHeight="1">
      <c r="A36" s="968"/>
      <c r="B36" s="972"/>
      <c r="C36" s="973"/>
      <c r="D36" s="974"/>
      <c r="E36" s="911"/>
      <c r="F36" s="9" t="s">
        <v>130</v>
      </c>
      <c r="G36" s="54" t="s">
        <v>117</v>
      </c>
      <c r="H36" s="947"/>
      <c r="R36" s="53"/>
      <c r="S36" s="45"/>
    </row>
    <row r="37" spans="1:19" s="29" customFormat="1" ht="89.25" customHeight="1">
      <c r="A37" s="402" t="s">
        <v>192</v>
      </c>
      <c r="B37" s="1016" t="s">
        <v>359</v>
      </c>
      <c r="C37" s="1017"/>
      <c r="D37" s="1018"/>
      <c r="E37" s="958"/>
      <c r="F37" s="187" t="s">
        <v>131</v>
      </c>
      <c r="G37" s="546"/>
      <c r="H37" s="946"/>
      <c r="J37" s="55">
        <f t="shared" ref="J37:J42" si="1">IF(G37&gt;=65%,1,0)</f>
        <v>0</v>
      </c>
      <c r="R37" s="53"/>
      <c r="S37" s="45"/>
    </row>
    <row r="38" spans="1:19" s="29" customFormat="1" ht="33.75" customHeight="1">
      <c r="A38" s="402" t="s">
        <v>193</v>
      </c>
      <c r="B38" s="871" t="s">
        <v>215</v>
      </c>
      <c r="C38" s="872"/>
      <c r="D38" s="873"/>
      <c r="E38" s="958"/>
      <c r="F38" s="39" t="s">
        <v>132</v>
      </c>
      <c r="G38" s="547"/>
      <c r="H38" s="946"/>
      <c r="J38" s="55">
        <f t="shared" si="1"/>
        <v>0</v>
      </c>
      <c r="R38" s="53"/>
      <c r="S38" s="45"/>
    </row>
    <row r="39" spans="1:19" s="29" customFormat="1" ht="48.75" customHeight="1">
      <c r="A39" s="402" t="s">
        <v>201</v>
      </c>
      <c r="B39" s="871" t="s">
        <v>216</v>
      </c>
      <c r="C39" s="872"/>
      <c r="D39" s="873"/>
      <c r="E39" s="958"/>
      <c r="F39" s="39" t="s">
        <v>133</v>
      </c>
      <c r="G39" s="547"/>
      <c r="H39" s="946"/>
      <c r="J39" s="55">
        <f t="shared" si="1"/>
        <v>0</v>
      </c>
      <c r="R39" s="53"/>
      <c r="S39" s="45"/>
    </row>
    <row r="40" spans="1:19" s="29" customFormat="1" ht="45">
      <c r="A40" s="402" t="s">
        <v>194</v>
      </c>
      <c r="B40" s="871" t="s">
        <v>217</v>
      </c>
      <c r="C40" s="872"/>
      <c r="D40" s="873"/>
      <c r="E40" s="958"/>
      <c r="F40" s="39" t="s">
        <v>134</v>
      </c>
      <c r="G40" s="547"/>
      <c r="H40" s="946"/>
      <c r="J40" s="55">
        <f t="shared" si="1"/>
        <v>0</v>
      </c>
      <c r="R40" s="53"/>
      <c r="S40" s="45"/>
    </row>
    <row r="41" spans="1:19" s="29" customFormat="1" ht="48.75" customHeight="1">
      <c r="A41" s="402" t="s">
        <v>202</v>
      </c>
      <c r="B41" s="871" t="s">
        <v>218</v>
      </c>
      <c r="C41" s="872"/>
      <c r="D41" s="873"/>
      <c r="E41" s="958"/>
      <c r="F41" s="39" t="s">
        <v>135</v>
      </c>
      <c r="G41" s="547"/>
      <c r="H41" s="946"/>
      <c r="J41" s="55">
        <f t="shared" si="1"/>
        <v>0</v>
      </c>
      <c r="R41" s="53"/>
      <c r="S41" s="45"/>
    </row>
    <row r="42" spans="1:19" s="29" customFormat="1" ht="31.5" customHeight="1">
      <c r="A42" s="402" t="s">
        <v>195</v>
      </c>
      <c r="B42" s="975" t="s">
        <v>345</v>
      </c>
      <c r="C42" s="976"/>
      <c r="D42" s="977"/>
      <c r="E42" s="959"/>
      <c r="F42" s="39" t="s">
        <v>136</v>
      </c>
      <c r="G42" s="547"/>
      <c r="H42" s="947"/>
      <c r="J42" s="55">
        <f t="shared" si="1"/>
        <v>0</v>
      </c>
      <c r="R42" s="53"/>
      <c r="S42" s="45"/>
    </row>
    <row r="43" spans="1:19" s="29" customFormat="1" ht="15.6">
      <c r="A43" s="398" t="s">
        <v>196</v>
      </c>
      <c r="B43" s="40" t="s">
        <v>341</v>
      </c>
      <c r="C43" s="56"/>
      <c r="D43" s="49"/>
      <c r="E43" s="52"/>
      <c r="F43" s="36"/>
      <c r="G43" s="23"/>
      <c r="H43" s="403"/>
      <c r="R43" s="53"/>
      <c r="S43" s="45"/>
    </row>
    <row r="44" spans="1:19" s="29" customFormat="1" ht="31.5" customHeight="1">
      <c r="A44" s="404">
        <v>4.0999999999999996</v>
      </c>
      <c r="B44" s="885" t="s">
        <v>331</v>
      </c>
      <c r="C44" s="886"/>
      <c r="D44" s="884"/>
      <c r="E44" s="20">
        <f>VLOOKUP(A44,'Point Allocation'!$A$5:$J$15,MATCH(A7,'Point Allocation'!$A$5:$J$5,0),0)</f>
        <v>35</v>
      </c>
      <c r="F44" s="536"/>
      <c r="G44" s="31">
        <f>IFERROR(F44/$F$56,0)</f>
        <v>0</v>
      </c>
      <c r="H44" s="405">
        <f>E44*G44</f>
        <v>0</v>
      </c>
      <c r="R44" s="53"/>
      <c r="S44" s="45"/>
    </row>
    <row r="45" spans="1:19" s="29" customFormat="1">
      <c r="A45" s="406">
        <v>4.2</v>
      </c>
      <c r="B45" s="928" t="s">
        <v>348</v>
      </c>
      <c r="C45" s="990"/>
      <c r="D45" s="929"/>
      <c r="E45" s="20">
        <f>VLOOKUP(A45,'Point Allocation'!$A$5:$J$15,MATCH(A7,'Point Allocation'!$A$5:$J$5,0),0)</f>
        <v>35</v>
      </c>
      <c r="F45" s="536"/>
      <c r="G45" s="31">
        <f>IFERROR(F45/$F$56,0)</f>
        <v>0</v>
      </c>
      <c r="H45" s="405">
        <f>E45*G45</f>
        <v>0</v>
      </c>
      <c r="R45" s="53"/>
      <c r="S45" s="45"/>
    </row>
    <row r="46" spans="1:19" s="29" customFormat="1">
      <c r="A46" s="406">
        <v>4.3</v>
      </c>
      <c r="B46" s="960" t="s">
        <v>346</v>
      </c>
      <c r="C46" s="961"/>
      <c r="D46" s="962"/>
      <c r="E46" s="20">
        <f>VLOOKUP(A46,'Point Allocation'!$A$5:$J$15,MATCH(A7,'Point Allocation'!$A$5:$J$5,0),0)</f>
        <v>28</v>
      </c>
      <c r="F46" s="536"/>
      <c r="G46" s="31">
        <f>IFERROR(F46/$F$56,0)</f>
        <v>0</v>
      </c>
      <c r="H46" s="405">
        <f>E46*G46</f>
        <v>0</v>
      </c>
      <c r="R46" s="53"/>
      <c r="S46" s="45"/>
    </row>
    <row r="47" spans="1:19" s="29" customFormat="1">
      <c r="A47" s="404">
        <v>4.4000000000000004</v>
      </c>
      <c r="B47" s="885" t="s">
        <v>347</v>
      </c>
      <c r="C47" s="886"/>
      <c r="D47" s="884"/>
      <c r="E47" s="20">
        <f>VLOOKUP(A47,'Point Allocation'!$A$5:$J$15,MATCH(A7,'Point Allocation'!$A$5:$J$5,0),0)</f>
        <v>28</v>
      </c>
      <c r="F47" s="536"/>
      <c r="G47" s="31">
        <f>IFERROR(F47/$F$56,0)</f>
        <v>0</v>
      </c>
      <c r="H47" s="405">
        <f>E47*G47</f>
        <v>0</v>
      </c>
      <c r="R47" s="53"/>
      <c r="S47" s="45"/>
    </row>
    <row r="48" spans="1:19" s="59" customFormat="1" ht="15.6">
      <c r="A48" s="396" t="s">
        <v>197</v>
      </c>
      <c r="B48" s="46" t="s">
        <v>211</v>
      </c>
      <c r="C48" s="57"/>
      <c r="D48" s="58"/>
      <c r="E48" s="7"/>
      <c r="F48" s="7"/>
      <c r="G48" s="24"/>
      <c r="H48" s="407"/>
      <c r="J48" s="29"/>
      <c r="K48" s="29"/>
      <c r="L48" s="29"/>
      <c r="M48" s="29"/>
      <c r="N48" s="29"/>
      <c r="R48" s="60"/>
    </row>
    <row r="49" spans="1:19" s="59" customFormat="1" ht="15.6">
      <c r="A49" s="408">
        <v>5</v>
      </c>
      <c r="B49" s="40" t="s">
        <v>212</v>
      </c>
      <c r="C49" s="49"/>
      <c r="D49" s="49"/>
      <c r="E49" s="8"/>
      <c r="F49" s="8"/>
      <c r="G49" s="22"/>
      <c r="H49" s="403"/>
      <c r="J49" s="29"/>
      <c r="K49" s="29"/>
      <c r="L49" s="29"/>
      <c r="M49" s="29"/>
      <c r="N49" s="29"/>
      <c r="R49" s="60"/>
    </row>
    <row r="50" spans="1:19" s="29" customFormat="1">
      <c r="A50" s="409">
        <v>5.0999999999999996</v>
      </c>
      <c r="B50" s="844" t="s">
        <v>204</v>
      </c>
      <c r="C50" s="846"/>
      <c r="D50" s="845"/>
      <c r="E50" s="20">
        <f>VLOOKUP(A50,'Point Allocation'!$A$5:$J$15,MATCH(A7,'Point Allocation'!$A$5:$J$5,0),0)</f>
        <v>22</v>
      </c>
      <c r="F50" s="536"/>
      <c r="G50" s="31">
        <f>IFERROR(F50/$F$56,0)</f>
        <v>0</v>
      </c>
      <c r="H50" s="405">
        <f>E50*G50</f>
        <v>0</v>
      </c>
      <c r="R50" s="53"/>
      <c r="S50" s="45"/>
    </row>
    <row r="51" spans="1:19" s="29" customFormat="1">
      <c r="A51" s="409">
        <v>5.2</v>
      </c>
      <c r="B51" s="844" t="s">
        <v>151</v>
      </c>
      <c r="C51" s="846"/>
      <c r="D51" s="845"/>
      <c r="E51" s="20">
        <f>VLOOKUP(A51,'Point Allocation'!$A$5:$J$15,MATCH(A7,'Point Allocation'!$A$5:$J$5,0),0)</f>
        <v>10</v>
      </c>
      <c r="F51" s="536"/>
      <c r="G51" s="31">
        <f>IFERROR(F51/$F$56,0)</f>
        <v>0</v>
      </c>
      <c r="H51" s="405">
        <f>E51*G51</f>
        <v>0</v>
      </c>
      <c r="R51" s="53"/>
      <c r="S51" s="45"/>
    </row>
    <row r="52" spans="1:19" s="29" customFormat="1" ht="15.6">
      <c r="A52" s="410">
        <v>6</v>
      </c>
      <c r="B52" s="61" t="s">
        <v>213</v>
      </c>
      <c r="C52" s="49"/>
      <c r="D52" s="49"/>
      <c r="E52" s="8"/>
      <c r="F52" s="8"/>
      <c r="G52" s="22"/>
      <c r="H52" s="403"/>
      <c r="R52" s="53"/>
      <c r="S52" s="45"/>
    </row>
    <row r="53" spans="1:19" s="29" customFormat="1">
      <c r="A53" s="411">
        <v>6.1</v>
      </c>
      <c r="B53" s="826"/>
      <c r="C53" s="821"/>
      <c r="D53" s="847"/>
      <c r="E53" s="536"/>
      <c r="F53" s="536"/>
      <c r="G53" s="31">
        <f>IFERROR(F53/$F$56,0)</f>
        <v>0</v>
      </c>
      <c r="H53" s="405">
        <f>E53*G53</f>
        <v>0</v>
      </c>
      <c r="R53" s="53"/>
      <c r="S53" s="45"/>
    </row>
    <row r="54" spans="1:19" s="29" customFormat="1">
      <c r="A54" s="411">
        <v>6.2</v>
      </c>
      <c r="B54" s="826"/>
      <c r="C54" s="821"/>
      <c r="D54" s="847"/>
      <c r="E54" s="536"/>
      <c r="F54" s="536"/>
      <c r="G54" s="31">
        <f>IFERROR(F54/$F$56,0)</f>
        <v>0</v>
      </c>
      <c r="H54" s="405">
        <f>E54*G54</f>
        <v>0</v>
      </c>
      <c r="R54" s="53"/>
      <c r="S54" s="45"/>
    </row>
    <row r="55" spans="1:19" s="29" customFormat="1">
      <c r="A55" s="411">
        <v>6.3</v>
      </c>
      <c r="B55" s="826"/>
      <c r="C55" s="821"/>
      <c r="D55" s="847"/>
      <c r="E55" s="536"/>
      <c r="F55" s="536"/>
      <c r="G55" s="31">
        <f>IFERROR(F55/$F$56,0)</f>
        <v>0</v>
      </c>
      <c r="H55" s="405">
        <f>E55*G55</f>
        <v>0</v>
      </c>
      <c r="R55" s="53"/>
      <c r="S55" s="45"/>
    </row>
    <row r="56" spans="1:19" s="29" customFormat="1" ht="15.6">
      <c r="A56" s="412"/>
      <c r="B56" s="322"/>
      <c r="C56" s="323"/>
      <c r="D56" s="323"/>
      <c r="E56" s="324" t="s">
        <v>61</v>
      </c>
      <c r="F56" s="26">
        <f>SUM(F29,F32,F34,F35,F44,F45,F46,F47,F50,F51,F53,F54,F55)</f>
        <v>0</v>
      </c>
      <c r="G56" s="25">
        <f>SUM(G29,G32:G32,G34:G35,G44:G47,G50:G51,G53:G55)</f>
        <v>0</v>
      </c>
      <c r="H56" s="413">
        <f>IFERROR(SUM(H29:H55),0)</f>
        <v>0</v>
      </c>
      <c r="N56" s="62"/>
      <c r="R56" s="53"/>
      <c r="S56" s="45"/>
    </row>
    <row r="57" spans="1:19" s="29" customFormat="1" ht="15.6" thickBot="1">
      <c r="A57" s="491"/>
      <c r="B57" s="492"/>
      <c r="C57" s="493"/>
      <c r="D57" s="493"/>
      <c r="E57" s="493"/>
      <c r="F57" s="493"/>
      <c r="G57" s="480"/>
      <c r="H57" s="639"/>
      <c r="R57" s="53"/>
      <c r="S57" s="45"/>
    </row>
    <row r="58" spans="1:19" s="29" customFormat="1" ht="15.6">
      <c r="A58" s="954" t="s">
        <v>0</v>
      </c>
      <c r="B58" s="955"/>
      <c r="C58" s="646"/>
      <c r="D58" s="978" t="s">
        <v>4</v>
      </c>
      <c r="E58" s="952" t="s">
        <v>1</v>
      </c>
      <c r="F58" s="953"/>
      <c r="G58" s="948" t="s">
        <v>21</v>
      </c>
      <c r="H58" s="950" t="s">
        <v>63</v>
      </c>
      <c r="R58" s="53"/>
      <c r="S58" s="45"/>
    </row>
    <row r="59" spans="1:19" s="29" customFormat="1" ht="31.2">
      <c r="A59" s="956"/>
      <c r="B59" s="957"/>
      <c r="C59" s="63"/>
      <c r="D59" s="979"/>
      <c r="E59" s="43" t="s">
        <v>118</v>
      </c>
      <c r="F59" s="43" t="s">
        <v>119</v>
      </c>
      <c r="G59" s="949"/>
      <c r="H59" s="951"/>
      <c r="J59" s="64"/>
      <c r="R59" s="53"/>
      <c r="S59" s="45"/>
    </row>
    <row r="60" spans="1:19" s="29" customFormat="1" ht="15.6">
      <c r="A60" s="415" t="s">
        <v>219</v>
      </c>
      <c r="B60" s="46" t="s">
        <v>148</v>
      </c>
      <c r="C60" s="58"/>
      <c r="D60" s="65"/>
      <c r="E60" s="48"/>
      <c r="F60" s="48"/>
      <c r="G60" s="48"/>
      <c r="H60" s="416"/>
      <c r="J60" s="62"/>
      <c r="K60" s="62"/>
      <c r="L60" s="62"/>
      <c r="M60" s="62"/>
      <c r="R60" s="53"/>
      <c r="S60" s="45"/>
    </row>
    <row r="61" spans="1:19" s="29" customFormat="1" ht="15" customHeight="1">
      <c r="A61" s="417" t="s">
        <v>349</v>
      </c>
      <c r="B61" s="850" t="s">
        <v>595</v>
      </c>
      <c r="C61" s="851"/>
      <c r="D61" s="5" t="s">
        <v>51</v>
      </c>
      <c r="E61" s="9">
        <v>3</v>
      </c>
      <c r="F61" s="9">
        <v>4</v>
      </c>
      <c r="G61" s="66"/>
      <c r="H61" s="405">
        <f>IF(G61&gt;=80%,F61,IF(G61&lt;65%,0,E61))</f>
        <v>0</v>
      </c>
      <c r="R61" s="53"/>
      <c r="S61" s="45"/>
    </row>
    <row r="62" spans="1:19" s="29" customFormat="1">
      <c r="A62" s="417" t="s">
        <v>350</v>
      </c>
      <c r="B62" s="850" t="s">
        <v>596</v>
      </c>
      <c r="C62" s="851"/>
      <c r="D62" s="5" t="s">
        <v>51</v>
      </c>
      <c r="E62" s="9">
        <v>3</v>
      </c>
      <c r="F62" s="9">
        <v>4</v>
      </c>
      <c r="G62" s="66"/>
      <c r="H62" s="405">
        <f>IF(G62&gt;=80%,F62,IF(G62&lt;65%,0,E62))</f>
        <v>0</v>
      </c>
      <c r="R62" s="53"/>
      <c r="S62" s="45"/>
    </row>
    <row r="63" spans="1:19" s="29" customFormat="1">
      <c r="A63" s="418" t="s">
        <v>351</v>
      </c>
      <c r="B63" s="850" t="s">
        <v>588</v>
      </c>
      <c r="C63" s="851"/>
      <c r="D63" s="5" t="s">
        <v>51</v>
      </c>
      <c r="E63" s="9">
        <v>3</v>
      </c>
      <c r="F63" s="9">
        <v>4</v>
      </c>
      <c r="G63" s="66"/>
      <c r="H63" s="405">
        <f>IF(G63&gt;=80%,F63,IF(G63&lt;65%,0,E63))</f>
        <v>0</v>
      </c>
      <c r="R63" s="53"/>
      <c r="S63" s="45"/>
    </row>
    <row r="64" spans="1:19" s="29" customFormat="1" ht="51" customHeight="1">
      <c r="A64" s="417">
        <v>7.2</v>
      </c>
      <c r="B64" s="1019" t="s">
        <v>354</v>
      </c>
      <c r="C64" s="1019"/>
      <c r="D64" s="518" t="s">
        <v>51</v>
      </c>
      <c r="E64" s="540">
        <v>2</v>
      </c>
      <c r="F64" s="540">
        <v>2.5</v>
      </c>
      <c r="G64" s="516"/>
      <c r="H64" s="419">
        <f>IF(H35&gt;0,0,IF(G64&gt;=80%,F64,IF(G64&lt;65%,0,E64)))</f>
        <v>0</v>
      </c>
      <c r="J64" s="11"/>
      <c r="K64" s="11"/>
      <c r="L64" s="11"/>
      <c r="R64" s="53"/>
      <c r="S64" s="45"/>
    </row>
    <row r="65" spans="1:19" s="29" customFormat="1" ht="15" customHeight="1">
      <c r="A65" s="417">
        <v>7.3</v>
      </c>
      <c r="B65" s="885" t="s">
        <v>226</v>
      </c>
      <c r="C65" s="886"/>
      <c r="D65" s="375"/>
      <c r="E65" s="375"/>
      <c r="F65" s="375"/>
      <c r="G65" s="375"/>
      <c r="H65" s="420"/>
      <c r="J65" s="11"/>
      <c r="K65" s="11"/>
      <c r="L65" s="11"/>
      <c r="R65" s="53"/>
      <c r="S65" s="45"/>
    </row>
    <row r="66" spans="1:19" s="29" customFormat="1" ht="32.25" customHeight="1">
      <c r="A66" s="418" t="s">
        <v>220</v>
      </c>
      <c r="B66" s="883" t="s">
        <v>227</v>
      </c>
      <c r="C66" s="884"/>
      <c r="D66" s="856" t="s">
        <v>51</v>
      </c>
      <c r="E66" s="296">
        <v>1</v>
      </c>
      <c r="F66" s="296">
        <v>1.5</v>
      </c>
      <c r="G66" s="67"/>
      <c r="H66" s="298">
        <f>IF(H29+H35&gt;0,0.5,IF(G66&gt;=80%,F66,IF(G66&lt;65%,0,E66)))</f>
        <v>0</v>
      </c>
      <c r="K66" s="11"/>
      <c r="L66" s="11"/>
      <c r="R66" s="53"/>
      <c r="S66" s="45"/>
    </row>
    <row r="67" spans="1:19" s="29" customFormat="1" ht="47.25" customHeight="1">
      <c r="A67" s="418" t="s">
        <v>221</v>
      </c>
      <c r="B67" s="883" t="s">
        <v>228</v>
      </c>
      <c r="C67" s="884"/>
      <c r="D67" s="857"/>
      <c r="E67" s="296">
        <v>1</v>
      </c>
      <c r="F67" s="296">
        <v>1.5</v>
      </c>
      <c r="G67" s="67"/>
      <c r="H67" s="298">
        <f>IF(H29+H35&gt;0,0.5,IF(G67&gt;=80%,F67,IF(G67&lt;65%,0,E67)))</f>
        <v>0</v>
      </c>
      <c r="R67" s="53"/>
      <c r="S67" s="45"/>
    </row>
    <row r="68" spans="1:19" s="29" customFormat="1">
      <c r="A68" s="418" t="s">
        <v>235</v>
      </c>
      <c r="B68" s="883" t="s">
        <v>229</v>
      </c>
      <c r="C68" s="884"/>
      <c r="D68" s="857"/>
      <c r="E68" s="296">
        <v>1</v>
      </c>
      <c r="F68" s="296">
        <v>1.5</v>
      </c>
      <c r="G68" s="67"/>
      <c r="H68" s="298">
        <f>IF(H29+H35&gt;0,0.5,IF(G68&gt;=80%,F68,IF(G68&lt;65%,0,E68)))</f>
        <v>0</v>
      </c>
      <c r="R68" s="53"/>
      <c r="S68" s="45"/>
    </row>
    <row r="69" spans="1:19" s="29" customFormat="1" ht="46.5" customHeight="1">
      <c r="A69" s="418" t="s">
        <v>222</v>
      </c>
      <c r="B69" s="883" t="s">
        <v>230</v>
      </c>
      <c r="C69" s="884"/>
      <c r="D69" s="858"/>
      <c r="E69" s="296">
        <v>1</v>
      </c>
      <c r="F69" s="296">
        <v>1.5</v>
      </c>
      <c r="G69" s="67"/>
      <c r="H69" s="298">
        <f>IF(H29+H35&gt;0,0.5,IF(G69&gt;=80%,F69,IF(G69&lt;65%,0,E69)))</f>
        <v>0</v>
      </c>
      <c r="R69" s="53"/>
      <c r="S69" s="45"/>
    </row>
    <row r="70" spans="1:19" s="29" customFormat="1">
      <c r="A70" s="417">
        <v>7.4</v>
      </c>
      <c r="B70" s="930" t="s">
        <v>441</v>
      </c>
      <c r="C70" s="930"/>
      <c r="D70" s="350" t="s">
        <v>2</v>
      </c>
      <c r="E70" s="296">
        <v>1</v>
      </c>
      <c r="F70" s="296">
        <v>1.5</v>
      </c>
      <c r="G70" s="67"/>
      <c r="H70" s="298">
        <f>IF(G70&gt;=80%,F70,IF(G70&lt;65%,0,E70))</f>
        <v>0</v>
      </c>
      <c r="R70" s="53"/>
      <c r="S70" s="45"/>
    </row>
    <row r="71" spans="1:19" s="29" customFormat="1" ht="15" customHeight="1">
      <c r="A71" s="526">
        <v>7.5</v>
      </c>
      <c r="B71" s="932" t="s">
        <v>422</v>
      </c>
      <c r="C71" s="932"/>
      <c r="D71" s="561" t="s">
        <v>420</v>
      </c>
      <c r="E71" s="855">
        <v>2</v>
      </c>
      <c r="F71" s="855"/>
      <c r="G71" s="546"/>
      <c r="H71" s="519">
        <f>IF(G71&gt;=5%,E71,0)</f>
        <v>0</v>
      </c>
      <c r="R71" s="53"/>
      <c r="S71" s="45"/>
    </row>
    <row r="72" spans="1:19" s="29" customFormat="1" ht="15.6">
      <c r="A72" s="421" t="s">
        <v>223</v>
      </c>
      <c r="B72" s="68" t="s">
        <v>231</v>
      </c>
      <c r="C72" s="69"/>
      <c r="D72" s="70"/>
      <c r="E72" s="71"/>
      <c r="F72" s="71"/>
      <c r="G72" s="71"/>
      <c r="H72" s="422"/>
      <c r="R72" s="53"/>
      <c r="S72" s="45"/>
    </row>
    <row r="73" spans="1:19" s="29" customFormat="1">
      <c r="A73" s="417">
        <v>8.1</v>
      </c>
      <c r="B73" s="852" t="s">
        <v>232</v>
      </c>
      <c r="C73" s="852"/>
      <c r="D73" s="5" t="s">
        <v>51</v>
      </c>
      <c r="E73" s="20">
        <v>2</v>
      </c>
      <c r="F73" s="20">
        <v>2.5</v>
      </c>
      <c r="G73" s="72"/>
      <c r="H73" s="405">
        <f>IF(G73&gt;=80%,F73,IF(G73&lt;65%,0,E73))</f>
        <v>0</v>
      </c>
      <c r="J73" s="73"/>
      <c r="R73" s="53"/>
      <c r="S73" s="45"/>
    </row>
    <row r="74" spans="1:19" s="29" customFormat="1">
      <c r="A74" s="417">
        <v>8.1999999999999993</v>
      </c>
      <c r="B74" s="852" t="s">
        <v>233</v>
      </c>
      <c r="C74" s="852"/>
      <c r="D74" s="5" t="s">
        <v>51</v>
      </c>
      <c r="E74" s="20">
        <v>2</v>
      </c>
      <c r="F74" s="20">
        <v>2.5</v>
      </c>
      <c r="G74" s="72"/>
      <c r="H74" s="405">
        <f>IF(G74&gt;=80%,F74,IF(G74&lt;65%,0,E74))</f>
        <v>0</v>
      </c>
      <c r="J74" s="11"/>
      <c r="K74" s="11"/>
      <c r="L74" s="11"/>
      <c r="R74" s="53"/>
      <c r="S74" s="45"/>
    </row>
    <row r="75" spans="1:19" s="29" customFormat="1">
      <c r="A75" s="417">
        <v>8.3000000000000007</v>
      </c>
      <c r="B75" s="874" t="s">
        <v>147</v>
      </c>
      <c r="C75" s="875"/>
      <c r="D75" s="5" t="s">
        <v>2</v>
      </c>
      <c r="E75" s="20">
        <v>2</v>
      </c>
      <c r="F75" s="20">
        <v>2.5</v>
      </c>
      <c r="G75" s="66"/>
      <c r="H75" s="405">
        <f>IF(G75&gt;=80%,F75,IF(G75&lt;65%,0,E75))</f>
        <v>0</v>
      </c>
      <c r="R75" s="53"/>
      <c r="S75" s="45"/>
    </row>
    <row r="76" spans="1:19" s="29" customFormat="1" ht="15.6">
      <c r="A76" s="421" t="s">
        <v>224</v>
      </c>
      <c r="B76" s="68" t="s">
        <v>234</v>
      </c>
      <c r="C76" s="69"/>
      <c r="D76" s="70"/>
      <c r="E76" s="71"/>
      <c r="F76" s="71"/>
      <c r="G76" s="71"/>
      <c r="H76" s="422"/>
      <c r="R76" s="53"/>
      <c r="S76" s="45"/>
    </row>
    <row r="77" spans="1:19" s="29" customFormat="1" ht="31.5" customHeight="1">
      <c r="A77" s="417">
        <v>9.1</v>
      </c>
      <c r="B77" s="852" t="s">
        <v>371</v>
      </c>
      <c r="C77" s="852"/>
      <c r="D77" s="5" t="s">
        <v>51</v>
      </c>
      <c r="E77" s="20">
        <v>2</v>
      </c>
      <c r="F77" s="20">
        <v>2.5</v>
      </c>
      <c r="G77" s="72"/>
      <c r="H77" s="405">
        <f>IF(G77&gt;=80%,F77,IF(G77&lt;65%,0,E77))</f>
        <v>0</v>
      </c>
      <c r="R77" s="53"/>
      <c r="S77" s="45"/>
    </row>
    <row r="78" spans="1:19" s="29" customFormat="1" ht="15.6">
      <c r="A78" s="423" t="s">
        <v>225</v>
      </c>
      <c r="B78" s="74" t="s">
        <v>213</v>
      </c>
      <c r="C78" s="58"/>
      <c r="D78" s="58"/>
      <c r="E78" s="75"/>
      <c r="F78" s="75"/>
      <c r="G78" s="76"/>
      <c r="H78" s="424"/>
      <c r="R78" s="53"/>
      <c r="S78" s="45"/>
    </row>
    <row r="79" spans="1:19" s="29" customFormat="1">
      <c r="A79" s="417">
        <v>10.1</v>
      </c>
      <c r="B79" s="848"/>
      <c r="C79" s="848"/>
      <c r="D79" s="77"/>
      <c r="E79" s="536"/>
      <c r="F79" s="536"/>
      <c r="G79" s="547"/>
      <c r="H79" s="405">
        <f>IF(G79&gt;=80%,F79,IF(G79&lt;65%,0,E79))</f>
        <v>0</v>
      </c>
      <c r="R79" s="53"/>
      <c r="S79" s="45"/>
    </row>
    <row r="80" spans="1:19" s="29" customFormat="1">
      <c r="A80" s="417">
        <v>10.199999999999999</v>
      </c>
      <c r="B80" s="848"/>
      <c r="C80" s="848"/>
      <c r="D80" s="77"/>
      <c r="E80" s="536"/>
      <c r="F80" s="536"/>
      <c r="G80" s="547"/>
      <c r="H80" s="405">
        <f>IF(G80&gt;=80%,F80,IF(G80&lt;65%,0,E80))</f>
        <v>0</v>
      </c>
      <c r="R80" s="53"/>
      <c r="S80" s="45"/>
    </row>
    <row r="81" spans="1:19" s="29" customFormat="1">
      <c r="A81" s="417">
        <v>10.3</v>
      </c>
      <c r="B81" s="848"/>
      <c r="C81" s="848"/>
      <c r="D81" s="77"/>
      <c r="E81" s="536"/>
      <c r="F81" s="536"/>
      <c r="G81" s="547"/>
      <c r="H81" s="405">
        <f>IF(G81&gt;=80%,F81,IF(G81&lt;65%,0,E81))</f>
        <v>0</v>
      </c>
      <c r="R81" s="53"/>
      <c r="S81" s="45"/>
    </row>
    <row r="82" spans="1:19" s="29" customFormat="1" ht="15.6">
      <c r="A82" s="425"/>
      <c r="B82" s="325"/>
      <c r="C82" s="323"/>
      <c r="D82" s="323"/>
      <c r="E82" s="326"/>
      <c r="F82" s="327"/>
      <c r="G82" s="328" t="s">
        <v>418</v>
      </c>
      <c r="H82" s="426">
        <f>IFERROR((SUM(H61:H81)),0)</f>
        <v>0</v>
      </c>
      <c r="R82" s="53"/>
      <c r="S82" s="45"/>
    </row>
    <row r="83" spans="1:19" s="29" customFormat="1">
      <c r="A83" s="412"/>
      <c r="B83" s="325"/>
      <c r="C83" s="323"/>
      <c r="D83" s="323"/>
      <c r="E83" s="323"/>
      <c r="F83" s="323"/>
      <c r="G83" s="329"/>
      <c r="H83" s="388"/>
      <c r="R83" s="53"/>
      <c r="S83" s="45"/>
    </row>
    <row r="84" spans="1:19" s="29" customFormat="1" ht="15.6">
      <c r="A84" s="412"/>
      <c r="B84" s="325"/>
      <c r="C84" s="323"/>
      <c r="D84" s="323"/>
      <c r="E84" s="323"/>
      <c r="F84" s="323"/>
      <c r="G84" s="330" t="s">
        <v>129</v>
      </c>
      <c r="H84" s="427">
        <f>IFERROR(MIN(G24,H56+H82),0)</f>
        <v>0</v>
      </c>
      <c r="R84" s="53"/>
      <c r="S84" s="45"/>
    </row>
    <row r="85" spans="1:19" s="29" customFormat="1" ht="16.2" thickBot="1">
      <c r="A85" s="491"/>
      <c r="B85" s="492"/>
      <c r="C85" s="493"/>
      <c r="D85" s="493"/>
      <c r="E85" s="493"/>
      <c r="F85" s="493"/>
      <c r="G85" s="496"/>
      <c r="H85" s="495"/>
      <c r="R85" s="53"/>
      <c r="S85" s="45"/>
    </row>
    <row r="86" spans="1:19" s="29" customFormat="1" ht="15.6">
      <c r="A86" s="486" t="s">
        <v>52</v>
      </c>
      <c r="B86" s="487"/>
      <c r="C86" s="487"/>
      <c r="D86" s="487"/>
      <c r="E86" s="487"/>
      <c r="F86" s="488" t="s">
        <v>43</v>
      </c>
      <c r="G86" s="489">
        <f>VLOOKUP($A$7,'Manpower allocation'!A4:D11,3,FALSE)*100</f>
        <v>40</v>
      </c>
      <c r="H86" s="490" t="s">
        <v>42</v>
      </c>
      <c r="J86" s="79">
        <f>VLOOKUP($A$7,'Manpower allocation'!A4:D11,3,FALSE)*100</f>
        <v>40</v>
      </c>
      <c r="R86" s="53"/>
      <c r="S86" s="45"/>
    </row>
    <row r="87" spans="1:19" s="29" customFormat="1" ht="15.6">
      <c r="A87" s="412"/>
      <c r="B87" s="331"/>
      <c r="C87" s="326"/>
      <c r="D87" s="323"/>
      <c r="E87" s="323"/>
      <c r="F87" s="323"/>
      <c r="G87" s="332"/>
      <c r="H87" s="388"/>
      <c r="R87" s="53"/>
      <c r="S87" s="45"/>
    </row>
    <row r="88" spans="1:19" s="29" customFormat="1" ht="46.8">
      <c r="A88" s="549" t="s">
        <v>0</v>
      </c>
      <c r="B88" s="550"/>
      <c r="C88" s="168"/>
      <c r="D88" s="80"/>
      <c r="E88" s="81" t="s">
        <v>17</v>
      </c>
      <c r="F88" s="82" t="s">
        <v>81</v>
      </c>
      <c r="G88" s="82" t="s">
        <v>20</v>
      </c>
      <c r="H88" s="428" t="s">
        <v>53</v>
      </c>
      <c r="R88" s="53"/>
      <c r="S88" s="45"/>
    </row>
    <row r="89" spans="1:19" s="29" customFormat="1" ht="15.6">
      <c r="A89" s="429" t="s">
        <v>303</v>
      </c>
      <c r="B89" s="83" t="s">
        <v>332</v>
      </c>
      <c r="C89" s="84"/>
      <c r="D89" s="84"/>
      <c r="E89" s="85"/>
      <c r="F89" s="85"/>
      <c r="G89" s="85"/>
      <c r="H89" s="430"/>
      <c r="R89" s="53"/>
      <c r="S89" s="45"/>
    </row>
    <row r="90" spans="1:19" s="29" customFormat="1" ht="15.6">
      <c r="A90" s="431">
        <v>1</v>
      </c>
      <c r="B90" s="86" t="s">
        <v>338</v>
      </c>
      <c r="C90" s="87"/>
      <c r="D90" s="87"/>
      <c r="E90" s="88"/>
      <c r="F90" s="88"/>
      <c r="G90" s="88"/>
      <c r="H90" s="432"/>
      <c r="R90" s="53"/>
      <c r="S90" s="45"/>
    </row>
    <row r="91" spans="1:19" s="29" customFormat="1">
      <c r="A91" s="417">
        <v>1.1000000000000001</v>
      </c>
      <c r="B91" s="885" t="s">
        <v>290</v>
      </c>
      <c r="C91" s="846"/>
      <c r="D91" s="845"/>
      <c r="E91" s="89">
        <f>VLOOKUP(A91,'Point Allocation'!$A$20:$J$40,MATCH(A7,'Point Allocation'!$A$20:$J$20,0),0)</f>
        <v>30</v>
      </c>
      <c r="F91" s="90"/>
      <c r="G91" s="91">
        <f>IFERROR(F91/$F$115,0)</f>
        <v>0</v>
      </c>
      <c r="H91" s="433">
        <f>E91*G91</f>
        <v>0</v>
      </c>
      <c r="R91" s="45"/>
      <c r="S91" s="45"/>
    </row>
    <row r="92" spans="1:19" s="29" customFormat="1" ht="15.6">
      <c r="A92" s="434">
        <v>2</v>
      </c>
      <c r="B92" s="92" t="s">
        <v>339</v>
      </c>
      <c r="C92" s="93"/>
      <c r="D92" s="94"/>
      <c r="E92" s="94"/>
      <c r="F92" s="95"/>
      <c r="G92" s="96"/>
      <c r="H92" s="435"/>
      <c r="R92" s="53"/>
      <c r="S92" s="45"/>
    </row>
    <row r="93" spans="1:19" s="29" customFormat="1">
      <c r="A93" s="849">
        <v>2.1</v>
      </c>
      <c r="B93" s="844" t="s">
        <v>207</v>
      </c>
      <c r="C93" s="846"/>
      <c r="D93" s="845"/>
      <c r="E93" s="853">
        <f>VLOOKUP(A93,'Point Allocation'!$A$20:$J$40,MATCH(A7,'Point Allocation'!$A$20:$J$20,0),0)</f>
        <v>28</v>
      </c>
      <c r="F93" s="854"/>
      <c r="G93" s="914">
        <f>IFERROR(F93/$F$115,0)</f>
        <v>0</v>
      </c>
      <c r="H93" s="921">
        <f>E93*G93</f>
        <v>0</v>
      </c>
      <c r="R93" s="53"/>
      <c r="S93" s="45"/>
    </row>
    <row r="94" spans="1:19" s="29" customFormat="1" ht="15.6">
      <c r="A94" s="841"/>
      <c r="B94" s="836" t="s">
        <v>120</v>
      </c>
      <c r="C94" s="837"/>
      <c r="D94" s="838"/>
      <c r="E94" s="853"/>
      <c r="F94" s="854"/>
      <c r="G94" s="914"/>
      <c r="H94" s="921"/>
      <c r="R94" s="53"/>
      <c r="S94" s="45"/>
    </row>
    <row r="95" spans="1:19" s="29" customFormat="1">
      <c r="A95" s="849">
        <v>2.2000000000000002</v>
      </c>
      <c r="B95" s="885" t="s">
        <v>178</v>
      </c>
      <c r="C95" s="886"/>
      <c r="D95" s="884"/>
      <c r="E95" s="853">
        <f>VLOOKUP(A95,'Point Allocation'!$A$20:$J$40,MATCH(A7,'Point Allocation'!$A$20:$J$20,0),0)</f>
        <v>28</v>
      </c>
      <c r="F95" s="854"/>
      <c r="G95" s="914">
        <f>IFERROR(F95/$F$115,0)</f>
        <v>0</v>
      </c>
      <c r="H95" s="921">
        <f>E95*G95</f>
        <v>0</v>
      </c>
      <c r="R95" s="53"/>
      <c r="S95" s="45"/>
    </row>
    <row r="96" spans="1:19" s="29" customFormat="1" ht="15.6">
      <c r="A96" s="882"/>
      <c r="B96" s="836" t="s">
        <v>120</v>
      </c>
      <c r="C96" s="837"/>
      <c r="D96" s="838"/>
      <c r="E96" s="853"/>
      <c r="F96" s="854"/>
      <c r="G96" s="914"/>
      <c r="H96" s="921"/>
      <c r="R96" s="53"/>
      <c r="S96" s="45"/>
    </row>
    <row r="97" spans="1:19" s="29" customFormat="1" ht="15.6">
      <c r="A97" s="431">
        <v>3</v>
      </c>
      <c r="B97" s="86" t="s">
        <v>340</v>
      </c>
      <c r="C97" s="93"/>
      <c r="D97" s="93"/>
      <c r="E97" s="95"/>
      <c r="F97" s="95"/>
      <c r="G97" s="96"/>
      <c r="H97" s="436"/>
      <c r="R97" s="53"/>
      <c r="S97" s="45"/>
    </row>
    <row r="98" spans="1:19" s="29" customFormat="1">
      <c r="A98" s="849">
        <v>3.1</v>
      </c>
      <c r="B98" s="844" t="s">
        <v>208</v>
      </c>
      <c r="C98" s="846"/>
      <c r="D98" s="845"/>
      <c r="E98" s="853">
        <f>VLOOKUP(A98,'Point Allocation'!$A$20:$J$40,MATCH(A7,'Point Allocation'!$A$20:$J$20,0),0)</f>
        <v>27</v>
      </c>
      <c r="F98" s="854"/>
      <c r="G98" s="914">
        <f>IFERROR(F98/$F$115,0)</f>
        <v>0</v>
      </c>
      <c r="H98" s="921">
        <f>E98*G98</f>
        <v>0</v>
      </c>
      <c r="R98" s="53"/>
      <c r="S98" s="45"/>
    </row>
    <row r="99" spans="1:19" s="29" customFormat="1" ht="15.6">
      <c r="A99" s="841"/>
      <c r="B99" s="836" t="s">
        <v>286</v>
      </c>
      <c r="C99" s="837"/>
      <c r="D99" s="838"/>
      <c r="E99" s="853"/>
      <c r="F99" s="854"/>
      <c r="G99" s="914"/>
      <c r="H99" s="921"/>
      <c r="R99" s="53"/>
      <c r="S99" s="45"/>
    </row>
    <row r="100" spans="1:19" s="29" customFormat="1" ht="15.6">
      <c r="A100" s="431">
        <v>4</v>
      </c>
      <c r="B100" s="86" t="s">
        <v>341</v>
      </c>
      <c r="C100" s="93"/>
      <c r="D100" s="93"/>
      <c r="E100" s="95"/>
      <c r="F100" s="95"/>
      <c r="G100" s="96"/>
      <c r="H100" s="436"/>
      <c r="R100" s="53"/>
      <c r="S100" s="45"/>
    </row>
    <row r="101" spans="1:19" s="29" customFormat="1" ht="30" customHeight="1">
      <c r="A101" s="418" t="s">
        <v>205</v>
      </c>
      <c r="B101" s="871" t="s">
        <v>292</v>
      </c>
      <c r="C101" s="872"/>
      <c r="D101" s="873"/>
      <c r="E101" s="97">
        <f>VLOOKUP(A101,'Point Allocation'!$A$20:$J$40,MATCH(A7,'Point Allocation'!$A$20:$J$20,0),0)</f>
        <v>25</v>
      </c>
      <c r="F101" s="537"/>
      <c r="G101" s="538">
        <f>IFERROR(F101/$F$115,0)</f>
        <v>0</v>
      </c>
      <c r="H101" s="437">
        <f>E101*G101</f>
        <v>0</v>
      </c>
      <c r="R101" s="912"/>
      <c r="S101" s="45"/>
    </row>
    <row r="102" spans="1:19" s="29" customFormat="1">
      <c r="A102" s="418" t="s">
        <v>206</v>
      </c>
      <c r="B102" s="871" t="s">
        <v>293</v>
      </c>
      <c r="C102" s="872"/>
      <c r="D102" s="873"/>
      <c r="E102" s="97">
        <f>VLOOKUP(A102,'Point Allocation'!$A$20:$J$40,MATCH(A7,'Point Allocation'!$A$20:$J$20,0),0)</f>
        <v>25</v>
      </c>
      <c r="F102" s="537"/>
      <c r="G102" s="538">
        <f>IFERROR(F102/$F$115,0)</f>
        <v>0</v>
      </c>
      <c r="H102" s="437">
        <f>E102*G102</f>
        <v>0</v>
      </c>
      <c r="R102" s="912"/>
      <c r="S102" s="45"/>
    </row>
    <row r="103" spans="1:19" s="29" customFormat="1">
      <c r="A103" s="417">
        <v>4.2</v>
      </c>
      <c r="B103" s="874" t="s">
        <v>209</v>
      </c>
      <c r="C103" s="931"/>
      <c r="D103" s="875"/>
      <c r="E103" s="97">
        <f>VLOOKUP(A103,'Point Allocation'!$A$20:$J$40,MATCH(A7,'Point Allocation'!$A$20:$J$20,0),0)</f>
        <v>25</v>
      </c>
      <c r="F103" s="537"/>
      <c r="G103" s="538">
        <f>IFERROR(F103/$F$115,0)</f>
        <v>0</v>
      </c>
      <c r="H103" s="437">
        <f>E103*G103</f>
        <v>0</v>
      </c>
      <c r="R103" s="53"/>
      <c r="S103" s="45"/>
    </row>
    <row r="104" spans="1:19" s="29" customFormat="1">
      <c r="A104" s="417">
        <v>4.3</v>
      </c>
      <c r="B104" s="922" t="s">
        <v>159</v>
      </c>
      <c r="C104" s="923"/>
      <c r="D104" s="924"/>
      <c r="E104" s="97">
        <f>VLOOKUP(A104,'Point Allocation'!$A$20:$J$40,MATCH(A7,'Point Allocation'!$A$20:$J$20,0),0)</f>
        <v>25</v>
      </c>
      <c r="F104" s="537"/>
      <c r="G104" s="538">
        <f>IFERROR(F104/$F$115,0)</f>
        <v>0</v>
      </c>
      <c r="H104" s="438">
        <f>E104*G104</f>
        <v>0</v>
      </c>
      <c r="R104" s="53"/>
      <c r="S104" s="45"/>
    </row>
    <row r="105" spans="1:19" s="29" customFormat="1">
      <c r="A105" s="417">
        <v>4.4000000000000004</v>
      </c>
      <c r="B105" s="922" t="s">
        <v>355</v>
      </c>
      <c r="C105" s="923"/>
      <c r="D105" s="924"/>
      <c r="E105" s="97">
        <f>VLOOKUP(A105,'Point Allocation'!$A$20:$J$40,MATCH(A7,'Point Allocation'!$A$20:$J$20,0),0)</f>
        <v>22</v>
      </c>
      <c r="F105" s="537"/>
      <c r="G105" s="538">
        <f>IFERROR(F105/$F$115,0)</f>
        <v>0</v>
      </c>
      <c r="H105" s="438">
        <f>E105*G105</f>
        <v>0</v>
      </c>
      <c r="R105" s="53"/>
      <c r="S105" s="45"/>
    </row>
    <row r="106" spans="1:19" s="29" customFormat="1" ht="15.6">
      <c r="A106" s="439" t="s">
        <v>304</v>
      </c>
      <c r="B106" s="99" t="s">
        <v>236</v>
      </c>
      <c r="C106" s="100"/>
      <c r="D106" s="101"/>
      <c r="E106" s="102"/>
      <c r="F106" s="103"/>
      <c r="G106" s="104"/>
      <c r="H106" s="440"/>
      <c r="R106" s="53"/>
      <c r="S106" s="45"/>
    </row>
    <row r="107" spans="1:19" s="29" customFormat="1" ht="15.6">
      <c r="A107" s="431">
        <v>5</v>
      </c>
      <c r="B107" s="86" t="s">
        <v>237</v>
      </c>
      <c r="C107" s="93"/>
      <c r="D107" s="93"/>
      <c r="E107" s="95"/>
      <c r="F107" s="95"/>
      <c r="G107" s="96"/>
      <c r="H107" s="436"/>
      <c r="R107" s="53"/>
      <c r="S107" s="45"/>
    </row>
    <row r="108" spans="1:19" s="29" customFormat="1">
      <c r="A108" s="417">
        <v>5.0999999999999996</v>
      </c>
      <c r="B108" s="844" t="s">
        <v>210</v>
      </c>
      <c r="C108" s="846"/>
      <c r="D108" s="845"/>
      <c r="E108" s="105">
        <f>VLOOKUP(A108,'Point Allocation'!$A$20:$J$40,MATCH(A7,'Point Allocation'!$A$20:$J$20,0),0)</f>
        <v>16</v>
      </c>
      <c r="F108" s="156"/>
      <c r="G108" s="538">
        <f>IFERROR(F108/$F$115,0)</f>
        <v>0</v>
      </c>
      <c r="H108" s="441">
        <f>E108*G108</f>
        <v>0</v>
      </c>
      <c r="R108" s="53"/>
      <c r="S108" s="45"/>
    </row>
    <row r="109" spans="1:19" s="29" customFormat="1">
      <c r="A109" s="417">
        <v>5.2</v>
      </c>
      <c r="B109" s="844" t="s">
        <v>356</v>
      </c>
      <c r="C109" s="846"/>
      <c r="D109" s="845"/>
      <c r="E109" s="105">
        <f>VLOOKUP(A109,'Point Allocation'!$A$20:$J$40,MATCH(A7,'Point Allocation'!$A$20:$J$20,0),0)</f>
        <v>5</v>
      </c>
      <c r="F109" s="90"/>
      <c r="G109" s="538">
        <f>IFERROR(F109/$F$115,0)</f>
        <v>0</v>
      </c>
      <c r="H109" s="441">
        <f>E109*G109</f>
        <v>0</v>
      </c>
      <c r="R109" s="53"/>
      <c r="S109" s="45"/>
    </row>
    <row r="110" spans="1:19" s="29" customFormat="1">
      <c r="A110" s="417">
        <v>5.3</v>
      </c>
      <c r="B110" s="844" t="s">
        <v>357</v>
      </c>
      <c r="C110" s="846"/>
      <c r="D110" s="845"/>
      <c r="E110" s="105">
        <f>VLOOKUP(A110,'Point Allocation'!$A$20:$J$40,MATCH(A7,'Point Allocation'!$A$20:$J$20,0),0)</f>
        <v>0</v>
      </c>
      <c r="F110" s="155"/>
      <c r="G110" s="538">
        <f>IFERROR(F110/$F$115,0)</f>
        <v>0</v>
      </c>
      <c r="H110" s="442">
        <f>E110*G110</f>
        <v>0</v>
      </c>
      <c r="R110" s="53"/>
      <c r="S110" s="45"/>
    </row>
    <row r="111" spans="1:19" s="29" customFormat="1" ht="15.6">
      <c r="A111" s="443">
        <v>6</v>
      </c>
      <c r="B111" s="106" t="s">
        <v>213</v>
      </c>
      <c r="C111" s="93"/>
      <c r="D111" s="93"/>
      <c r="E111" s="95"/>
      <c r="F111" s="95"/>
      <c r="G111" s="96"/>
      <c r="H111" s="436"/>
      <c r="R111" s="53"/>
      <c r="S111" s="45"/>
    </row>
    <row r="112" spans="1:19" s="29" customFormat="1">
      <c r="A112" s="444">
        <v>6.1</v>
      </c>
      <c r="B112" s="826"/>
      <c r="C112" s="821"/>
      <c r="D112" s="847"/>
      <c r="E112" s="537"/>
      <c r="F112" s="537"/>
      <c r="G112" s="538">
        <f>IFERROR(F112/$F$115,0)</f>
        <v>0</v>
      </c>
      <c r="H112" s="442">
        <f>E112*G112</f>
        <v>0</v>
      </c>
      <c r="R112" s="53"/>
      <c r="S112" s="45"/>
    </row>
    <row r="113" spans="1:19" s="29" customFormat="1">
      <c r="A113" s="444">
        <v>6.2</v>
      </c>
      <c r="B113" s="826"/>
      <c r="C113" s="821"/>
      <c r="D113" s="847"/>
      <c r="E113" s="537"/>
      <c r="F113" s="537"/>
      <c r="G113" s="538">
        <f>IFERROR(F113/$F$115,0)</f>
        <v>0</v>
      </c>
      <c r="H113" s="442">
        <f>E113*G113</f>
        <v>0</v>
      </c>
      <c r="R113" s="53"/>
      <c r="S113" s="45"/>
    </row>
    <row r="114" spans="1:19" s="29" customFormat="1">
      <c r="A114" s="444">
        <v>6.3</v>
      </c>
      <c r="B114" s="848"/>
      <c r="C114" s="848"/>
      <c r="D114" s="848"/>
      <c r="E114" s="537"/>
      <c r="F114" s="537"/>
      <c r="G114" s="538">
        <f>IFERROR(F114/$F$115,0)</f>
        <v>0</v>
      </c>
      <c r="H114" s="442">
        <f>E114*G114</f>
        <v>0</v>
      </c>
      <c r="R114" s="53"/>
      <c r="S114" s="45"/>
    </row>
    <row r="115" spans="1:19" s="29" customFormat="1" ht="15.6">
      <c r="A115" s="425"/>
      <c r="B115" s="325"/>
      <c r="C115" s="323"/>
      <c r="D115" s="323"/>
      <c r="E115" s="330" t="s">
        <v>62</v>
      </c>
      <c r="F115" s="333">
        <f>SUM(F91:F114)+E19</f>
        <v>0</v>
      </c>
      <c r="G115" s="334">
        <f>SUM(G91:G114)+F19</f>
        <v>0</v>
      </c>
      <c r="H115" s="445">
        <f>IFERROR(SUM(H91:H114),0)</f>
        <v>0</v>
      </c>
      <c r="R115" s="53"/>
      <c r="S115" s="45"/>
    </row>
    <row r="116" spans="1:19" s="29" customFormat="1" ht="15.6" thickBot="1">
      <c r="A116" s="491"/>
      <c r="B116" s="492"/>
      <c r="C116" s="493"/>
      <c r="D116" s="493"/>
      <c r="E116" s="493"/>
      <c r="F116" s="493"/>
      <c r="G116" s="480"/>
      <c r="H116" s="639"/>
      <c r="R116" s="53"/>
      <c r="S116" s="45"/>
    </row>
    <row r="117" spans="1:19" s="29" customFormat="1" ht="31.2">
      <c r="A117" s="640" t="s">
        <v>0</v>
      </c>
      <c r="B117" s="641"/>
      <c r="C117" s="641"/>
      <c r="D117" s="642" t="s">
        <v>17</v>
      </c>
      <c r="E117" s="643" t="s">
        <v>81</v>
      </c>
      <c r="F117" s="644" t="s">
        <v>335</v>
      </c>
      <c r="G117" s="644" t="s">
        <v>336</v>
      </c>
      <c r="H117" s="645" t="s">
        <v>53</v>
      </c>
      <c r="R117" s="53"/>
      <c r="S117" s="45"/>
    </row>
    <row r="118" spans="1:19" s="29" customFormat="1" ht="15.6">
      <c r="A118" s="429" t="s">
        <v>238</v>
      </c>
      <c r="B118" s="83" t="s">
        <v>333</v>
      </c>
      <c r="C118" s="84"/>
      <c r="D118" s="85"/>
      <c r="E118" s="85"/>
      <c r="F118" s="85"/>
      <c r="G118" s="85"/>
      <c r="H118" s="430"/>
      <c r="R118" s="53"/>
      <c r="S118" s="45"/>
    </row>
    <row r="119" spans="1:19" s="29" customFormat="1" ht="15.6">
      <c r="A119" s="431">
        <v>7</v>
      </c>
      <c r="B119" s="86" t="s">
        <v>338</v>
      </c>
      <c r="C119" s="87"/>
      <c r="D119" s="88"/>
      <c r="E119" s="88"/>
      <c r="F119" s="88"/>
      <c r="G119" s="88"/>
      <c r="H119" s="432"/>
      <c r="R119" s="53"/>
      <c r="S119" s="45"/>
    </row>
    <row r="120" spans="1:19" s="29" customFormat="1" ht="15" customHeight="1">
      <c r="A120" s="404">
        <v>7.1</v>
      </c>
      <c r="B120" s="885" t="s">
        <v>290</v>
      </c>
      <c r="C120" s="884"/>
      <c r="D120" s="98">
        <f>VLOOKUP(A120,'Point Allocation'!$A$20:$J$41,MATCH(A7,'Point Allocation'!$A$20:$J$20,0),0)</f>
        <v>10</v>
      </c>
      <c r="E120" s="89">
        <f>F91</f>
        <v>0</v>
      </c>
      <c r="F120" s="89">
        <f>F29</f>
        <v>0</v>
      </c>
      <c r="G120" s="91">
        <f>IFERROR(SUM(E120:F120)/SUM($E$138:$F$138),0)</f>
        <v>0</v>
      </c>
      <c r="H120" s="433">
        <f>D120*G120</f>
        <v>0</v>
      </c>
      <c r="R120" s="53"/>
      <c r="S120" s="45"/>
    </row>
    <row r="121" spans="1:19" s="29" customFormat="1" ht="15.6">
      <c r="A121" s="434">
        <v>8</v>
      </c>
      <c r="B121" s="92" t="s">
        <v>339</v>
      </c>
      <c r="C121" s="93"/>
      <c r="D121" s="94"/>
      <c r="E121" s="95"/>
      <c r="F121" s="95"/>
      <c r="G121" s="96"/>
      <c r="H121" s="435"/>
      <c r="R121" s="53"/>
      <c r="S121" s="45"/>
    </row>
    <row r="122" spans="1:19" s="29" customFormat="1">
      <c r="A122" s="849">
        <v>8.1</v>
      </c>
      <c r="B122" s="844" t="s">
        <v>337</v>
      </c>
      <c r="C122" s="845"/>
      <c r="D122" s="925">
        <f>VLOOKUP(A122,'Point Allocation'!$A$20:$J$41,MATCH(A7,'Point Allocation'!$A$20:$J$20,0),0)</f>
        <v>8</v>
      </c>
      <c r="E122" s="927">
        <f>F93</f>
        <v>0</v>
      </c>
      <c r="F122" s="859"/>
      <c r="G122" s="860">
        <f>IFERROR(SUM(E122:F123)/SUM($E$138:$F$138),0)</f>
        <v>0</v>
      </c>
      <c r="H122" s="921">
        <f>D122*G122</f>
        <v>0</v>
      </c>
      <c r="R122" s="53"/>
      <c r="S122" s="45"/>
    </row>
    <row r="123" spans="1:19" s="29" customFormat="1" ht="15.6">
      <c r="A123" s="882"/>
      <c r="B123" s="836" t="s">
        <v>120</v>
      </c>
      <c r="C123" s="838"/>
      <c r="D123" s="926"/>
      <c r="E123" s="927"/>
      <c r="F123" s="859"/>
      <c r="G123" s="861"/>
      <c r="H123" s="921"/>
      <c r="R123" s="53"/>
      <c r="S123" s="45"/>
    </row>
    <row r="124" spans="1:19" s="29" customFormat="1">
      <c r="A124" s="404">
        <v>8.1999999999999993</v>
      </c>
      <c r="B124" s="885" t="s">
        <v>178</v>
      </c>
      <c r="C124" s="884"/>
      <c r="D124" s="98">
        <f>VLOOKUP(A124,'Point Allocation'!$A$20:$J$41,MATCH(A7,'Point Allocation'!$A$20:$J$20,0),0)</f>
        <v>8</v>
      </c>
      <c r="E124" s="189">
        <f>F95</f>
        <v>0</v>
      </c>
      <c r="F124" s="548"/>
      <c r="G124" s="91">
        <f>IFERROR(SUM(E124:F124)/SUM($E$138:$F$138),0)</f>
        <v>0</v>
      </c>
      <c r="H124" s="437">
        <f>D124*G124</f>
        <v>0</v>
      </c>
      <c r="R124" s="53"/>
      <c r="S124" s="45"/>
    </row>
    <row r="125" spans="1:19" s="29" customFormat="1" ht="15.6">
      <c r="A125" s="431">
        <v>9</v>
      </c>
      <c r="B125" s="86" t="s">
        <v>340</v>
      </c>
      <c r="C125" s="93"/>
      <c r="D125" s="95"/>
      <c r="E125" s="95"/>
      <c r="F125" s="95"/>
      <c r="G125" s="96"/>
      <c r="H125" s="436"/>
      <c r="R125" s="53"/>
      <c r="S125" s="45"/>
    </row>
    <row r="126" spans="1:19" s="29" customFormat="1">
      <c r="A126" s="849">
        <v>9.1</v>
      </c>
      <c r="B126" s="844" t="s">
        <v>381</v>
      </c>
      <c r="C126" s="845"/>
      <c r="D126" s="925">
        <f>VLOOKUP(A126,'Point Allocation'!$A$20:$J$41,MATCH(A7,'Point Allocation'!$A$20:$J$20,0),0)</f>
        <v>6</v>
      </c>
      <c r="E126" s="859"/>
      <c r="F126" s="859"/>
      <c r="G126" s="914">
        <f>IFERROR(SUM(E126:F127)/SUM($E$138:$F$138),0)</f>
        <v>0</v>
      </c>
      <c r="H126" s="921">
        <f>D126*G126</f>
        <v>0</v>
      </c>
      <c r="R126" s="53"/>
      <c r="S126" s="45"/>
    </row>
    <row r="127" spans="1:19" s="29" customFormat="1" ht="15.6">
      <c r="A127" s="882"/>
      <c r="B127" s="836" t="s">
        <v>5</v>
      </c>
      <c r="C127" s="838"/>
      <c r="D127" s="926"/>
      <c r="E127" s="859"/>
      <c r="F127" s="859"/>
      <c r="G127" s="914"/>
      <c r="H127" s="921"/>
      <c r="R127" s="53"/>
      <c r="S127" s="45"/>
    </row>
    <row r="128" spans="1:19" s="29" customFormat="1" ht="15.6">
      <c r="A128" s="431">
        <v>10</v>
      </c>
      <c r="B128" s="86" t="s">
        <v>342</v>
      </c>
      <c r="C128" s="93"/>
      <c r="D128" s="95"/>
      <c r="E128" s="95"/>
      <c r="F128" s="95"/>
      <c r="G128" s="96"/>
      <c r="H128" s="436"/>
      <c r="R128" s="53"/>
      <c r="S128" s="45"/>
    </row>
    <row r="129" spans="1:19" s="29" customFormat="1" ht="15" customHeight="1">
      <c r="A129" s="409">
        <v>10.1</v>
      </c>
      <c r="B129" s="844" t="s">
        <v>382</v>
      </c>
      <c r="C129" s="845"/>
      <c r="D129" s="98">
        <f>VLOOKUP(A129,'Point Allocation'!$A$20:$J$41,MATCH(A7,'Point Allocation'!$A$20:$J$20,0),0)</f>
        <v>4</v>
      </c>
      <c r="E129" s="548"/>
      <c r="F129" s="548"/>
      <c r="G129" s="91">
        <f>IFERROR(SUM(E129:F129)/SUM($E$138:$F$138),0)</f>
        <v>0</v>
      </c>
      <c r="H129" s="437">
        <f>D129*G129</f>
        <v>0</v>
      </c>
      <c r="R129" s="53"/>
      <c r="S129" s="45"/>
    </row>
    <row r="130" spans="1:19" s="29" customFormat="1" ht="32.25" customHeight="1">
      <c r="A130" s="406">
        <v>10.199999999999999</v>
      </c>
      <c r="B130" s="928" t="s">
        <v>353</v>
      </c>
      <c r="C130" s="929"/>
      <c r="D130" s="98">
        <f>VLOOKUP(A130,'Point Allocation'!$A$20:$J$41,MATCH(A7,'Point Allocation'!$A$20:$J$20,0),0)</f>
        <v>4</v>
      </c>
      <c r="E130" s="188"/>
      <c r="F130" s="548"/>
      <c r="G130" s="538">
        <f>IFERROR(SUM(E130:F130)/SUM($E$138:$F$138),0)</f>
        <v>0</v>
      </c>
      <c r="H130" s="437">
        <f>D130*G130</f>
        <v>0</v>
      </c>
      <c r="R130" s="53"/>
      <c r="S130" s="45"/>
    </row>
    <row r="131" spans="1:19" s="29" customFormat="1" ht="15.6">
      <c r="A131" s="439" t="s">
        <v>239</v>
      </c>
      <c r="B131" s="99" t="s">
        <v>262</v>
      </c>
      <c r="C131" s="100"/>
      <c r="D131" s="102"/>
      <c r="E131" s="103"/>
      <c r="F131" s="103"/>
      <c r="G131" s="104"/>
      <c r="H131" s="440"/>
      <c r="R131" s="53"/>
      <c r="S131" s="45"/>
    </row>
    <row r="132" spans="1:19" s="29" customFormat="1" ht="15.6">
      <c r="A132" s="431">
        <v>11</v>
      </c>
      <c r="B132" s="86" t="s">
        <v>263</v>
      </c>
      <c r="C132" s="93"/>
      <c r="D132" s="95"/>
      <c r="E132" s="95"/>
      <c r="F132" s="95"/>
      <c r="G132" s="96"/>
      <c r="H132" s="436"/>
      <c r="R132" s="53"/>
      <c r="S132" s="45"/>
    </row>
    <row r="133" spans="1:19" s="29" customFormat="1">
      <c r="A133" s="409">
        <v>11.1</v>
      </c>
      <c r="B133" s="844" t="s">
        <v>593</v>
      </c>
      <c r="C133" s="845"/>
      <c r="D133" s="98">
        <f>VLOOKUP(A133,'Point Allocation'!$A$20:$J$41,MATCH(A7,'Point Allocation'!$A$20:$J$20,0),0)</f>
        <v>2</v>
      </c>
      <c r="E133" s="548"/>
      <c r="F133" s="548"/>
      <c r="G133" s="538">
        <f>IFERROR(SUM(E133:F133)/SUM($E$138:$F$138),0)</f>
        <v>0</v>
      </c>
      <c r="H133" s="437">
        <f t="shared" ref="H133:H137" si="2">D133*G133</f>
        <v>0</v>
      </c>
      <c r="R133" s="53"/>
      <c r="S133" s="45"/>
    </row>
    <row r="134" spans="1:19" s="29" customFormat="1">
      <c r="A134" s="446">
        <v>11.2</v>
      </c>
      <c r="B134" s="874" t="s">
        <v>344</v>
      </c>
      <c r="C134" s="875"/>
      <c r="D134" s="189">
        <f>VLOOKUP(A133,'Point Allocation'!$A$20:$J$41,MATCH(A7,'Point Allocation'!$A$20:$J$20,0),0)</f>
        <v>2</v>
      </c>
      <c r="E134" s="548"/>
      <c r="F134" s="548"/>
      <c r="G134" s="538">
        <f>IFERROR(SUM(E134:F134)/SUM($E$138:$F$138),0)</f>
        <v>0</v>
      </c>
      <c r="H134" s="437">
        <f t="shared" si="2"/>
        <v>0</v>
      </c>
      <c r="R134" s="53"/>
      <c r="S134" s="45"/>
    </row>
    <row r="135" spans="1:19" s="29" customFormat="1">
      <c r="A135" s="409">
        <v>11.3</v>
      </c>
      <c r="B135" s="874" t="s">
        <v>352</v>
      </c>
      <c r="C135" s="875"/>
      <c r="D135" s="98">
        <f>VLOOKUP(A135,'Point Allocation'!$A$20:$J$41,MATCH(A7,'Point Allocation'!$A$20:$J$20,0),0)</f>
        <v>0</v>
      </c>
      <c r="E135" s="548"/>
      <c r="F135" s="548"/>
      <c r="G135" s="538">
        <f>IFERROR(SUM(E135:F135)/SUM($E$138:$F$138),0)</f>
        <v>0</v>
      </c>
      <c r="H135" s="437">
        <f t="shared" si="2"/>
        <v>0</v>
      </c>
      <c r="R135" s="53"/>
      <c r="S135" s="45"/>
    </row>
    <row r="136" spans="1:19" s="29" customFormat="1">
      <c r="A136" s="447">
        <v>11.4</v>
      </c>
      <c r="B136" s="866"/>
      <c r="C136" s="867"/>
      <c r="D136" s="537"/>
      <c r="E136" s="548"/>
      <c r="F136" s="548"/>
      <c r="G136" s="538">
        <f>IFERROR(SUM(E136:F136)/SUM($E$138:$F$138),0)</f>
        <v>0</v>
      </c>
      <c r="H136" s="437">
        <f t="shared" si="2"/>
        <v>0</v>
      </c>
      <c r="R136" s="53"/>
      <c r="S136" s="45"/>
    </row>
    <row r="137" spans="1:19" s="29" customFormat="1">
      <c r="A137" s="447">
        <v>11.5</v>
      </c>
      <c r="B137" s="866"/>
      <c r="C137" s="867"/>
      <c r="D137" s="537"/>
      <c r="E137" s="548"/>
      <c r="F137" s="548"/>
      <c r="G137" s="538">
        <f>IFERROR(SUM(E137:F137)/SUM($E$138:$F$138),0)</f>
        <v>0</v>
      </c>
      <c r="H137" s="437">
        <f t="shared" si="2"/>
        <v>0</v>
      </c>
      <c r="R137" s="53"/>
      <c r="S137" s="45"/>
    </row>
    <row r="138" spans="1:19" s="29" customFormat="1" ht="15.6">
      <c r="A138" s="412"/>
      <c r="B138" s="325"/>
      <c r="C138" s="323"/>
      <c r="D138" s="330" t="s">
        <v>140</v>
      </c>
      <c r="E138" s="333">
        <f>SUM(E120:E137)</f>
        <v>0</v>
      </c>
      <c r="F138" s="335">
        <f>SUM(F120:F137)</f>
        <v>0</v>
      </c>
      <c r="G138" s="336">
        <f>SUM(G120:G137)</f>
        <v>0</v>
      </c>
      <c r="H138" s="448">
        <f>IFERROR(SUM(H120:H137),0)</f>
        <v>0</v>
      </c>
      <c r="R138" s="53"/>
      <c r="S138" s="45"/>
    </row>
    <row r="139" spans="1:19" s="29" customFormat="1">
      <c r="A139" s="414"/>
      <c r="B139" s="325"/>
      <c r="C139" s="323"/>
      <c r="D139" s="323"/>
      <c r="E139" s="323"/>
      <c r="F139" s="323"/>
      <c r="G139" s="332"/>
      <c r="H139" s="388"/>
      <c r="R139" s="53"/>
      <c r="S139" s="45"/>
    </row>
    <row r="140" spans="1:19" s="29" customFormat="1" ht="46.8">
      <c r="A140" s="868" t="s">
        <v>0</v>
      </c>
      <c r="B140" s="869"/>
      <c r="C140" s="176"/>
      <c r="D140" s="545" t="s">
        <v>58</v>
      </c>
      <c r="E140" s="545" t="s">
        <v>59</v>
      </c>
      <c r="F140" s="870" t="s">
        <v>60</v>
      </c>
      <c r="G140" s="870"/>
      <c r="H140" s="449" t="s">
        <v>63</v>
      </c>
      <c r="K140" s="107" t="s">
        <v>72</v>
      </c>
      <c r="L140" s="107">
        <v>1</v>
      </c>
      <c r="M140" s="107">
        <v>2</v>
      </c>
      <c r="N140" s="107">
        <v>3</v>
      </c>
      <c r="O140" s="107">
        <v>4</v>
      </c>
      <c r="P140" s="107">
        <v>5</v>
      </c>
      <c r="Q140" s="107">
        <v>6</v>
      </c>
      <c r="R140" s="53"/>
      <c r="S140" s="45"/>
    </row>
    <row r="141" spans="1:19" s="29" customFormat="1" ht="15.6">
      <c r="A141" s="450" t="s">
        <v>240</v>
      </c>
      <c r="B141" s="130" t="s">
        <v>148</v>
      </c>
      <c r="C141" s="175"/>
      <c r="D141" s="57"/>
      <c r="E141" s="57"/>
      <c r="F141" s="58"/>
      <c r="G141" s="108"/>
      <c r="H141" s="451"/>
      <c r="K141" s="107" t="s">
        <v>74</v>
      </c>
      <c r="L141" s="107" t="s">
        <v>73</v>
      </c>
      <c r="M141" s="107">
        <v>1</v>
      </c>
      <c r="N141" s="107">
        <v>2</v>
      </c>
      <c r="O141" s="107">
        <v>3</v>
      </c>
      <c r="P141" s="107">
        <v>4</v>
      </c>
      <c r="Q141" s="107">
        <v>4</v>
      </c>
      <c r="R141" s="53"/>
      <c r="S141" s="45"/>
    </row>
    <row r="142" spans="1:19" s="29" customFormat="1">
      <c r="A142" s="391" t="s">
        <v>241</v>
      </c>
      <c r="B142" s="520" t="s">
        <v>442</v>
      </c>
      <c r="C142" s="177" t="s">
        <v>56</v>
      </c>
      <c r="D142" s="854"/>
      <c r="E142" s="854"/>
      <c r="F142" s="892" t="str">
        <f>IF(D142&gt;9,D142/E142," ")</f>
        <v xml:space="preserve"> </v>
      </c>
      <c r="G142" s="892"/>
      <c r="H142" s="437">
        <f>IF(D142="",0,IF(D142&lt;9,2,IF((D142/E142)=0,2,IF((D142/E142)&lt;10%,1.5,IF((D142/E142)&lt;15%,1,IF((D142/E142)&lt;20%,0.5,0))))))</f>
        <v>0</v>
      </c>
      <c r="K142" s="107" t="s">
        <v>75</v>
      </c>
      <c r="L142" s="107" t="s">
        <v>73</v>
      </c>
      <c r="M142" s="107">
        <v>5</v>
      </c>
      <c r="N142" s="107">
        <v>15</v>
      </c>
      <c r="O142" s="107">
        <v>25</v>
      </c>
      <c r="P142" s="107">
        <v>35</v>
      </c>
      <c r="Q142" s="107">
        <v>35</v>
      </c>
      <c r="R142" s="53"/>
      <c r="S142" s="45"/>
    </row>
    <row r="143" spans="1:19" s="29" customFormat="1">
      <c r="A143" s="391" t="s">
        <v>242</v>
      </c>
      <c r="B143" s="520" t="s">
        <v>443</v>
      </c>
      <c r="C143" s="177" t="s">
        <v>57</v>
      </c>
      <c r="D143" s="854"/>
      <c r="E143" s="854"/>
      <c r="F143" s="893"/>
      <c r="G143" s="893"/>
      <c r="H143" s="437">
        <f>IF(E142="",0,IF(E142&lt;15,HLOOKUP(F143,K140:Q147,4,FALSE),IF(E142&lt;45,HLOOKUP(F143,K140:Q147,5,FALSE),IF(E142&lt;90,HLOOKUP(F143,K140:Q147,6,FALSE),IF(E142&lt;135,HLOOKUP(F143,K140:Q147,7,FALSE),IF(E142&gt;=135,HLOOKUP(F143,K140:Q147,8,FALSE),3))))))</f>
        <v>0</v>
      </c>
      <c r="J143" s="55"/>
      <c r="K143" s="107" t="s">
        <v>76</v>
      </c>
      <c r="L143" s="107">
        <v>3</v>
      </c>
      <c r="M143" s="107">
        <v>3</v>
      </c>
      <c r="N143" s="107">
        <v>3</v>
      </c>
      <c r="O143" s="107">
        <v>2.5</v>
      </c>
      <c r="P143" s="107">
        <v>1.5</v>
      </c>
      <c r="Q143" s="107">
        <v>0</v>
      </c>
      <c r="R143" s="53"/>
      <c r="S143" s="45"/>
    </row>
    <row r="144" spans="1:19" s="29" customFormat="1">
      <c r="A144" s="412"/>
      <c r="B144" s="325"/>
      <c r="C144" s="332"/>
      <c r="D144" s="337"/>
      <c r="E144" s="337"/>
      <c r="F144" s="337"/>
      <c r="G144" s="337"/>
      <c r="H144" s="452"/>
      <c r="J144" s="55"/>
      <c r="K144" s="107" t="s">
        <v>77</v>
      </c>
      <c r="L144" s="107">
        <v>3</v>
      </c>
      <c r="M144" s="107">
        <v>3</v>
      </c>
      <c r="N144" s="107">
        <v>2.5</v>
      </c>
      <c r="O144" s="107">
        <v>1.5</v>
      </c>
      <c r="P144" s="107">
        <v>1</v>
      </c>
      <c r="Q144" s="107">
        <v>0</v>
      </c>
      <c r="R144" s="53"/>
      <c r="S144" s="45"/>
    </row>
    <row r="145" spans="1:19" s="29" customFormat="1" ht="15.6">
      <c r="A145" s="412"/>
      <c r="B145" s="338"/>
      <c r="C145" s="332"/>
      <c r="D145" s="332"/>
      <c r="E145" s="332"/>
      <c r="F145" s="323"/>
      <c r="G145" s="339"/>
      <c r="H145" s="453"/>
      <c r="J145" s="55"/>
      <c r="K145" s="107" t="s">
        <v>78</v>
      </c>
      <c r="L145" s="107">
        <v>3</v>
      </c>
      <c r="M145" s="107">
        <v>2.5</v>
      </c>
      <c r="N145" s="107">
        <v>1.5</v>
      </c>
      <c r="O145" s="107">
        <v>1</v>
      </c>
      <c r="P145" s="107">
        <v>0</v>
      </c>
      <c r="Q145" s="107">
        <v>0</v>
      </c>
      <c r="R145" s="53"/>
      <c r="S145" s="45"/>
    </row>
    <row r="146" spans="1:19" s="29" customFormat="1" ht="15.75" customHeight="1">
      <c r="A146" s="876" t="s">
        <v>0</v>
      </c>
      <c r="B146" s="877"/>
      <c r="C146" s="991"/>
      <c r="D146" s="880" t="s">
        <v>4</v>
      </c>
      <c r="E146" s="895" t="s">
        <v>1</v>
      </c>
      <c r="F146" s="881"/>
      <c r="G146" s="896" t="s">
        <v>21</v>
      </c>
      <c r="H146" s="890" t="s">
        <v>63</v>
      </c>
      <c r="J146" s="55"/>
      <c r="K146" s="107" t="s">
        <v>79</v>
      </c>
      <c r="L146" s="107">
        <v>3</v>
      </c>
      <c r="M146" s="107">
        <v>1.5</v>
      </c>
      <c r="N146" s="107">
        <v>1</v>
      </c>
      <c r="O146" s="107">
        <v>0</v>
      </c>
      <c r="P146" s="107">
        <v>0</v>
      </c>
      <c r="Q146" s="107">
        <v>0</v>
      </c>
      <c r="R146" s="53"/>
      <c r="S146" s="45"/>
    </row>
    <row r="147" spans="1:19" s="29" customFormat="1" ht="30" customHeight="1">
      <c r="A147" s="878"/>
      <c r="B147" s="879"/>
      <c r="C147" s="992"/>
      <c r="D147" s="881"/>
      <c r="E147" s="545" t="s">
        <v>65</v>
      </c>
      <c r="F147" s="545" t="s">
        <v>66</v>
      </c>
      <c r="G147" s="897"/>
      <c r="H147" s="891"/>
      <c r="J147" s="55"/>
      <c r="K147" s="107" t="s">
        <v>80</v>
      </c>
      <c r="L147" s="107">
        <v>3</v>
      </c>
      <c r="M147" s="107">
        <v>1</v>
      </c>
      <c r="N147" s="107">
        <v>0</v>
      </c>
      <c r="O147" s="107">
        <v>0</v>
      </c>
      <c r="P147" s="107">
        <v>0</v>
      </c>
      <c r="Q147" s="107">
        <v>0</v>
      </c>
      <c r="R147" s="53"/>
      <c r="S147" s="45"/>
    </row>
    <row r="148" spans="1:19" s="29" customFormat="1" ht="15.6">
      <c r="A148" s="454" t="s">
        <v>243</v>
      </c>
      <c r="B148" s="109" t="s">
        <v>264</v>
      </c>
      <c r="C148" s="110"/>
      <c r="D148" s="110"/>
      <c r="E148" s="110"/>
      <c r="F148" s="114"/>
      <c r="G148" s="115"/>
      <c r="H148" s="455"/>
      <c r="K148" s="107" t="s">
        <v>74</v>
      </c>
      <c r="L148" s="107" t="s">
        <v>73</v>
      </c>
      <c r="M148" s="107">
        <v>1</v>
      </c>
      <c r="N148" s="107">
        <v>2</v>
      </c>
      <c r="O148" s="107">
        <v>3</v>
      </c>
      <c r="P148" s="107">
        <v>4</v>
      </c>
      <c r="Q148" s="107">
        <v>4</v>
      </c>
      <c r="R148" s="53"/>
      <c r="S148" s="45"/>
    </row>
    <row r="149" spans="1:19" s="29" customFormat="1" ht="15.6">
      <c r="A149" s="456" t="s">
        <v>244</v>
      </c>
      <c r="B149" s="158" t="s">
        <v>231</v>
      </c>
      <c r="C149" s="159"/>
      <c r="D149" s="160"/>
      <c r="E149" s="161"/>
      <c r="F149" s="161"/>
      <c r="G149" s="162"/>
      <c r="H149" s="457"/>
      <c r="J149" s="55"/>
      <c r="R149" s="53"/>
      <c r="S149" s="45"/>
    </row>
    <row r="150" spans="1:19" s="29" customFormat="1">
      <c r="A150" s="418" t="s">
        <v>245</v>
      </c>
      <c r="B150" s="885" t="s">
        <v>424</v>
      </c>
      <c r="C150" s="884"/>
      <c r="D150" s="163" t="s">
        <v>51</v>
      </c>
      <c r="E150" s="541">
        <v>2</v>
      </c>
      <c r="F150" s="541">
        <v>3</v>
      </c>
      <c r="G150" s="27"/>
      <c r="H150" s="405">
        <f t="shared" ref="H150:H159" si="3">IF(G150&gt;=80%,F150,IF(G150&lt;65%,0,E150))</f>
        <v>0</v>
      </c>
      <c r="R150" s="53"/>
      <c r="S150" s="45"/>
    </row>
    <row r="151" spans="1:19" s="29" customFormat="1">
      <c r="A151" s="418" t="s">
        <v>246</v>
      </c>
      <c r="B151" s="844" t="s">
        <v>423</v>
      </c>
      <c r="C151" s="845"/>
      <c r="D151" s="164" t="s">
        <v>51</v>
      </c>
      <c r="E151" s="20">
        <v>2</v>
      </c>
      <c r="F151" s="20">
        <v>3</v>
      </c>
      <c r="G151" s="547"/>
      <c r="H151" s="405">
        <f>IF(G151&gt;=80%,F151,IF(G151&lt;65%,0,E151))</f>
        <v>0</v>
      </c>
      <c r="R151" s="53"/>
      <c r="S151" s="45"/>
    </row>
    <row r="152" spans="1:19" s="29" customFormat="1" ht="30">
      <c r="A152" s="839" t="s">
        <v>247</v>
      </c>
      <c r="B152" s="915" t="s">
        <v>448</v>
      </c>
      <c r="C152" s="916"/>
      <c r="D152" s="521" t="s">
        <v>446</v>
      </c>
      <c r="E152" s="907">
        <v>2.5</v>
      </c>
      <c r="F152" s="908"/>
      <c r="G152" s="940"/>
      <c r="H152" s="938">
        <f>IF(G152&gt;=35,E153,IF(G152&gt;=30,E152,0))</f>
        <v>0</v>
      </c>
      <c r="R152" s="53"/>
      <c r="S152" s="45"/>
    </row>
    <row r="153" spans="1:19" s="29" customFormat="1" ht="30">
      <c r="A153" s="841"/>
      <c r="B153" s="917"/>
      <c r="C153" s="918"/>
      <c r="D153" s="521" t="s">
        <v>447</v>
      </c>
      <c r="E153" s="907">
        <v>3</v>
      </c>
      <c r="F153" s="908"/>
      <c r="G153" s="941"/>
      <c r="H153" s="939"/>
      <c r="R153" s="53"/>
      <c r="S153" s="45"/>
    </row>
    <row r="154" spans="1:19" s="29" customFormat="1" ht="31.5" customHeight="1">
      <c r="A154" s="839" t="s">
        <v>248</v>
      </c>
      <c r="B154" s="915" t="s">
        <v>449</v>
      </c>
      <c r="C154" s="933"/>
      <c r="D154" s="165" t="s">
        <v>372</v>
      </c>
      <c r="E154" s="864">
        <v>4</v>
      </c>
      <c r="F154" s="865"/>
      <c r="G154" s="942"/>
      <c r="H154" s="945">
        <f>IF(G154&gt;=80,E154,IF(G154&gt;=70,E155,IF(G154&gt;=60,E156,IF(G154&gt;=50,E157,0))))</f>
        <v>0</v>
      </c>
      <c r="I154" s="913"/>
      <c r="R154" s="53"/>
      <c r="S154" s="45"/>
    </row>
    <row r="155" spans="1:19" s="29" customFormat="1" ht="31.5" customHeight="1">
      <c r="A155" s="840"/>
      <c r="B155" s="934"/>
      <c r="C155" s="935"/>
      <c r="D155" s="165" t="s">
        <v>373</v>
      </c>
      <c r="E155" s="864">
        <v>3</v>
      </c>
      <c r="F155" s="865"/>
      <c r="G155" s="943"/>
      <c r="H155" s="946"/>
      <c r="I155" s="913"/>
      <c r="R155" s="53"/>
      <c r="S155" s="45"/>
    </row>
    <row r="156" spans="1:19" s="29" customFormat="1" ht="31.5" customHeight="1">
      <c r="A156" s="840"/>
      <c r="B156" s="934"/>
      <c r="C156" s="935"/>
      <c r="D156" s="165" t="s">
        <v>411</v>
      </c>
      <c r="E156" s="864">
        <v>2</v>
      </c>
      <c r="F156" s="865"/>
      <c r="G156" s="943"/>
      <c r="H156" s="946"/>
      <c r="I156" s="913"/>
      <c r="R156" s="53"/>
      <c r="S156" s="45"/>
    </row>
    <row r="157" spans="1:19" s="29" customFormat="1" ht="31.5" customHeight="1">
      <c r="A157" s="841"/>
      <c r="B157" s="936"/>
      <c r="C157" s="937"/>
      <c r="D157" s="165" t="s">
        <v>412</v>
      </c>
      <c r="E157" s="864">
        <v>1</v>
      </c>
      <c r="F157" s="865"/>
      <c r="G157" s="944"/>
      <c r="H157" s="947"/>
      <c r="I157" s="913"/>
      <c r="R157" s="53"/>
      <c r="S157" s="45"/>
    </row>
    <row r="158" spans="1:19" s="29" customFormat="1" ht="31.5" customHeight="1">
      <c r="A158" s="839" t="s">
        <v>414</v>
      </c>
      <c r="B158" s="915" t="s">
        <v>444</v>
      </c>
      <c r="C158" s="933"/>
      <c r="D158" s="165" t="s">
        <v>67</v>
      </c>
      <c r="E158" s="376">
        <v>3.5</v>
      </c>
      <c r="F158" s="376">
        <v>4</v>
      </c>
      <c r="G158" s="27"/>
      <c r="H158" s="405">
        <f t="shared" si="3"/>
        <v>0</v>
      </c>
      <c r="I158" s="913"/>
      <c r="R158" s="53"/>
      <c r="S158" s="45"/>
    </row>
    <row r="159" spans="1:19" s="29" customFormat="1" ht="30">
      <c r="A159" s="841"/>
      <c r="B159" s="936"/>
      <c r="C159" s="937"/>
      <c r="D159" s="165" t="s">
        <v>68</v>
      </c>
      <c r="E159" s="376">
        <v>2.5</v>
      </c>
      <c r="F159" s="376">
        <v>3</v>
      </c>
      <c r="G159" s="27"/>
      <c r="H159" s="405">
        <f t="shared" si="3"/>
        <v>0</v>
      </c>
      <c r="R159" s="53"/>
      <c r="S159" s="45"/>
    </row>
    <row r="160" spans="1:19" s="29" customFormat="1">
      <c r="A160" s="522" t="s">
        <v>594</v>
      </c>
      <c r="B160" s="999" t="s">
        <v>421</v>
      </c>
      <c r="C160" s="1000"/>
      <c r="D160" s="523" t="s">
        <v>51</v>
      </c>
      <c r="E160" s="551">
        <v>2</v>
      </c>
      <c r="F160" s="551">
        <v>2.5</v>
      </c>
      <c r="G160" s="27"/>
      <c r="H160" s="298">
        <f>IF(G160&gt;=80%,F160,IF(G160&lt;65%,0,E160))</f>
        <v>0</v>
      </c>
      <c r="R160" s="53"/>
      <c r="S160" s="45"/>
    </row>
    <row r="161" spans="1:19" s="29" customFormat="1" ht="15.6">
      <c r="A161" s="431" t="s">
        <v>249</v>
      </c>
      <c r="B161" s="86" t="s">
        <v>299</v>
      </c>
      <c r="C161" s="93"/>
      <c r="D161" s="160"/>
      <c r="E161" s="161"/>
      <c r="F161" s="161"/>
      <c r="G161" s="162"/>
      <c r="H161" s="457"/>
      <c r="I161" s="172"/>
      <c r="R161" s="53"/>
      <c r="S161" s="45"/>
    </row>
    <row r="162" spans="1:19" s="29" customFormat="1" ht="32.25" customHeight="1">
      <c r="A162" s="418" t="s">
        <v>250</v>
      </c>
      <c r="B162" s="936" t="s">
        <v>597</v>
      </c>
      <c r="C162" s="937"/>
      <c r="D162" s="543" t="s">
        <v>51</v>
      </c>
      <c r="E162" s="541">
        <v>2</v>
      </c>
      <c r="F162" s="541">
        <v>2.5</v>
      </c>
      <c r="G162" s="27"/>
      <c r="H162" s="405">
        <f>IF(G162&gt;=80%,F162,IF(G162&lt;65%,0,E162))</f>
        <v>0</v>
      </c>
      <c r="R162" s="53"/>
      <c r="S162" s="45"/>
    </row>
    <row r="163" spans="1:19" s="29" customFormat="1" ht="29.25" customHeight="1">
      <c r="A163" s="418" t="s">
        <v>251</v>
      </c>
      <c r="B163" s="999" t="s">
        <v>445</v>
      </c>
      <c r="C163" s="1000"/>
      <c r="D163" s="543" t="s">
        <v>51</v>
      </c>
      <c r="E163" s="541">
        <v>2</v>
      </c>
      <c r="F163" s="541">
        <v>2.5</v>
      </c>
      <c r="G163" s="27"/>
      <c r="H163" s="405">
        <f>IF(G163&gt;=80%,F163,IF(G163&lt;65%,0,E163))</f>
        <v>0</v>
      </c>
      <c r="R163" s="53"/>
      <c r="S163" s="45"/>
    </row>
    <row r="164" spans="1:19" s="29" customFormat="1" ht="15.6">
      <c r="A164" s="431">
        <v>15</v>
      </c>
      <c r="B164" s="86" t="s">
        <v>278</v>
      </c>
      <c r="C164" s="93"/>
      <c r="D164" s="160"/>
      <c r="E164" s="161"/>
      <c r="F164" s="161"/>
      <c r="G164" s="162"/>
      <c r="H164" s="457"/>
      <c r="I164" s="172"/>
      <c r="R164" s="53"/>
      <c r="S164" s="45"/>
    </row>
    <row r="165" spans="1:19" s="29" customFormat="1">
      <c r="A165" s="839" t="s">
        <v>252</v>
      </c>
      <c r="B165" s="936" t="s">
        <v>297</v>
      </c>
      <c r="C165" s="937"/>
      <c r="D165" s="919" t="s">
        <v>51</v>
      </c>
      <c r="E165" s="910">
        <v>2.5</v>
      </c>
      <c r="F165" s="910">
        <v>4</v>
      </c>
      <c r="G165" s="899"/>
      <c r="H165" s="945">
        <f>IF(G165&gt;=80%,F165,IF(G165&lt;65%,0,E165))</f>
        <v>0</v>
      </c>
      <c r="I165" s="172"/>
      <c r="R165" s="53"/>
      <c r="S165" s="45"/>
    </row>
    <row r="166" spans="1:19" s="29" customFormat="1" ht="15.6">
      <c r="A166" s="841"/>
      <c r="B166" s="998" t="s">
        <v>298</v>
      </c>
      <c r="C166" s="998"/>
      <c r="D166" s="920"/>
      <c r="E166" s="911"/>
      <c r="F166" s="911"/>
      <c r="G166" s="900"/>
      <c r="H166" s="947"/>
      <c r="I166" s="172"/>
      <c r="R166" s="53"/>
      <c r="S166" s="45"/>
    </row>
    <row r="167" spans="1:19" s="29" customFormat="1">
      <c r="A167" s="839" t="s">
        <v>253</v>
      </c>
      <c r="B167" s="885" t="s">
        <v>146</v>
      </c>
      <c r="C167" s="884"/>
      <c r="D167" s="769" t="s">
        <v>51</v>
      </c>
      <c r="E167" s="906">
        <v>2.5</v>
      </c>
      <c r="F167" s="906">
        <v>4</v>
      </c>
      <c r="G167" s="905"/>
      <c r="H167" s="909">
        <f>IF(G167&gt;=80%,F167,IF(G167&lt;65%,0,E167))</f>
        <v>0</v>
      </c>
      <c r="I167" s="172"/>
      <c r="R167" s="53"/>
      <c r="S167" s="45"/>
    </row>
    <row r="168" spans="1:19" s="29" customFormat="1" ht="15.6">
      <c r="A168" s="841"/>
      <c r="B168" s="998" t="s">
        <v>120</v>
      </c>
      <c r="C168" s="998"/>
      <c r="D168" s="769"/>
      <c r="E168" s="906"/>
      <c r="F168" s="906"/>
      <c r="G168" s="905"/>
      <c r="H168" s="909"/>
      <c r="I168" s="172"/>
      <c r="R168" s="53"/>
      <c r="S168" s="45"/>
    </row>
    <row r="169" spans="1:19" s="29" customFormat="1" ht="15.6">
      <c r="A169" s="443">
        <v>16</v>
      </c>
      <c r="B169" s="106" t="s">
        <v>213</v>
      </c>
      <c r="C169" s="93"/>
      <c r="D169" s="93"/>
      <c r="E169" s="95"/>
      <c r="F169" s="95"/>
      <c r="G169" s="96"/>
      <c r="H169" s="436"/>
      <c r="R169" s="60"/>
      <c r="S169" s="45"/>
    </row>
    <row r="170" spans="1:19" s="29" customFormat="1">
      <c r="A170" s="418" t="s">
        <v>255</v>
      </c>
      <c r="B170" s="826"/>
      <c r="C170" s="821"/>
      <c r="D170" s="111"/>
      <c r="E170" s="537"/>
      <c r="F170" s="537"/>
      <c r="G170" s="67"/>
      <c r="H170" s="542">
        <f>IF(G170&gt;=80%,F170,IF(G170&lt;65%,0,E170))</f>
        <v>0</v>
      </c>
      <c r="R170" s="53"/>
      <c r="S170" s="45"/>
    </row>
    <row r="171" spans="1:19" s="29" customFormat="1">
      <c r="A171" s="418" t="s">
        <v>256</v>
      </c>
      <c r="B171" s="826"/>
      <c r="C171" s="821"/>
      <c r="D171" s="111"/>
      <c r="E171" s="537"/>
      <c r="F171" s="537"/>
      <c r="G171" s="67"/>
      <c r="H171" s="542">
        <f>IF(G171&gt;=80%,F171,IF(G171&lt;65%,0,E171))</f>
        <v>0</v>
      </c>
      <c r="R171" s="53"/>
      <c r="S171" s="45"/>
    </row>
    <row r="172" spans="1:19" s="29" customFormat="1">
      <c r="A172" s="418" t="s">
        <v>257</v>
      </c>
      <c r="B172" s="826"/>
      <c r="C172" s="821"/>
      <c r="D172" s="111"/>
      <c r="E172" s="537"/>
      <c r="F172" s="537"/>
      <c r="G172" s="67"/>
      <c r="H172" s="542">
        <f>IF(G172&gt;=80%,F172,IF(G172&lt;65%,0,E172))</f>
        <v>0</v>
      </c>
      <c r="R172" s="53"/>
      <c r="S172" s="45"/>
    </row>
    <row r="173" spans="1:19" s="29" customFormat="1" ht="15.6">
      <c r="A173" s="425"/>
      <c r="B173" s="325"/>
      <c r="C173" s="323"/>
      <c r="D173" s="323"/>
      <c r="E173" s="323"/>
      <c r="F173" s="327"/>
      <c r="G173" s="328" t="s">
        <v>419</v>
      </c>
      <c r="H173" s="458">
        <f>IFERROR((SUM(H142:H172)),0)</f>
        <v>0</v>
      </c>
      <c r="R173" s="53"/>
      <c r="S173" s="45"/>
    </row>
    <row r="174" spans="1:19" s="29" customFormat="1" ht="15.6" thickBot="1">
      <c r="A174" s="491"/>
      <c r="B174" s="492"/>
      <c r="C174" s="493"/>
      <c r="D174" s="493"/>
      <c r="E174" s="493"/>
      <c r="F174" s="493"/>
      <c r="G174" s="480"/>
      <c r="H174" s="639"/>
      <c r="R174" s="53"/>
      <c r="S174" s="45"/>
    </row>
    <row r="175" spans="1:19" s="29" customFormat="1" ht="30.75" customHeight="1">
      <c r="A175" s="995" t="s">
        <v>0</v>
      </c>
      <c r="B175" s="996"/>
      <c r="C175" s="997"/>
      <c r="D175" s="1011" t="s">
        <v>4</v>
      </c>
      <c r="E175" s="902" t="s">
        <v>1</v>
      </c>
      <c r="F175" s="903"/>
      <c r="G175" s="898" t="s">
        <v>21</v>
      </c>
      <c r="H175" s="888" t="s">
        <v>63</v>
      </c>
      <c r="R175" s="53"/>
      <c r="S175" s="45"/>
    </row>
    <row r="176" spans="1:19" s="29" customFormat="1" ht="15.6">
      <c r="A176" s="878"/>
      <c r="B176" s="879"/>
      <c r="C176" s="992"/>
      <c r="D176" s="1012"/>
      <c r="E176" s="545" t="s">
        <v>121</v>
      </c>
      <c r="F176" s="545" t="s">
        <v>122</v>
      </c>
      <c r="G176" s="870"/>
      <c r="H176" s="889"/>
      <c r="R176" s="53"/>
      <c r="S176" s="45"/>
    </row>
    <row r="177" spans="1:19" s="29" customFormat="1" ht="15.6">
      <c r="A177" s="450" t="s">
        <v>254</v>
      </c>
      <c r="B177" s="109" t="s">
        <v>258</v>
      </c>
      <c r="C177" s="110"/>
      <c r="D177" s="110"/>
      <c r="E177" s="110"/>
      <c r="F177" s="114"/>
      <c r="G177" s="115"/>
      <c r="H177" s="455"/>
      <c r="R177" s="53"/>
      <c r="S177" s="45"/>
    </row>
    <row r="178" spans="1:19" s="29" customFormat="1">
      <c r="A178" s="391" t="s">
        <v>300</v>
      </c>
      <c r="B178" s="885" t="s">
        <v>259</v>
      </c>
      <c r="C178" s="886"/>
      <c r="D178" s="5" t="s">
        <v>51</v>
      </c>
      <c r="E178" s="20">
        <v>-1</v>
      </c>
      <c r="F178" s="20">
        <v>-2</v>
      </c>
      <c r="G178" s="28"/>
      <c r="H178" s="405">
        <f>IF(G178&gt;=30%,F178,IF(G178=0%,0,E178))</f>
        <v>0</v>
      </c>
      <c r="R178" s="53"/>
      <c r="S178" s="45"/>
    </row>
    <row r="179" spans="1:19" s="29" customFormat="1">
      <c r="A179" s="391" t="s">
        <v>301</v>
      </c>
      <c r="B179" s="885" t="s">
        <v>260</v>
      </c>
      <c r="C179" s="886"/>
      <c r="D179" s="5" t="s">
        <v>51</v>
      </c>
      <c r="E179" s="20">
        <v>-1</v>
      </c>
      <c r="F179" s="20">
        <v>-1.5</v>
      </c>
      <c r="G179" s="28"/>
      <c r="H179" s="405">
        <f>IF(G179&gt;=30%,F179,IF(G179=0%,0,E179))</f>
        <v>0</v>
      </c>
      <c r="R179" s="53"/>
      <c r="S179" s="45"/>
    </row>
    <row r="180" spans="1:19" s="29" customFormat="1">
      <c r="A180" s="391" t="s">
        <v>302</v>
      </c>
      <c r="B180" s="885" t="s">
        <v>261</v>
      </c>
      <c r="C180" s="886"/>
      <c r="D180" s="5" t="s">
        <v>51</v>
      </c>
      <c r="E180" s="904">
        <v>-1</v>
      </c>
      <c r="F180" s="904"/>
      <c r="G180" s="547"/>
      <c r="H180" s="405">
        <f>IF(G180&gt;0%,E180,0)</f>
        <v>0</v>
      </c>
      <c r="R180" s="53"/>
      <c r="S180" s="45"/>
    </row>
    <row r="181" spans="1:19" s="29" customFormat="1" ht="15.6">
      <c r="A181" s="425"/>
      <c r="B181" s="325"/>
      <c r="C181" s="323"/>
      <c r="D181" s="323"/>
      <c r="E181" s="323"/>
      <c r="F181" s="327"/>
      <c r="G181" s="328" t="s">
        <v>142</v>
      </c>
      <c r="H181" s="458">
        <f>IFERROR(MAX(SUM(H178:H180),-4),0)</f>
        <v>0</v>
      </c>
      <c r="R181" s="45"/>
      <c r="S181" s="45"/>
    </row>
    <row r="182" spans="1:19" s="29" customFormat="1">
      <c r="A182" s="412"/>
      <c r="B182" s="325"/>
      <c r="C182" s="323"/>
      <c r="D182" s="323"/>
      <c r="E182" s="323"/>
      <c r="F182" s="323"/>
      <c r="G182" s="332"/>
      <c r="H182" s="388"/>
      <c r="R182" s="53"/>
      <c r="S182" s="45"/>
    </row>
    <row r="183" spans="1:19" s="29" customFormat="1" ht="15.6">
      <c r="A183" s="412"/>
      <c r="B183" s="325"/>
      <c r="C183" s="323"/>
      <c r="D183" s="323"/>
      <c r="E183" s="323"/>
      <c r="F183" s="323"/>
      <c r="G183" s="330" t="s">
        <v>141</v>
      </c>
      <c r="H183" s="459">
        <f>IFERROR(MIN(SUM(H115+H138+H173+H181),G86),0)</f>
        <v>0</v>
      </c>
      <c r="R183" s="53"/>
      <c r="S183" s="45"/>
    </row>
    <row r="184" spans="1:19" s="29" customFormat="1" ht="16.2" thickBot="1">
      <c r="A184" s="491"/>
      <c r="B184" s="492"/>
      <c r="C184" s="493"/>
      <c r="D184" s="493"/>
      <c r="E184" s="493"/>
      <c r="F184" s="493"/>
      <c r="G184" s="494"/>
      <c r="H184" s="495"/>
      <c r="R184" s="53"/>
      <c r="S184" s="45"/>
    </row>
    <row r="185" spans="1:19" s="29" customFormat="1" ht="15.6">
      <c r="A185" s="481" t="s">
        <v>64</v>
      </c>
      <c r="B185" s="482"/>
      <c r="C185" s="482"/>
      <c r="D185" s="482"/>
      <c r="E185" s="482"/>
      <c r="F185" s="483" t="s">
        <v>43</v>
      </c>
      <c r="G185" s="484">
        <f>VLOOKUP($A$7,'Manpower allocation'!A4:D11,4,FALSE)*100</f>
        <v>15</v>
      </c>
      <c r="H185" s="485" t="s">
        <v>42</v>
      </c>
      <c r="J185" s="112">
        <f>VLOOKUP($A$7,'Manpower allocation'!A4:D11,4,FALSE)*100</f>
        <v>15</v>
      </c>
      <c r="R185" s="53"/>
      <c r="S185" s="45"/>
    </row>
    <row r="186" spans="1:19" s="29" customFormat="1" ht="15.6">
      <c r="A186" s="412"/>
      <c r="B186" s="331"/>
      <c r="C186" s="323"/>
      <c r="D186" s="323"/>
      <c r="E186" s="323"/>
      <c r="F186" s="323"/>
      <c r="G186" s="332"/>
      <c r="H186" s="388"/>
      <c r="R186" s="53"/>
      <c r="S186" s="45"/>
    </row>
    <row r="187" spans="1:19" s="29" customFormat="1" ht="46.8">
      <c r="A187" s="993" t="s">
        <v>0</v>
      </c>
      <c r="B187" s="994"/>
      <c r="C187" s="113"/>
      <c r="D187" s="539" t="s">
        <v>17</v>
      </c>
      <c r="E187" s="539" t="s">
        <v>125</v>
      </c>
      <c r="F187" s="539" t="s">
        <v>109</v>
      </c>
      <c r="G187" s="539" t="s">
        <v>18</v>
      </c>
      <c r="H187" s="544" t="s">
        <v>63</v>
      </c>
      <c r="R187" s="53"/>
      <c r="S187" s="45"/>
    </row>
    <row r="188" spans="1:19" s="29" customFormat="1" ht="15.6">
      <c r="A188" s="454" t="s">
        <v>265</v>
      </c>
      <c r="B188" s="109" t="s">
        <v>358</v>
      </c>
      <c r="C188" s="110"/>
      <c r="D188" s="110"/>
      <c r="E188" s="110"/>
      <c r="F188" s="114"/>
      <c r="G188" s="115"/>
      <c r="H188" s="455"/>
      <c r="R188" s="53"/>
      <c r="S188" s="45"/>
    </row>
    <row r="189" spans="1:19" s="29" customFormat="1" ht="15.6">
      <c r="A189" s="460">
        <v>1</v>
      </c>
      <c r="B189" s="116" t="s">
        <v>338</v>
      </c>
      <c r="C189" s="117"/>
      <c r="D189" s="118"/>
      <c r="E189" s="118"/>
      <c r="F189" s="118"/>
      <c r="G189" s="118"/>
      <c r="H189" s="461"/>
      <c r="R189" s="53"/>
      <c r="S189" s="45"/>
    </row>
    <row r="190" spans="1:19" s="29" customFormat="1">
      <c r="A190" s="409">
        <v>1.1000000000000001</v>
      </c>
      <c r="B190" s="844" t="s">
        <v>290</v>
      </c>
      <c r="C190" s="845"/>
      <c r="D190" s="20">
        <f>VLOOKUP(A190,'Point Allocation'!$A$46:$J$55,MATCH(A7,'Point Allocation'!$A$46:$J$46,0),0)</f>
        <v>15</v>
      </c>
      <c r="E190" s="38"/>
      <c r="F190" s="38"/>
      <c r="G190" s="31">
        <f>MIN(IFERROR(F190/E190,0),100%)</f>
        <v>0</v>
      </c>
      <c r="H190" s="405">
        <f>D190*G190</f>
        <v>0</v>
      </c>
      <c r="R190" s="53"/>
      <c r="S190" s="45"/>
    </row>
    <row r="191" spans="1:19" s="29" customFormat="1" ht="15.6">
      <c r="A191" s="462">
        <v>2</v>
      </c>
      <c r="B191" s="119" t="s">
        <v>339</v>
      </c>
      <c r="C191" s="120"/>
      <c r="D191" s="32"/>
      <c r="E191" s="33"/>
      <c r="F191" s="33"/>
      <c r="G191" s="34"/>
      <c r="H191" s="463"/>
      <c r="R191" s="53"/>
      <c r="S191" s="45"/>
    </row>
    <row r="192" spans="1:19" s="29" customFormat="1" ht="33" customHeight="1">
      <c r="A192" s="464">
        <v>2.1</v>
      </c>
      <c r="B192" s="969" t="s">
        <v>266</v>
      </c>
      <c r="C192" s="971"/>
      <c r="D192" s="20">
        <f>VLOOKUP(A192,'Point Allocation'!$A$46:$J$55,MATCH(A7,'Point Allocation'!$A$46:$J$46,0),0)</f>
        <v>12</v>
      </c>
      <c r="E192" s="38"/>
      <c r="F192" s="38"/>
      <c r="G192" s="31">
        <f>MIN(IFERROR(F192/E192,0),100%)</f>
        <v>0</v>
      </c>
      <c r="H192" s="405">
        <f>D192*G192</f>
        <v>0</v>
      </c>
      <c r="R192" s="53"/>
      <c r="S192" s="45"/>
    </row>
    <row r="193" spans="1:19" s="29" customFormat="1" ht="15.6">
      <c r="A193" s="460">
        <v>3</v>
      </c>
      <c r="B193" s="116" t="s">
        <v>343</v>
      </c>
      <c r="C193" s="121"/>
      <c r="D193" s="35"/>
      <c r="E193" s="35"/>
      <c r="F193" s="35"/>
      <c r="G193" s="34"/>
      <c r="H193" s="465"/>
      <c r="R193" s="53"/>
      <c r="S193" s="45"/>
    </row>
    <row r="194" spans="1:19" s="29" customFormat="1">
      <c r="A194" s="466">
        <v>3.1</v>
      </c>
      <c r="B194" s="850" t="s">
        <v>451</v>
      </c>
      <c r="C194" s="851"/>
      <c r="D194" s="20">
        <f>VLOOKUP(A194,'Point Allocation'!$A$46:$J$55,MATCH(A7,'Point Allocation'!$A$46:$J$46,0),0)</f>
        <v>4</v>
      </c>
      <c r="E194" s="38"/>
      <c r="F194" s="38"/>
      <c r="G194" s="31">
        <f>MIN(IFERROR(F194/E194,0),100%)</f>
        <v>0</v>
      </c>
      <c r="H194" s="405">
        <f>D194*G194</f>
        <v>0</v>
      </c>
      <c r="R194" s="53"/>
      <c r="S194" s="45"/>
    </row>
    <row r="195" spans="1:19" s="29" customFormat="1" ht="32.25" customHeight="1">
      <c r="A195" s="466">
        <v>3.2</v>
      </c>
      <c r="B195" s="850" t="s">
        <v>452</v>
      </c>
      <c r="C195" s="851"/>
      <c r="D195" s="20">
        <f>VLOOKUP(A195,'Point Allocation'!$A$46:$J$55,MATCH(A7,'Point Allocation'!$A$46:$J$46,0),0)</f>
        <v>4</v>
      </c>
      <c r="E195" s="178"/>
      <c r="F195" s="38"/>
      <c r="G195" s="31">
        <f>MIN(IFERROR(F195/E195,0),100%)</f>
        <v>0</v>
      </c>
      <c r="H195" s="405">
        <f>D195*G195</f>
        <v>0</v>
      </c>
      <c r="R195" s="53"/>
      <c r="S195" s="45"/>
    </row>
    <row r="196" spans="1:19" s="29" customFormat="1" ht="32.25" customHeight="1">
      <c r="A196" s="404">
        <v>3.3</v>
      </c>
      <c r="B196" s="885" t="s">
        <v>170</v>
      </c>
      <c r="C196" s="886"/>
      <c r="D196" s="20">
        <f>VLOOKUP(A196,'Point Allocation'!$A$46:$J$55,MATCH(A7,'Point Allocation'!$A$46:$J$46,0),0)</f>
        <v>4</v>
      </c>
      <c r="E196" s="179"/>
      <c r="F196" s="536"/>
      <c r="G196" s="31">
        <f>MIN(IFERROR(F196/E196,0),100%)</f>
        <v>0</v>
      </c>
      <c r="H196" s="405">
        <f>D196*G196</f>
        <v>0</v>
      </c>
      <c r="R196" s="53"/>
      <c r="S196" s="45"/>
    </row>
    <row r="197" spans="1:19" s="29" customFormat="1" ht="15.6">
      <c r="A197" s="412"/>
      <c r="B197" s="325"/>
      <c r="C197" s="323"/>
      <c r="D197" s="324" t="s">
        <v>6</v>
      </c>
      <c r="E197" s="300">
        <f>MAX(SUM(E190:E196),F197)</f>
        <v>0</v>
      </c>
      <c r="F197" s="300">
        <f>SUM(F190:F196)</f>
        <v>0</v>
      </c>
      <c r="G197" s="340">
        <f>IFERROR(MIN(F197/E197,100%),0)</f>
        <v>0</v>
      </c>
      <c r="H197" s="413">
        <f>IFERROR(SUM(H190:H196),0)</f>
        <v>0</v>
      </c>
      <c r="R197" s="53"/>
      <c r="S197" s="45"/>
    </row>
    <row r="198" spans="1:19" s="29" customFormat="1" ht="15.6">
      <c r="A198" s="412"/>
      <c r="B198" s="338"/>
      <c r="C198" s="341"/>
      <c r="D198" s="342"/>
      <c r="E198" s="341"/>
      <c r="F198" s="341"/>
      <c r="G198" s="343"/>
      <c r="H198" s="467"/>
      <c r="R198" s="53"/>
      <c r="S198" s="45"/>
    </row>
    <row r="199" spans="1:19" s="29" customFormat="1" ht="15.6">
      <c r="A199" s="993" t="s">
        <v>0</v>
      </c>
      <c r="B199" s="994"/>
      <c r="C199" s="982"/>
      <c r="D199" s="901" t="s">
        <v>4</v>
      </c>
      <c r="E199" s="901" t="s">
        <v>1</v>
      </c>
      <c r="F199" s="901"/>
      <c r="G199" s="894" t="s">
        <v>21</v>
      </c>
      <c r="H199" s="887" t="s">
        <v>63</v>
      </c>
      <c r="R199" s="53"/>
      <c r="S199" s="45"/>
    </row>
    <row r="200" spans="1:19" s="29" customFormat="1" ht="30.75" customHeight="1">
      <c r="A200" s="1007"/>
      <c r="B200" s="1008"/>
      <c r="C200" s="983"/>
      <c r="D200" s="901"/>
      <c r="E200" s="539" t="s">
        <v>65</v>
      </c>
      <c r="F200" s="539" t="s">
        <v>66</v>
      </c>
      <c r="G200" s="894"/>
      <c r="H200" s="887"/>
      <c r="R200" s="53"/>
      <c r="S200" s="45"/>
    </row>
    <row r="201" spans="1:19" s="29" customFormat="1" ht="15.6">
      <c r="A201" s="415" t="s">
        <v>271</v>
      </c>
      <c r="B201" s="46" t="s">
        <v>272</v>
      </c>
      <c r="C201" s="57"/>
      <c r="D201" s="57"/>
      <c r="E201" s="57"/>
      <c r="F201" s="58"/>
      <c r="G201" s="108"/>
      <c r="H201" s="451"/>
      <c r="R201" s="53"/>
      <c r="S201" s="45"/>
    </row>
    <row r="202" spans="1:19" s="29" customFormat="1" ht="15.6">
      <c r="A202" s="468">
        <v>4</v>
      </c>
      <c r="B202" s="122" t="s">
        <v>341</v>
      </c>
      <c r="C202" s="120"/>
      <c r="D202" s="123"/>
      <c r="E202" s="124"/>
      <c r="F202" s="124"/>
      <c r="G202" s="125"/>
      <c r="H202" s="469"/>
      <c r="R202" s="53"/>
      <c r="S202" s="45"/>
    </row>
    <row r="203" spans="1:19" s="29" customFormat="1">
      <c r="A203" s="409">
        <v>4.0999999999999996</v>
      </c>
      <c r="B203" s="844" t="s">
        <v>164</v>
      </c>
      <c r="C203" s="845"/>
      <c r="D203" s="5" t="s">
        <v>51</v>
      </c>
      <c r="E203" s="20" t="s">
        <v>50</v>
      </c>
      <c r="F203" s="20">
        <f>VLOOKUP(A203,'Point Allocation'!$A$46:$J$55,MATCH(A7,'Point Allocation'!$A$46:$J$46,0),0)</f>
        <v>1.5</v>
      </c>
      <c r="G203" s="547"/>
      <c r="H203" s="405">
        <f>IF(G203&gt;=80%,F203,0)</f>
        <v>0</v>
      </c>
      <c r="R203" s="53"/>
      <c r="S203" s="45"/>
    </row>
    <row r="204" spans="1:19" s="29" customFormat="1">
      <c r="A204" s="409">
        <v>4.2</v>
      </c>
      <c r="B204" s="844" t="s">
        <v>161</v>
      </c>
      <c r="C204" s="845"/>
      <c r="D204" s="5" t="s">
        <v>51</v>
      </c>
      <c r="E204" s="20" t="s">
        <v>50</v>
      </c>
      <c r="F204" s="20">
        <f>VLOOKUP(A204,'Point Allocation'!$A$46:$J$55,MATCH(A7,'Point Allocation'!$A$46:$J$46,0),0)</f>
        <v>1.5</v>
      </c>
      <c r="G204" s="547"/>
      <c r="H204" s="405">
        <f>IF(G204&gt;=80%,F204,0)</f>
        <v>0</v>
      </c>
      <c r="R204" s="53"/>
      <c r="S204" s="45"/>
    </row>
    <row r="205" spans="1:19" s="29" customFormat="1">
      <c r="A205" s="409">
        <v>4.3</v>
      </c>
      <c r="B205" s="844" t="s">
        <v>155</v>
      </c>
      <c r="C205" s="845"/>
      <c r="D205" s="5" t="s">
        <v>3</v>
      </c>
      <c r="E205" s="20" t="s">
        <v>50</v>
      </c>
      <c r="F205" s="20">
        <f>VLOOKUP(A205,'Point Allocation'!$A$46:$J$55,MATCH(A7,'Point Allocation'!$A$46:$J$46,0),0)</f>
        <v>1.5</v>
      </c>
      <c r="G205" s="547"/>
      <c r="H205" s="405">
        <f>IF(G205&gt;=80%,F205,0)</f>
        <v>0</v>
      </c>
      <c r="R205" s="53"/>
      <c r="S205" s="45"/>
    </row>
    <row r="206" spans="1:19" s="29" customFormat="1">
      <c r="A206" s="470">
        <v>4.4000000000000004</v>
      </c>
      <c r="B206" s="874" t="s">
        <v>270</v>
      </c>
      <c r="C206" s="875"/>
      <c r="D206" s="5" t="s">
        <v>3</v>
      </c>
      <c r="E206" s="20" t="s">
        <v>50</v>
      </c>
      <c r="F206" s="20">
        <f>VLOOKUP(A206,'Point Allocation'!$A$46:$J$55,MATCH(A7,'Point Allocation'!$A$46:$J$46,0),0)</f>
        <v>1.5</v>
      </c>
      <c r="G206" s="547"/>
      <c r="H206" s="405">
        <f>IF(G206&gt;=80%,F206,0)</f>
        <v>0</v>
      </c>
      <c r="R206" s="53"/>
      <c r="S206" s="45"/>
    </row>
    <row r="207" spans="1:19" s="29" customFormat="1" ht="15.6">
      <c r="A207" s="468">
        <v>5</v>
      </c>
      <c r="B207" s="122" t="s">
        <v>213</v>
      </c>
      <c r="C207" s="120"/>
      <c r="D207" s="126"/>
      <c r="E207" s="127"/>
      <c r="F207" s="127"/>
      <c r="G207" s="128"/>
      <c r="H207" s="471"/>
      <c r="R207" s="53"/>
      <c r="S207" s="45"/>
    </row>
    <row r="208" spans="1:19" s="29" customFormat="1">
      <c r="A208" s="411">
        <v>5.0999999999999996</v>
      </c>
      <c r="B208" s="826"/>
      <c r="C208" s="847"/>
      <c r="D208" s="530"/>
      <c r="E208" s="536"/>
      <c r="F208" s="536"/>
      <c r="G208" s="547"/>
      <c r="H208" s="542">
        <f>IF(G208&gt;=80%,F208,IF(G208&lt;65%,0,E208))</f>
        <v>0</v>
      </c>
      <c r="R208" s="53"/>
      <c r="S208" s="45"/>
    </row>
    <row r="209" spans="1:19" s="29" customFormat="1">
      <c r="A209" s="411">
        <v>5.2</v>
      </c>
      <c r="B209" s="826"/>
      <c r="C209" s="847"/>
      <c r="D209" s="530"/>
      <c r="E209" s="536"/>
      <c r="F209" s="536"/>
      <c r="G209" s="547"/>
      <c r="H209" s="542">
        <f>IF(G209&gt;=80%,F209,IF(G209&lt;65%,0,E209))</f>
        <v>0</v>
      </c>
      <c r="R209" s="53"/>
      <c r="S209" s="45"/>
    </row>
    <row r="210" spans="1:19" s="29" customFormat="1">
      <c r="A210" s="411">
        <v>5.3</v>
      </c>
      <c r="B210" s="826"/>
      <c r="C210" s="847"/>
      <c r="D210" s="530"/>
      <c r="E210" s="536"/>
      <c r="F210" s="536"/>
      <c r="G210" s="547"/>
      <c r="H210" s="542">
        <f>IF(G210&gt;=80%,F210,IF(G210&lt;65%,0,E210))</f>
        <v>0</v>
      </c>
      <c r="R210" s="53"/>
      <c r="S210" s="45"/>
    </row>
    <row r="211" spans="1:19" s="29" customFormat="1" ht="15.6">
      <c r="A211" s="412"/>
      <c r="B211" s="344"/>
      <c r="C211" s="344"/>
      <c r="D211" s="332"/>
      <c r="E211" s="332"/>
      <c r="F211" s="332"/>
      <c r="G211" s="330" t="s">
        <v>7</v>
      </c>
      <c r="H211" s="445">
        <f>IFERROR(SUM(H203:H206,H208:H210),0)</f>
        <v>0</v>
      </c>
      <c r="R211" s="53"/>
      <c r="S211" s="45"/>
    </row>
    <row r="212" spans="1:19" s="29" customFormat="1">
      <c r="A212" s="412"/>
      <c r="B212" s="325"/>
      <c r="C212" s="323"/>
      <c r="D212" s="323"/>
      <c r="E212" s="323"/>
      <c r="F212" s="323"/>
      <c r="G212" s="332"/>
      <c r="H212" s="388"/>
      <c r="R212" s="53"/>
      <c r="S212" s="45"/>
    </row>
    <row r="213" spans="1:19" s="29" customFormat="1" ht="15.6">
      <c r="A213" s="993" t="s">
        <v>0</v>
      </c>
      <c r="B213" s="994"/>
      <c r="C213" s="982"/>
      <c r="D213" s="894" t="s">
        <v>4</v>
      </c>
      <c r="E213" s="901" t="s">
        <v>1</v>
      </c>
      <c r="F213" s="901"/>
      <c r="G213" s="894" t="s">
        <v>21</v>
      </c>
      <c r="H213" s="887" t="s">
        <v>63</v>
      </c>
      <c r="R213" s="53"/>
      <c r="S213" s="45"/>
    </row>
    <row r="214" spans="1:19" s="29" customFormat="1" ht="31.2">
      <c r="A214" s="1007"/>
      <c r="B214" s="1008"/>
      <c r="C214" s="983"/>
      <c r="D214" s="901"/>
      <c r="E214" s="539" t="s">
        <v>65</v>
      </c>
      <c r="F214" s="539" t="s">
        <v>66</v>
      </c>
      <c r="G214" s="894"/>
      <c r="H214" s="887"/>
      <c r="R214" s="53"/>
      <c r="S214" s="45"/>
    </row>
    <row r="215" spans="1:19" s="29" customFormat="1" ht="15.6">
      <c r="A215" s="454" t="s">
        <v>273</v>
      </c>
      <c r="B215" s="109" t="s">
        <v>234</v>
      </c>
      <c r="C215" s="129"/>
      <c r="D215" s="130"/>
      <c r="E215" s="130"/>
      <c r="F215" s="131"/>
      <c r="G215" s="132"/>
      <c r="H215" s="472"/>
      <c r="R215" s="53"/>
      <c r="S215" s="45"/>
    </row>
    <row r="216" spans="1:19" s="29" customFormat="1" ht="15.6">
      <c r="A216" s="391" t="s">
        <v>199</v>
      </c>
      <c r="B216" s="844" t="s">
        <v>274</v>
      </c>
      <c r="C216" s="845"/>
      <c r="D216" s="98" t="s">
        <v>2</v>
      </c>
      <c r="E216" s="98">
        <v>1</v>
      </c>
      <c r="F216" s="98">
        <v>2</v>
      </c>
      <c r="G216" s="67"/>
      <c r="H216" s="437">
        <f>IF(G216&gt;=80%,F216,IF(G216&lt;65%,0,E216))</f>
        <v>0</v>
      </c>
      <c r="K216" s="135"/>
      <c r="R216" s="53"/>
      <c r="S216" s="45"/>
    </row>
    <row r="217" spans="1:19" s="29" customFormat="1" ht="31.5" customHeight="1">
      <c r="A217" s="473" t="s">
        <v>200</v>
      </c>
      <c r="B217" s="960" t="s">
        <v>275</v>
      </c>
      <c r="C217" s="962"/>
      <c r="D217" s="98" t="s">
        <v>51</v>
      </c>
      <c r="E217" s="98">
        <v>0.5</v>
      </c>
      <c r="F217" s="98">
        <v>1</v>
      </c>
      <c r="G217" s="67"/>
      <c r="H217" s="437">
        <f>IF(G217&gt;=80%,F217,IF(G217&lt;65%,0,E217))</f>
        <v>0</v>
      </c>
      <c r="R217" s="53"/>
      <c r="S217" s="45"/>
    </row>
    <row r="218" spans="1:19" s="29" customFormat="1" ht="15.6">
      <c r="A218" s="412"/>
      <c r="B218" s="325"/>
      <c r="C218" s="323"/>
      <c r="D218" s="323"/>
      <c r="E218" s="323"/>
      <c r="F218" s="326"/>
      <c r="G218" s="330" t="s">
        <v>110</v>
      </c>
      <c r="H218" s="474">
        <f>IFERROR(SUM(H216:H217),0)</f>
        <v>0</v>
      </c>
      <c r="R218" s="53"/>
      <c r="S218" s="45"/>
    </row>
    <row r="219" spans="1:19" s="29" customFormat="1">
      <c r="A219" s="412"/>
      <c r="B219" s="325"/>
      <c r="C219" s="323"/>
      <c r="D219" s="323"/>
      <c r="E219" s="323"/>
      <c r="F219" s="323"/>
      <c r="G219" s="332"/>
      <c r="H219" s="388"/>
      <c r="R219" s="53"/>
      <c r="S219" s="45"/>
    </row>
    <row r="220" spans="1:19" s="29" customFormat="1" ht="15.6">
      <c r="A220" s="412"/>
      <c r="B220" s="325"/>
      <c r="C220" s="323"/>
      <c r="D220" s="323"/>
      <c r="E220" s="323"/>
      <c r="F220" s="323"/>
      <c r="G220" s="330" t="s">
        <v>111</v>
      </c>
      <c r="H220" s="474">
        <f>IFERROR(MIN(SUM(H197+H211+H218),G185),0)</f>
        <v>0</v>
      </c>
      <c r="R220" s="53"/>
      <c r="S220" s="45"/>
    </row>
    <row r="221" spans="1:19" s="29" customFormat="1" ht="16.2" thickBot="1">
      <c r="A221" s="491"/>
      <c r="B221" s="492"/>
      <c r="C221" s="493"/>
      <c r="D221" s="493"/>
      <c r="E221" s="493"/>
      <c r="F221" s="493"/>
      <c r="G221" s="496"/>
      <c r="H221" s="495"/>
      <c r="R221" s="53"/>
      <c r="S221" s="45"/>
    </row>
    <row r="222" spans="1:19" s="29" customFormat="1" ht="15.6">
      <c r="A222" s="633" t="s">
        <v>137</v>
      </c>
      <c r="B222" s="634"/>
      <c r="C222" s="634"/>
      <c r="D222" s="634"/>
      <c r="E222" s="634"/>
      <c r="F222" s="635" t="s">
        <v>43</v>
      </c>
      <c r="G222" s="636">
        <v>20</v>
      </c>
      <c r="H222" s="637" t="s">
        <v>42</v>
      </c>
      <c r="R222" s="53"/>
      <c r="S222" s="45"/>
    </row>
    <row r="223" spans="1:19" s="29" customFormat="1" ht="15.6">
      <c r="A223" s="412"/>
      <c r="B223" s="347"/>
      <c r="C223" s="323"/>
      <c r="D223" s="323"/>
      <c r="E223" s="323"/>
      <c r="F223" s="323"/>
      <c r="G223" s="332"/>
      <c r="H223" s="388"/>
      <c r="R223" s="53"/>
      <c r="S223" s="45"/>
    </row>
    <row r="224" spans="1:19" s="29" customFormat="1" ht="33" customHeight="1">
      <c r="A224" s="1009" t="s">
        <v>0</v>
      </c>
      <c r="B224" s="1010"/>
      <c r="C224" s="136"/>
      <c r="D224" s="136"/>
      <c r="E224" s="137" t="s">
        <v>4</v>
      </c>
      <c r="F224" s="137" t="s">
        <v>70</v>
      </c>
      <c r="G224" s="138" t="s">
        <v>21</v>
      </c>
      <c r="H224" s="475" t="s">
        <v>63</v>
      </c>
      <c r="R224" s="53"/>
      <c r="S224" s="45"/>
    </row>
    <row r="225" spans="1:19" s="29" customFormat="1" ht="15.6">
      <c r="A225" s="454" t="s">
        <v>276</v>
      </c>
      <c r="B225" s="109" t="s">
        <v>277</v>
      </c>
      <c r="C225" s="110"/>
      <c r="D225" s="110"/>
      <c r="E225" s="110"/>
      <c r="F225" s="58"/>
      <c r="G225" s="139"/>
      <c r="H225" s="476"/>
      <c r="J225" s="134"/>
      <c r="R225" s="53"/>
      <c r="S225" s="45"/>
    </row>
    <row r="226" spans="1:19" s="29" customFormat="1" ht="15.6">
      <c r="A226" s="411">
        <v>1.1000000000000001</v>
      </c>
      <c r="B226" s="836" t="s">
        <v>123</v>
      </c>
      <c r="C226" s="837"/>
      <c r="D226" s="838"/>
      <c r="E226" s="167"/>
      <c r="F226" s="140"/>
      <c r="G226" s="141"/>
      <c r="H226" s="441">
        <f t="shared" ref="H226:H231" si="4">F226*G226</f>
        <v>0</v>
      </c>
      <c r="R226" s="53"/>
      <c r="S226" s="45"/>
    </row>
    <row r="227" spans="1:19" s="29" customFormat="1" ht="15.6">
      <c r="A227" s="406">
        <v>1.2</v>
      </c>
      <c r="B227" s="1004" t="s">
        <v>124</v>
      </c>
      <c r="C227" s="1005"/>
      <c r="D227" s="1006"/>
      <c r="E227" s="167"/>
      <c r="F227" s="140"/>
      <c r="G227" s="141"/>
      <c r="H227" s="441">
        <f t="shared" si="4"/>
        <v>0</v>
      </c>
      <c r="R227" s="53"/>
      <c r="S227" s="45"/>
    </row>
    <row r="228" spans="1:19" s="29" customFormat="1" ht="15.6">
      <c r="A228" s="411">
        <v>1.3</v>
      </c>
      <c r="B228" s="836" t="s">
        <v>115</v>
      </c>
      <c r="C228" s="837"/>
      <c r="D228" s="838"/>
      <c r="E228" s="167"/>
      <c r="F228" s="140"/>
      <c r="G228" s="141"/>
      <c r="H228" s="441">
        <f t="shared" si="4"/>
        <v>0</v>
      </c>
      <c r="R228" s="53"/>
      <c r="S228" s="45"/>
    </row>
    <row r="229" spans="1:19" s="29" customFormat="1" ht="15.6">
      <c r="A229" s="411">
        <v>1.4</v>
      </c>
      <c r="B229" s="836" t="s">
        <v>305</v>
      </c>
      <c r="C229" s="837"/>
      <c r="D229" s="838"/>
      <c r="E229" s="167"/>
      <c r="F229" s="140"/>
      <c r="G229" s="141"/>
      <c r="H229" s="441">
        <f t="shared" si="4"/>
        <v>0</v>
      </c>
      <c r="R229" s="53"/>
      <c r="S229" s="45"/>
    </row>
    <row r="230" spans="1:19" s="29" customFormat="1" ht="15.6">
      <c r="A230" s="411">
        <v>1.5</v>
      </c>
      <c r="B230" s="836"/>
      <c r="C230" s="837"/>
      <c r="D230" s="838"/>
      <c r="E230" s="167"/>
      <c r="F230" s="140"/>
      <c r="G230" s="141"/>
      <c r="H230" s="441">
        <f t="shared" si="4"/>
        <v>0</v>
      </c>
      <c r="R230" s="53"/>
      <c r="S230" s="45"/>
    </row>
    <row r="231" spans="1:19" s="29" customFormat="1" ht="15.6">
      <c r="A231" s="411">
        <v>1.6</v>
      </c>
      <c r="B231" s="836"/>
      <c r="C231" s="837"/>
      <c r="D231" s="838"/>
      <c r="E231" s="111"/>
      <c r="F231" s="142"/>
      <c r="G231" s="67"/>
      <c r="H231" s="441">
        <f t="shared" si="4"/>
        <v>0</v>
      </c>
      <c r="R231" s="53"/>
      <c r="S231" s="45"/>
    </row>
    <row r="232" spans="1:19" s="29" customFormat="1" ht="15.6">
      <c r="A232" s="454" t="s">
        <v>279</v>
      </c>
      <c r="B232" s="109" t="s">
        <v>278</v>
      </c>
      <c r="C232" s="110"/>
      <c r="D232" s="110"/>
      <c r="E232" s="110"/>
      <c r="F232" s="58"/>
      <c r="G232" s="139"/>
      <c r="H232" s="476"/>
      <c r="R232" s="53"/>
      <c r="S232" s="45"/>
    </row>
    <row r="233" spans="1:19" s="29" customFormat="1">
      <c r="A233" s="411">
        <v>2.1</v>
      </c>
      <c r="B233" s="1001" t="s">
        <v>138</v>
      </c>
      <c r="C233" s="1002"/>
      <c r="D233" s="1003"/>
      <c r="E233" s="157" t="s">
        <v>410</v>
      </c>
      <c r="F233" s="527">
        <v>2</v>
      </c>
      <c r="G233" s="528"/>
      <c r="H233" s="441">
        <f>IFERROR(VLOOKUP(E233,K234:L237,2,FALSE),0)</f>
        <v>0</v>
      </c>
      <c r="K233" s="29" t="s">
        <v>410</v>
      </c>
      <c r="L233" s="29">
        <v>0</v>
      </c>
      <c r="R233" s="53"/>
      <c r="S233" s="45"/>
    </row>
    <row r="234" spans="1:19" s="29" customFormat="1" ht="15.6">
      <c r="A234" s="412"/>
      <c r="B234" s="322"/>
      <c r="C234" s="323"/>
      <c r="D234" s="323"/>
      <c r="E234" s="323"/>
      <c r="F234" s="323"/>
      <c r="G234" s="330" t="s">
        <v>139</v>
      </c>
      <c r="H234" s="477">
        <f>IFERROR(MIN(SUM(H226:H233),G222),0)</f>
        <v>0</v>
      </c>
      <c r="K234" s="29" t="s">
        <v>406</v>
      </c>
      <c r="L234" s="29">
        <v>2</v>
      </c>
      <c r="R234" s="45"/>
      <c r="S234" s="45"/>
    </row>
    <row r="235" spans="1:19" s="29" customFormat="1">
      <c r="A235" s="412"/>
      <c r="B235" s="325"/>
      <c r="C235" s="323"/>
      <c r="D235" s="323"/>
      <c r="E235" s="323"/>
      <c r="F235" s="323"/>
      <c r="G235" s="332"/>
      <c r="H235" s="388"/>
      <c r="K235" s="29" t="s">
        <v>407</v>
      </c>
      <c r="L235" s="29">
        <v>2</v>
      </c>
      <c r="R235" s="45"/>
      <c r="S235" s="45"/>
    </row>
    <row r="236" spans="1:19" s="29" customFormat="1" ht="15.6">
      <c r="A236" s="412"/>
      <c r="B236" s="325"/>
      <c r="C236" s="323"/>
      <c r="D236" s="323"/>
      <c r="E236" s="323"/>
      <c r="F236" s="323"/>
      <c r="G236" s="330" t="s">
        <v>69</v>
      </c>
      <c r="H236" s="445">
        <f>IFERROR(H84+H183+H220+H234,0)</f>
        <v>0</v>
      </c>
      <c r="K236" s="29" t="s">
        <v>408</v>
      </c>
      <c r="L236" s="29">
        <v>2</v>
      </c>
      <c r="R236" s="45"/>
      <c r="S236" s="45"/>
    </row>
    <row r="237" spans="1:19" s="29" customFormat="1">
      <c r="A237" s="412"/>
      <c r="B237" s="325"/>
      <c r="C237" s="323"/>
      <c r="D237" s="323"/>
      <c r="E237" s="323"/>
      <c r="F237" s="323"/>
      <c r="G237" s="332"/>
      <c r="H237" s="388"/>
      <c r="K237" s="29" t="s">
        <v>409</v>
      </c>
      <c r="L237" s="29">
        <v>2</v>
      </c>
      <c r="R237" s="53"/>
      <c r="S237" s="45"/>
    </row>
    <row r="238" spans="1:19" s="29" customFormat="1" ht="15.75" customHeight="1">
      <c r="A238" s="412"/>
      <c r="B238" s="345" t="s">
        <v>37</v>
      </c>
      <c r="C238" s="332"/>
      <c r="D238" s="1013" t="s">
        <v>415</v>
      </c>
      <c r="E238" s="1013"/>
      <c r="F238" s="1013"/>
      <c r="G238" s="332"/>
      <c r="H238" s="478"/>
      <c r="R238" s="53"/>
      <c r="S238" s="45"/>
    </row>
    <row r="239" spans="1:19" s="29" customFormat="1" ht="15.6">
      <c r="A239" s="412"/>
      <c r="B239" s="346"/>
      <c r="C239" s="332"/>
      <c r="D239" s="1013"/>
      <c r="E239" s="1013"/>
      <c r="F239" s="1013"/>
      <c r="G239" s="332"/>
      <c r="H239" s="478"/>
      <c r="R239" s="53"/>
      <c r="S239" s="45"/>
    </row>
    <row r="240" spans="1:19" s="29" customFormat="1" ht="15.6">
      <c r="A240" s="479" t="s">
        <v>280</v>
      </c>
      <c r="B240" s="346" t="s">
        <v>100</v>
      </c>
      <c r="C240" s="369">
        <f>IFERROR(SUM(G29+G32+G34+G35+G44+G47),0)</f>
        <v>0</v>
      </c>
      <c r="D240" s="332" t="s">
        <v>284</v>
      </c>
      <c r="E240" s="141"/>
      <c r="F240" s="332" t="s">
        <v>285</v>
      </c>
      <c r="G240" s="144">
        <f>MIN(IFERROR(SUM(C240+E240),0),100%)</f>
        <v>0</v>
      </c>
      <c r="H240" s="388"/>
      <c r="M240" s="53"/>
      <c r="N240" s="45"/>
    </row>
    <row r="241" spans="1:19" s="29" customFormat="1" ht="15.6">
      <c r="A241" s="479" t="s">
        <v>281</v>
      </c>
      <c r="B241" s="346" t="s">
        <v>101</v>
      </c>
      <c r="C241" s="369">
        <f>IFERROR(SUM(F19+G91+G93+G95+G98+G101+G102+G103+G104+G105),0)</f>
        <v>0</v>
      </c>
      <c r="D241" s="332" t="s">
        <v>284</v>
      </c>
      <c r="E241" s="141"/>
      <c r="F241" s="332" t="s">
        <v>285</v>
      </c>
      <c r="G241" s="144">
        <f t="shared" ref="G241:G242" si="5">MIN(IFERROR(SUM(C241+E241),0),100%)</f>
        <v>0</v>
      </c>
      <c r="H241" s="388"/>
      <c r="M241" s="53"/>
      <c r="N241" s="45"/>
    </row>
    <row r="242" spans="1:19" s="29" customFormat="1" ht="15.6">
      <c r="A242" s="479" t="s">
        <v>282</v>
      </c>
      <c r="B242" s="346" t="s">
        <v>102</v>
      </c>
      <c r="C242" s="369">
        <f>IFERROR(G197,0)</f>
        <v>0</v>
      </c>
      <c r="D242" s="332" t="s">
        <v>284</v>
      </c>
      <c r="E242" s="141"/>
      <c r="F242" s="303" t="s">
        <v>285</v>
      </c>
      <c r="G242" s="144">
        <f t="shared" si="5"/>
        <v>0</v>
      </c>
      <c r="H242" s="283"/>
      <c r="I242" s="3"/>
      <c r="J242" s="3"/>
      <c r="K242" s="3"/>
      <c r="L242" s="3"/>
      <c r="M242" s="53"/>
      <c r="N242" s="45"/>
    </row>
    <row r="243" spans="1:19" s="29" customFormat="1" ht="15.6" thickBot="1">
      <c r="A243" s="491"/>
      <c r="B243" s="492"/>
      <c r="C243" s="493"/>
      <c r="D243" s="493"/>
      <c r="E243" s="493"/>
      <c r="F243" s="493"/>
      <c r="G243" s="638"/>
      <c r="H243" s="639"/>
      <c r="K243" s="3"/>
      <c r="L243" s="3"/>
      <c r="M243" s="3"/>
      <c r="N243" s="3"/>
      <c r="O243" s="3"/>
      <c r="P243" s="3"/>
      <c r="Q243" s="3"/>
      <c r="R243" s="53"/>
      <c r="S243" s="45"/>
    </row>
    <row r="244" spans="1:19" s="29" customFormat="1">
      <c r="A244" s="174"/>
      <c r="B244" s="3"/>
      <c r="C244" s="3"/>
      <c r="D244" s="3"/>
      <c r="E244" s="3"/>
      <c r="F244" s="3"/>
      <c r="G244" s="10"/>
      <c r="H244" s="3"/>
      <c r="K244" s="3"/>
      <c r="L244" s="3"/>
      <c r="M244" s="3"/>
      <c r="N244" s="3"/>
      <c r="O244" s="3"/>
      <c r="P244" s="3"/>
      <c r="Q244" s="3"/>
      <c r="R244" s="53"/>
      <c r="S244" s="45"/>
    </row>
    <row r="245" spans="1:19" s="29" customFormat="1">
      <c r="A245" s="174"/>
      <c r="B245" s="3"/>
      <c r="C245" s="3"/>
      <c r="D245" s="3"/>
      <c r="E245" s="3"/>
      <c r="F245" s="3"/>
      <c r="G245" s="10"/>
      <c r="H245" s="3"/>
      <c r="K245" s="3"/>
      <c r="L245" s="3"/>
      <c r="M245" s="3"/>
      <c r="N245" s="3"/>
      <c r="O245" s="3"/>
      <c r="P245" s="3"/>
      <c r="Q245" s="3"/>
      <c r="R245" s="53"/>
      <c r="S245" s="45"/>
    </row>
    <row r="246" spans="1:19" s="29" customFormat="1">
      <c r="A246" s="174"/>
      <c r="B246" s="3"/>
      <c r="C246" s="3"/>
      <c r="D246" s="3"/>
      <c r="E246" s="3"/>
      <c r="F246" s="3"/>
      <c r="G246" s="10"/>
      <c r="H246" s="3"/>
      <c r="K246" s="3"/>
      <c r="L246" s="3"/>
      <c r="M246" s="3"/>
      <c r="N246" s="3"/>
      <c r="O246" s="3"/>
      <c r="P246" s="3"/>
      <c r="Q246" s="3"/>
      <c r="R246" s="53"/>
      <c r="S246" s="45"/>
    </row>
    <row r="247" spans="1:19" s="29" customFormat="1">
      <c r="A247" s="174"/>
      <c r="B247" s="3"/>
      <c r="C247" s="3"/>
      <c r="D247" s="3"/>
      <c r="E247" s="3"/>
      <c r="F247" s="3"/>
      <c r="G247" s="10"/>
      <c r="H247" s="3"/>
      <c r="K247" s="3"/>
      <c r="L247" s="3"/>
      <c r="M247" s="3"/>
      <c r="N247" s="3"/>
      <c r="O247" s="3"/>
      <c r="P247" s="3"/>
      <c r="Q247" s="3"/>
      <c r="R247" s="45"/>
      <c r="S247" s="45"/>
    </row>
    <row r="248" spans="1:19" s="29" customFormat="1">
      <c r="A248" s="174"/>
      <c r="B248" s="3"/>
      <c r="C248" s="3"/>
      <c r="D248" s="3"/>
      <c r="E248" s="3"/>
      <c r="F248" s="3"/>
      <c r="G248" s="10"/>
      <c r="H248" s="3"/>
      <c r="K248" s="3"/>
      <c r="L248" s="3"/>
      <c r="M248" s="3"/>
      <c r="N248" s="3"/>
      <c r="O248" s="3"/>
      <c r="P248" s="3"/>
      <c r="Q248" s="3"/>
      <c r="R248" s="45"/>
      <c r="S248" s="45"/>
    </row>
    <row r="249" spans="1:19" s="29" customFormat="1">
      <c r="A249" s="174"/>
      <c r="B249" s="3"/>
      <c r="C249" s="3"/>
      <c r="D249" s="3"/>
      <c r="E249" s="3"/>
      <c r="F249" s="3"/>
      <c r="G249" s="10"/>
      <c r="H249" s="3"/>
      <c r="K249" s="3"/>
      <c r="L249" s="3"/>
      <c r="M249" s="3"/>
      <c r="N249" s="3"/>
      <c r="O249" s="3"/>
      <c r="P249" s="3"/>
      <c r="Q249" s="3"/>
      <c r="R249" s="45"/>
      <c r="S249" s="45"/>
    </row>
    <row r="250" spans="1:19" s="29" customFormat="1">
      <c r="A250" s="174"/>
      <c r="B250" s="3"/>
      <c r="C250" s="3"/>
      <c r="D250" s="3"/>
      <c r="E250" s="3"/>
      <c r="F250" s="3"/>
      <c r="G250" s="10"/>
      <c r="H250" s="3"/>
      <c r="K250" s="3"/>
      <c r="L250" s="3"/>
      <c r="M250" s="3"/>
      <c r="N250" s="3"/>
      <c r="O250" s="3"/>
      <c r="P250" s="3"/>
      <c r="Q250" s="3"/>
      <c r="R250" s="45"/>
      <c r="S250" s="45"/>
    </row>
  </sheetData>
  <sheetProtection algorithmName="SHA-512" hashValue="uiz7E/M3AMKgc0Zp7tXWYPjnPEbCaucQwgVYd0w0bWFaOWUnUCJR80236TchkJu05kdDf14pLL/EPAAOwET1Jw==" saltValue="k7cf0JiClMt58bE1gthhMQ==" spinCount="100000" sheet="1" selectLockedCells="1"/>
  <mergeCells count="228">
    <mergeCell ref="B208:C208"/>
    <mergeCell ref="A213:B214"/>
    <mergeCell ref="C213:C214"/>
    <mergeCell ref="D213:D214"/>
    <mergeCell ref="E213:F213"/>
    <mergeCell ref="G213:G214"/>
    <mergeCell ref="H213:H214"/>
    <mergeCell ref="B216:C216"/>
    <mergeCell ref="A224:B224"/>
    <mergeCell ref="A175:B176"/>
    <mergeCell ref="C175:C176"/>
    <mergeCell ref="D175:D176"/>
    <mergeCell ref="E175:F175"/>
    <mergeCell ref="G175:G176"/>
    <mergeCell ref="H175:H176"/>
    <mergeCell ref="B178:C178"/>
    <mergeCell ref="E180:F180"/>
    <mergeCell ref="B172:C172"/>
    <mergeCell ref="A126:A127"/>
    <mergeCell ref="B126:C126"/>
    <mergeCell ref="D126:D127"/>
    <mergeCell ref="E126:E127"/>
    <mergeCell ref="F126:F127"/>
    <mergeCell ref="B129:C129"/>
    <mergeCell ref="B133:C133"/>
    <mergeCell ref="A140:B140"/>
    <mergeCell ref="F140:G140"/>
    <mergeCell ref="D165:D166"/>
    <mergeCell ref="E165:E166"/>
    <mergeCell ref="F165:F166"/>
    <mergeCell ref="G165:G166"/>
    <mergeCell ref="H165:H166"/>
    <mergeCell ref="F142:G142"/>
    <mergeCell ref="A146:B147"/>
    <mergeCell ref="C146:C147"/>
    <mergeCell ref="D146:D147"/>
    <mergeCell ref="G93:G94"/>
    <mergeCell ref="H93:H94"/>
    <mergeCell ref="A95:A96"/>
    <mergeCell ref="E95:E96"/>
    <mergeCell ref="F95:F96"/>
    <mergeCell ref="G95:G96"/>
    <mergeCell ref="H95:H96"/>
    <mergeCell ref="F122:F123"/>
    <mergeCell ref="G122:G123"/>
    <mergeCell ref="H122:H123"/>
    <mergeCell ref="A98:A99"/>
    <mergeCell ref="B98:D98"/>
    <mergeCell ref="E98:E99"/>
    <mergeCell ref="F98:F99"/>
    <mergeCell ref="B101:D101"/>
    <mergeCell ref="B108:D108"/>
    <mergeCell ref="B112:D112"/>
    <mergeCell ref="B120:C120"/>
    <mergeCell ref="A122:A123"/>
    <mergeCell ref="B122:C122"/>
    <mergeCell ref="D122:D123"/>
    <mergeCell ref="G98:G99"/>
    <mergeCell ref="H98:H99"/>
    <mergeCell ref="B105:D105"/>
    <mergeCell ref="H58:H59"/>
    <mergeCell ref="H37:H42"/>
    <mergeCell ref="B42:D42"/>
    <mergeCell ref="B47:D47"/>
    <mergeCell ref="B51:D51"/>
    <mergeCell ref="B205:C205"/>
    <mergeCell ref="B206:C206"/>
    <mergeCell ref="B195:C195"/>
    <mergeCell ref="B196:C196"/>
    <mergeCell ref="A187:B187"/>
    <mergeCell ref="B190:C190"/>
    <mergeCell ref="B192:C192"/>
    <mergeCell ref="B194:C194"/>
    <mergeCell ref="A199:B200"/>
    <mergeCell ref="C199:C200"/>
    <mergeCell ref="D199:D200"/>
    <mergeCell ref="B203:C203"/>
    <mergeCell ref="B179:C179"/>
    <mergeCell ref="B180:C180"/>
    <mergeCell ref="B91:D91"/>
    <mergeCell ref="A93:A94"/>
    <mergeCell ref="B93:D93"/>
    <mergeCell ref="E93:E94"/>
    <mergeCell ref="F93:F94"/>
    <mergeCell ref="H29:H30"/>
    <mergeCell ref="B30:D30"/>
    <mergeCell ref="B32:D32"/>
    <mergeCell ref="B34:D34"/>
    <mergeCell ref="A35:A36"/>
    <mergeCell ref="B35:D36"/>
    <mergeCell ref="E35:E36"/>
    <mergeCell ref="H35:H36"/>
    <mergeCell ref="B50:D50"/>
    <mergeCell ref="B38:D38"/>
    <mergeCell ref="B39:D39"/>
    <mergeCell ref="B40:D40"/>
    <mergeCell ref="B80:C80"/>
    <mergeCell ref="B65:C65"/>
    <mergeCell ref="B103:D103"/>
    <mergeCell ref="B104:D104"/>
    <mergeCell ref="D58:D59"/>
    <mergeCell ref="B95:D95"/>
    <mergeCell ref="B102:D102"/>
    <mergeCell ref="D66:D69"/>
    <mergeCell ref="B94:D94"/>
    <mergeCell ref="B64:C64"/>
    <mergeCell ref="B96:D96"/>
    <mergeCell ref="B99:D99"/>
    <mergeCell ref="B63:C63"/>
    <mergeCell ref="B68:C68"/>
    <mergeCell ref="B81:C81"/>
    <mergeCell ref="B70:C70"/>
    <mergeCell ref="B71:C71"/>
    <mergeCell ref="B73:C73"/>
    <mergeCell ref="B77:C77"/>
    <mergeCell ref="B79:C79"/>
    <mergeCell ref="B74:C74"/>
    <mergeCell ref="E71:F71"/>
    <mergeCell ref="B75:C75"/>
    <mergeCell ref="B46:D46"/>
    <mergeCell ref="B45:D45"/>
    <mergeCell ref="B53:D53"/>
    <mergeCell ref="B37:D37"/>
    <mergeCell ref="B41:D41"/>
    <mergeCell ref="B55:D55"/>
    <mergeCell ref="A58:B59"/>
    <mergeCell ref="B61:C61"/>
    <mergeCell ref="B67:C67"/>
    <mergeCell ref="B69:C69"/>
    <mergeCell ref="B66:C66"/>
    <mergeCell ref="E58:F58"/>
    <mergeCell ref="B54:D54"/>
    <mergeCell ref="B22:C22"/>
    <mergeCell ref="B62:C62"/>
    <mergeCell ref="B29:D29"/>
    <mergeCell ref="A4:B4"/>
    <mergeCell ref="A7:B7"/>
    <mergeCell ref="D7:G7"/>
    <mergeCell ref="D11:D12"/>
    <mergeCell ref="E11:E12"/>
    <mergeCell ref="F11:F12"/>
    <mergeCell ref="B14:C14"/>
    <mergeCell ref="B15:C15"/>
    <mergeCell ref="B16:C16"/>
    <mergeCell ref="A11:B12"/>
    <mergeCell ref="B44:D44"/>
    <mergeCell ref="B17:C17"/>
    <mergeCell ref="B19:C19"/>
    <mergeCell ref="B20:C20"/>
    <mergeCell ref="B21:C21"/>
    <mergeCell ref="E37:E42"/>
    <mergeCell ref="G58:G59"/>
    <mergeCell ref="A29:A30"/>
    <mergeCell ref="E29:E30"/>
    <mergeCell ref="F29:F30"/>
    <mergeCell ref="G29:G30"/>
    <mergeCell ref="R101:R102"/>
    <mergeCell ref="E122:E123"/>
    <mergeCell ref="B130:C130"/>
    <mergeCell ref="B137:C137"/>
    <mergeCell ref="F143:G143"/>
    <mergeCell ref="B134:C134"/>
    <mergeCell ref="B135:C135"/>
    <mergeCell ref="B136:C136"/>
    <mergeCell ref="B151:C151"/>
    <mergeCell ref="H146:H147"/>
    <mergeCell ref="B150:C150"/>
    <mergeCell ref="B110:D110"/>
    <mergeCell ref="B114:D114"/>
    <mergeCell ref="B124:C124"/>
    <mergeCell ref="B123:C123"/>
    <mergeCell ref="B113:D113"/>
    <mergeCell ref="B109:D109"/>
    <mergeCell ref="B127:C127"/>
    <mergeCell ref="G126:G127"/>
    <mergeCell ref="H126:H127"/>
    <mergeCell ref="E146:F146"/>
    <mergeCell ref="G146:G147"/>
    <mergeCell ref="D142:D143"/>
    <mergeCell ref="E142:E143"/>
    <mergeCell ref="B171:C171"/>
    <mergeCell ref="A152:A153"/>
    <mergeCell ref="B152:C153"/>
    <mergeCell ref="E152:F152"/>
    <mergeCell ref="G152:G153"/>
    <mergeCell ref="H152:H153"/>
    <mergeCell ref="A154:A157"/>
    <mergeCell ref="B154:C157"/>
    <mergeCell ref="G154:G157"/>
    <mergeCell ref="E156:F156"/>
    <mergeCell ref="E157:F157"/>
    <mergeCell ref="E155:F155"/>
    <mergeCell ref="H154:H157"/>
    <mergeCell ref="E153:F153"/>
    <mergeCell ref="E154:F154"/>
    <mergeCell ref="B160:C160"/>
    <mergeCell ref="A167:A168"/>
    <mergeCell ref="D167:D168"/>
    <mergeCell ref="E167:E168"/>
    <mergeCell ref="F167:F168"/>
    <mergeCell ref="G167:G168"/>
    <mergeCell ref="H167:H168"/>
    <mergeCell ref="B170:C170"/>
    <mergeCell ref="B165:C165"/>
    <mergeCell ref="B226:D226"/>
    <mergeCell ref="B233:D233"/>
    <mergeCell ref="D238:F239"/>
    <mergeCell ref="I154:I158"/>
    <mergeCell ref="A158:A159"/>
    <mergeCell ref="B158:C159"/>
    <mergeCell ref="B162:C162"/>
    <mergeCell ref="A165:A166"/>
    <mergeCell ref="B217:C217"/>
    <mergeCell ref="B228:D228"/>
    <mergeCell ref="B230:D230"/>
    <mergeCell ref="B231:D231"/>
    <mergeCell ref="B229:D229"/>
    <mergeCell ref="B227:D227"/>
    <mergeCell ref="E199:F199"/>
    <mergeCell ref="G199:G200"/>
    <mergeCell ref="H199:H200"/>
    <mergeCell ref="B163:C163"/>
    <mergeCell ref="B204:C204"/>
    <mergeCell ref="B209:C209"/>
    <mergeCell ref="B210:C210"/>
    <mergeCell ref="B167:C167"/>
    <mergeCell ref="B168:C168"/>
    <mergeCell ref="B166:C166"/>
  </mergeCells>
  <dataValidations count="3">
    <dataValidation type="list" allowBlank="1" showInputMessage="1" showErrorMessage="1" sqref="E233" xr:uid="{01DB1246-C546-4A48-A8E7-757BFD553D1F}">
      <formula1>$K$233:$K$237</formula1>
    </dataValidation>
    <dataValidation type="list" allowBlank="1" showInputMessage="1" showErrorMessage="1" sqref="F143:G143" xr:uid="{745097ED-A551-4F7E-9C93-4D3B0C5E9422}">
      <formula1>$L$140:$Q$140</formula1>
    </dataValidation>
    <dataValidation type="list" allowBlank="1" showInputMessage="1" showErrorMessage="1" sqref="A7:B7" xr:uid="{13A6AD37-7326-49B6-9999-159EC3582105}">
      <formula1>$K$1:$K$6</formula1>
    </dataValidation>
  </dataValidations>
  <pageMargins left="0.25" right="0.25" top="0.75" bottom="0.75" header="0.3" footer="0.3"/>
  <pageSetup paperSize="9" scale="60" fitToHeight="0" orientation="portrait" r:id="rId1"/>
  <headerFooter>
    <oddFooter>&amp;F</oddFooter>
  </headerFooter>
  <rowBreaks count="4" manualBreakCount="4">
    <brk id="57" max="12" man="1"/>
    <brk id="116" max="12" man="1"/>
    <brk id="174" max="12" man="1"/>
    <brk id="221"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73"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8" width="0" style="3" hidden="1" customWidth="1"/>
    <col min="19" max="16384" width="9.109375" style="3"/>
  </cols>
  <sheetData>
    <row r="1" spans="1:16" ht="15.6">
      <c r="A1" s="377" t="s">
        <v>90</v>
      </c>
      <c r="B1" s="378"/>
      <c r="C1" s="378"/>
      <c r="D1" s="378"/>
      <c r="E1" s="378"/>
      <c r="F1" s="378"/>
      <c r="G1" s="378"/>
      <c r="H1" s="379"/>
      <c r="K1" s="3" t="s">
        <v>41</v>
      </c>
    </row>
    <row r="2" spans="1:16">
      <c r="A2" s="380"/>
      <c r="B2" s="281"/>
      <c r="C2" s="281"/>
      <c r="D2" s="281"/>
      <c r="E2" s="281"/>
      <c r="F2" s="281"/>
      <c r="G2" s="282"/>
      <c r="H2" s="283"/>
      <c r="J2" s="148"/>
      <c r="K2" s="148" t="s">
        <v>428</v>
      </c>
    </row>
    <row r="3" spans="1:16" ht="15.6">
      <c r="A3" s="381" t="s">
        <v>378</v>
      </c>
      <c r="B3" s="281"/>
      <c r="C3" s="281"/>
      <c r="D3" s="349" t="s">
        <v>143</v>
      </c>
      <c r="E3" s="349" t="s">
        <v>144</v>
      </c>
      <c r="F3" s="349" t="s">
        <v>145</v>
      </c>
      <c r="G3" s="306" t="s">
        <v>105</v>
      </c>
      <c r="H3" s="292" t="s">
        <v>63</v>
      </c>
      <c r="J3" s="148"/>
      <c r="K3" s="148" t="s">
        <v>45</v>
      </c>
    </row>
    <row r="4" spans="1:16" ht="15.6">
      <c r="A4" s="862">
        <f>Summary!A6</f>
        <v>0</v>
      </c>
      <c r="B4" s="863"/>
      <c r="C4" s="281"/>
      <c r="D4" s="78">
        <f>H84</f>
        <v>0</v>
      </c>
      <c r="E4" s="166">
        <f>H183</f>
        <v>0</v>
      </c>
      <c r="F4" s="133">
        <f>H220</f>
        <v>0</v>
      </c>
      <c r="G4" s="143">
        <f>H234</f>
        <v>0</v>
      </c>
      <c r="H4" s="382">
        <f>H236</f>
        <v>0</v>
      </c>
      <c r="J4" s="148"/>
      <c r="K4" s="148" t="s">
        <v>15</v>
      </c>
    </row>
    <row r="5" spans="1:16">
      <c r="A5" s="380"/>
      <c r="B5" s="281"/>
      <c r="C5" s="281"/>
      <c r="D5" s="281"/>
      <c r="E5" s="281"/>
      <c r="F5" s="281"/>
      <c r="G5" s="282"/>
      <c r="H5" s="283"/>
      <c r="J5" s="148"/>
      <c r="K5" s="148" t="s">
        <v>16</v>
      </c>
    </row>
    <row r="6" spans="1:16" s="4" customFormat="1" ht="15.6">
      <c r="A6" s="381" t="s">
        <v>91</v>
      </c>
      <c r="B6" s="313"/>
      <c r="C6" s="313"/>
      <c r="D6" s="314" t="s">
        <v>35</v>
      </c>
      <c r="E6" s="281"/>
      <c r="F6" s="281"/>
      <c r="G6" s="282"/>
      <c r="H6" s="283"/>
      <c r="J6" s="148"/>
      <c r="K6" s="148" t="s">
        <v>427</v>
      </c>
      <c r="L6" s="3"/>
      <c r="M6" s="3"/>
      <c r="N6" s="3"/>
    </row>
    <row r="7" spans="1:16" ht="15.75" customHeight="1">
      <c r="A7" s="842" t="s">
        <v>428</v>
      </c>
      <c r="B7" s="843"/>
      <c r="D7" s="835">
        <f>Summary!A101</f>
        <v>0</v>
      </c>
      <c r="E7" s="785"/>
      <c r="F7" s="785"/>
      <c r="G7" s="786"/>
      <c r="H7" s="383"/>
      <c r="J7" s="29"/>
      <c r="K7" s="29" t="s">
        <v>426</v>
      </c>
    </row>
    <row r="8" spans="1:16" ht="15.6" thickBot="1">
      <c r="A8" s="380"/>
      <c r="B8" s="315"/>
      <c r="C8" s="281"/>
      <c r="D8" s="281"/>
      <c r="E8" s="281"/>
      <c r="F8" s="281"/>
      <c r="G8" s="282"/>
      <c r="H8" s="283"/>
    </row>
    <row r="9" spans="1:16" ht="16.2" thickBot="1">
      <c r="A9" s="384" t="s">
        <v>126</v>
      </c>
      <c r="B9" s="145"/>
      <c r="C9" s="145"/>
      <c r="D9" s="145"/>
      <c r="E9" s="145"/>
      <c r="F9" s="146"/>
      <c r="G9" s="16"/>
      <c r="H9" s="385"/>
    </row>
    <row r="10" spans="1:16">
      <c r="A10" s="380"/>
      <c r="B10" s="316"/>
      <c r="C10" s="281"/>
      <c r="D10" s="281"/>
      <c r="E10" s="281"/>
      <c r="F10" s="281"/>
      <c r="G10" s="282"/>
      <c r="H10" s="283"/>
    </row>
    <row r="11" spans="1:16" ht="15.75" customHeight="1">
      <c r="A11" s="963" t="s">
        <v>0</v>
      </c>
      <c r="B11" s="964"/>
      <c r="C11" s="153"/>
      <c r="D11" s="985" t="s">
        <v>4</v>
      </c>
      <c r="E11" s="984" t="s">
        <v>81</v>
      </c>
      <c r="F11" s="984" t="s">
        <v>21</v>
      </c>
      <c r="G11" s="317"/>
      <c r="H11" s="386"/>
    </row>
    <row r="12" spans="1:16" ht="15.75" customHeight="1">
      <c r="A12" s="965"/>
      <c r="B12" s="966"/>
      <c r="C12" s="154"/>
      <c r="D12" s="986"/>
      <c r="E12" s="984"/>
      <c r="F12" s="984"/>
      <c r="G12" s="317"/>
      <c r="H12" s="386"/>
    </row>
    <row r="13" spans="1:16" s="29" customFormat="1" ht="15.6">
      <c r="A13" s="387" t="s">
        <v>128</v>
      </c>
      <c r="B13" s="180"/>
      <c r="C13" s="180"/>
      <c r="D13" s="180"/>
      <c r="E13" s="183"/>
      <c r="F13" s="183"/>
      <c r="G13" s="318"/>
      <c r="H13" s="388"/>
      <c r="O13" s="45"/>
      <c r="P13" s="45"/>
    </row>
    <row r="14" spans="1:16">
      <c r="A14" s="389">
        <v>1</v>
      </c>
      <c r="B14" s="987" t="s">
        <v>287</v>
      </c>
      <c r="C14" s="851"/>
      <c r="D14" s="149" t="s">
        <v>2</v>
      </c>
      <c r="E14" s="54" t="s">
        <v>50</v>
      </c>
      <c r="F14" s="30"/>
      <c r="G14" s="278"/>
      <c r="H14" s="304"/>
      <c r="I14" s="148" t="s">
        <v>143</v>
      </c>
      <c r="K14" s="152" t="str">
        <f>IF(F14&lt;65%,"Min. 65% coverage"," ")</f>
        <v>Min. 65% coverage</v>
      </c>
    </row>
    <row r="15" spans="1:16" ht="30.75" customHeight="1">
      <c r="A15" s="389">
        <v>2</v>
      </c>
      <c r="B15" s="987" t="s">
        <v>376</v>
      </c>
      <c r="C15" s="851"/>
      <c r="D15" s="150" t="s">
        <v>51</v>
      </c>
      <c r="E15" s="31" t="s">
        <v>50</v>
      </c>
      <c r="F15" s="547"/>
      <c r="G15" s="278"/>
      <c r="H15" s="283"/>
      <c r="I15" s="148" t="s">
        <v>144</v>
      </c>
      <c r="K15" s="152" t="str">
        <f>IF(F15&lt;65%,"Min. 80% coverage"," ")</f>
        <v>Min. 80% coverage</v>
      </c>
    </row>
    <row r="16" spans="1:16" ht="15" customHeight="1">
      <c r="A16" s="389">
        <v>3</v>
      </c>
      <c r="B16" s="987" t="s">
        <v>375</v>
      </c>
      <c r="C16" s="851"/>
      <c r="D16" s="150" t="s">
        <v>51</v>
      </c>
      <c r="E16" s="31" t="s">
        <v>50</v>
      </c>
      <c r="F16" s="547"/>
      <c r="G16" s="278"/>
      <c r="H16" s="386"/>
      <c r="I16" s="3" t="s">
        <v>143</v>
      </c>
      <c r="K16" s="152" t="str">
        <f>IF(F16&lt;65%,"Min. 65% coverage"," ")</f>
        <v>Min. 65% coverage</v>
      </c>
    </row>
    <row r="17" spans="1:19">
      <c r="A17" s="389">
        <v>4</v>
      </c>
      <c r="B17" s="886" t="s">
        <v>191</v>
      </c>
      <c r="C17" s="884"/>
      <c r="D17" s="147" t="s">
        <v>3</v>
      </c>
      <c r="E17" s="31" t="s">
        <v>50</v>
      </c>
      <c r="F17" s="547"/>
      <c r="G17" s="278"/>
      <c r="H17" s="386"/>
      <c r="I17" s="3" t="s">
        <v>145</v>
      </c>
      <c r="K17" s="152" t="str">
        <f>IF(F17&lt;65%,"Min. 65% coverage"," ")</f>
        <v>Min. 65% coverage</v>
      </c>
    </row>
    <row r="18" spans="1:19" s="29" customFormat="1" ht="15.6">
      <c r="A18" s="390" t="s">
        <v>127</v>
      </c>
      <c r="B18" s="180"/>
      <c r="C18" s="180"/>
      <c r="D18" s="180"/>
      <c r="E18" s="181"/>
      <c r="F18" s="182"/>
      <c r="G18" s="319"/>
      <c r="H18" s="388"/>
      <c r="K18" s="10"/>
      <c r="O18" s="45"/>
      <c r="P18" s="45"/>
    </row>
    <row r="19" spans="1:19" ht="32.25" customHeight="1">
      <c r="A19" s="391">
        <v>5</v>
      </c>
      <c r="B19" s="873" t="s">
        <v>288</v>
      </c>
      <c r="C19" s="989"/>
      <c r="D19" s="151" t="s">
        <v>3</v>
      </c>
      <c r="E19" s="536"/>
      <c r="F19" s="31">
        <f>IFERROR(E19/$F$115,0)</f>
        <v>0</v>
      </c>
      <c r="G19" s="278"/>
      <c r="H19" s="386"/>
      <c r="I19" s="3" t="s">
        <v>144</v>
      </c>
      <c r="K19" s="152" t="str">
        <f>IF($A$7=$K$2,IF(E19=0,"Please input wall length"," ")," ")</f>
        <v>Please input wall length</v>
      </c>
    </row>
    <row r="20" spans="1:19">
      <c r="A20" s="391">
        <v>6</v>
      </c>
      <c r="B20" s="987" t="s">
        <v>289</v>
      </c>
      <c r="C20" s="851"/>
      <c r="D20" s="190" t="s">
        <v>51</v>
      </c>
      <c r="E20" s="31" t="s">
        <v>50</v>
      </c>
      <c r="F20" s="30"/>
      <c r="G20" s="278"/>
      <c r="H20" s="386"/>
      <c r="I20" s="3" t="s">
        <v>144</v>
      </c>
      <c r="K20" s="152" t="str">
        <f>IF($A$7=$K$2,IF(F20&lt;65%,"Min. 65% coverage"," ")," ")</f>
        <v>Min. 65% coverage</v>
      </c>
    </row>
    <row r="21" spans="1:19">
      <c r="A21" s="391">
        <v>7</v>
      </c>
      <c r="B21" s="886" t="s">
        <v>306</v>
      </c>
      <c r="C21" s="884"/>
      <c r="D21" s="150" t="s">
        <v>51</v>
      </c>
      <c r="E21" s="31" t="s">
        <v>50</v>
      </c>
      <c r="F21" s="547"/>
      <c r="G21" s="278"/>
      <c r="H21" s="386"/>
      <c r="I21" s="3" t="s">
        <v>143</v>
      </c>
      <c r="K21" s="152" t="str">
        <f>IF($A$7=$K$2,IF(F21&lt;65%,"Min. 65% coverage"," ")," ")</f>
        <v>Min. 65% coverage</v>
      </c>
    </row>
    <row r="22" spans="1:19">
      <c r="A22" s="391" t="s">
        <v>308</v>
      </c>
      <c r="B22" s="886" t="s">
        <v>307</v>
      </c>
      <c r="C22" s="884"/>
      <c r="D22" s="150" t="s">
        <v>51</v>
      </c>
      <c r="E22" s="31" t="s">
        <v>50</v>
      </c>
      <c r="F22" s="547"/>
      <c r="G22" s="278"/>
      <c r="H22" s="386"/>
      <c r="K22" s="152"/>
    </row>
    <row r="23" spans="1:19">
      <c r="A23" s="380"/>
      <c r="B23" s="281"/>
      <c r="C23" s="281"/>
      <c r="D23" s="281"/>
      <c r="E23" s="281"/>
      <c r="F23" s="281"/>
      <c r="G23" s="282"/>
      <c r="H23" s="283"/>
      <c r="K23" s="148"/>
    </row>
    <row r="24" spans="1:19" ht="15.6">
      <c r="A24" s="392" t="s">
        <v>44</v>
      </c>
      <c r="B24" s="169"/>
      <c r="C24" s="169"/>
      <c r="D24" s="169"/>
      <c r="E24" s="169"/>
      <c r="F24" s="170" t="s">
        <v>43</v>
      </c>
      <c r="G24" s="171">
        <f>VLOOKUP($A$7,'Manpower allocation'!A4:D11,2,FALSE)*100</f>
        <v>45</v>
      </c>
      <c r="H24" s="393" t="s">
        <v>42</v>
      </c>
      <c r="J24" s="497">
        <f>VLOOKUP($A$7,'Manpower allocation'!A4:D11,2,FALSE)*100</f>
        <v>45</v>
      </c>
      <c r="K24" s="148"/>
    </row>
    <row r="25" spans="1:19" ht="15.6">
      <c r="A25" s="380"/>
      <c r="B25" s="320"/>
      <c r="C25" s="321"/>
      <c r="D25" s="281"/>
      <c r="E25" s="281"/>
      <c r="F25" s="281"/>
      <c r="G25" s="282"/>
      <c r="H25" s="283"/>
      <c r="K25" s="6"/>
    </row>
    <row r="26" spans="1:19" s="29" customFormat="1" ht="46.8">
      <c r="A26" s="394" t="s">
        <v>0</v>
      </c>
      <c r="B26" s="41"/>
      <c r="C26" s="41"/>
      <c r="D26" s="42"/>
      <c r="E26" s="43" t="s">
        <v>17</v>
      </c>
      <c r="F26" s="43" t="s">
        <v>114</v>
      </c>
      <c r="G26" s="43" t="s">
        <v>18</v>
      </c>
      <c r="H26" s="395" t="s">
        <v>53</v>
      </c>
      <c r="K26" s="44"/>
      <c r="R26" s="45"/>
      <c r="S26" s="45"/>
    </row>
    <row r="27" spans="1:19" s="29" customFormat="1" ht="15.6">
      <c r="A27" s="396" t="s">
        <v>198</v>
      </c>
      <c r="B27" s="46" t="s">
        <v>214</v>
      </c>
      <c r="C27" s="47"/>
      <c r="D27" s="47"/>
      <c r="E27" s="48"/>
      <c r="F27" s="48"/>
      <c r="G27" s="48"/>
      <c r="H27" s="397"/>
      <c r="R27" s="45"/>
      <c r="S27" s="45"/>
    </row>
    <row r="28" spans="1:19" s="29" customFormat="1" ht="15.6">
      <c r="A28" s="398">
        <v>1</v>
      </c>
      <c r="B28" s="40" t="s">
        <v>338</v>
      </c>
      <c r="C28" s="41"/>
      <c r="D28" s="49"/>
      <c r="E28" s="41"/>
      <c r="F28" s="50"/>
      <c r="G28" s="50"/>
      <c r="H28" s="399"/>
      <c r="R28" s="45"/>
      <c r="S28" s="45"/>
    </row>
    <row r="29" spans="1:19" s="29" customFormat="1">
      <c r="A29" s="980">
        <v>1.1000000000000001</v>
      </c>
      <c r="B29" s="852" t="s">
        <v>290</v>
      </c>
      <c r="C29" s="988"/>
      <c r="D29" s="988"/>
      <c r="E29" s="904">
        <f>VLOOKUP(A29,'Point Allocation'!$A$5:$J$15,MATCH(A7,'Point Allocation'!$A$5:$J$5,0),0)</f>
        <v>45</v>
      </c>
      <c r="F29" s="1014"/>
      <c r="G29" s="1015">
        <f>IFERROR(F29/$F$56,0)</f>
        <v>0</v>
      </c>
      <c r="H29" s="909">
        <f>E29*G29</f>
        <v>0</v>
      </c>
      <c r="R29" s="45"/>
      <c r="S29" s="45"/>
    </row>
    <row r="30" spans="1:19" s="29" customFormat="1" ht="15.6">
      <c r="A30" s="981"/>
      <c r="B30" s="998" t="s">
        <v>401</v>
      </c>
      <c r="C30" s="998"/>
      <c r="D30" s="998"/>
      <c r="E30" s="904"/>
      <c r="F30" s="1014"/>
      <c r="G30" s="1015">
        <f t="shared" ref="G30" si="0">IFERROR(F30/$F$56,0)</f>
        <v>0</v>
      </c>
      <c r="H30" s="909"/>
      <c r="R30" s="45"/>
      <c r="S30" s="45"/>
    </row>
    <row r="31" spans="1:19" s="29" customFormat="1" ht="15.6">
      <c r="A31" s="398">
        <v>2</v>
      </c>
      <c r="B31" s="40" t="s">
        <v>339</v>
      </c>
      <c r="C31" s="51"/>
      <c r="D31" s="49"/>
      <c r="E31" s="52"/>
      <c r="F31" s="8"/>
      <c r="G31" s="22"/>
      <c r="H31" s="400"/>
      <c r="R31" s="53"/>
      <c r="S31" s="45"/>
    </row>
    <row r="32" spans="1:19" s="29" customFormat="1">
      <c r="A32" s="401">
        <v>2.1</v>
      </c>
      <c r="B32" s="885" t="s">
        <v>203</v>
      </c>
      <c r="C32" s="886"/>
      <c r="D32" s="884"/>
      <c r="E32" s="20">
        <f>VLOOKUP(A32,'Point Allocation'!$A$5:$J$15,MATCH(A7,'Point Allocation'!$A$5:$J$5,0),0)</f>
        <v>42</v>
      </c>
      <c r="F32" s="536"/>
      <c r="G32" s="31">
        <f>IFERROR(F32/$F$56,0)</f>
        <v>0</v>
      </c>
      <c r="H32" s="405">
        <f>E32*G32</f>
        <v>0</v>
      </c>
      <c r="R32" s="53"/>
      <c r="S32" s="45"/>
    </row>
    <row r="33" spans="1:19" s="29" customFormat="1" ht="15.6">
      <c r="A33" s="398">
        <v>3</v>
      </c>
      <c r="B33" s="40" t="s">
        <v>340</v>
      </c>
      <c r="C33" s="51"/>
      <c r="D33" s="49"/>
      <c r="E33" s="52"/>
      <c r="F33" s="8"/>
      <c r="G33" s="22"/>
      <c r="H33" s="400"/>
      <c r="R33" s="53"/>
      <c r="S33" s="45"/>
    </row>
    <row r="34" spans="1:19" s="29" customFormat="1" ht="15" customHeight="1">
      <c r="A34" s="401">
        <v>3.1</v>
      </c>
      <c r="B34" s="885" t="s">
        <v>587</v>
      </c>
      <c r="C34" s="886"/>
      <c r="D34" s="884"/>
      <c r="E34" s="20">
        <f>VLOOKUP(A34,'Point Allocation'!$A$5:$J$15,MATCH(A7,'Point Allocation'!$A$5:$J$5,0),0)</f>
        <v>39</v>
      </c>
      <c r="F34" s="37"/>
      <c r="G34" s="31">
        <f>IFERROR(F34/$F$56,0)</f>
        <v>0</v>
      </c>
      <c r="H34" s="419">
        <f>E34*G34</f>
        <v>0</v>
      </c>
      <c r="R34" s="53"/>
      <c r="S34" s="45"/>
    </row>
    <row r="35" spans="1:19" s="29" customFormat="1" ht="31.5" customHeight="1">
      <c r="A35" s="967">
        <v>3.2</v>
      </c>
      <c r="B35" s="969" t="s">
        <v>330</v>
      </c>
      <c r="C35" s="970"/>
      <c r="D35" s="971"/>
      <c r="E35" s="910">
        <f>VLOOKUP(A35,'Point Allocation'!$A$5:$J$15,MATCH(A7,'Point Allocation'!$A$5:$J$5,0),0)</f>
        <v>39</v>
      </c>
      <c r="F35" s="37"/>
      <c r="G35" s="31">
        <f>IFERROR(F35/$F$56,0)</f>
        <v>0</v>
      </c>
      <c r="H35" s="945">
        <f>IF(SUM(J37:J42)&gt;=4,E35*G35,0)</f>
        <v>0</v>
      </c>
      <c r="R35" s="53"/>
      <c r="S35" s="45"/>
    </row>
    <row r="36" spans="1:19" s="29" customFormat="1" ht="31.5" customHeight="1">
      <c r="A36" s="968"/>
      <c r="B36" s="972"/>
      <c r="C36" s="973"/>
      <c r="D36" s="974"/>
      <c r="E36" s="911"/>
      <c r="F36" s="9" t="s">
        <v>130</v>
      </c>
      <c r="G36" s="54" t="s">
        <v>117</v>
      </c>
      <c r="H36" s="947"/>
      <c r="R36" s="53"/>
      <c r="S36" s="45"/>
    </row>
    <row r="37" spans="1:19" s="29" customFormat="1" ht="89.25" customHeight="1">
      <c r="A37" s="402" t="s">
        <v>192</v>
      </c>
      <c r="B37" s="1016" t="s">
        <v>359</v>
      </c>
      <c r="C37" s="1017"/>
      <c r="D37" s="1018"/>
      <c r="E37" s="958"/>
      <c r="F37" s="187" t="s">
        <v>131</v>
      </c>
      <c r="G37" s="546"/>
      <c r="H37" s="946"/>
      <c r="J37" s="55">
        <f t="shared" ref="J37:J42" si="1">IF(G37&gt;=65%,1,0)</f>
        <v>0</v>
      </c>
      <c r="R37" s="53"/>
      <c r="S37" s="45"/>
    </row>
    <row r="38" spans="1:19" s="29" customFormat="1" ht="33.75" customHeight="1">
      <c r="A38" s="402" t="s">
        <v>193</v>
      </c>
      <c r="B38" s="871" t="s">
        <v>215</v>
      </c>
      <c r="C38" s="872"/>
      <c r="D38" s="873"/>
      <c r="E38" s="958"/>
      <c r="F38" s="39" t="s">
        <v>132</v>
      </c>
      <c r="G38" s="547"/>
      <c r="H38" s="946"/>
      <c r="J38" s="55">
        <f t="shared" si="1"/>
        <v>0</v>
      </c>
      <c r="R38" s="53"/>
      <c r="S38" s="45"/>
    </row>
    <row r="39" spans="1:19" s="29" customFormat="1" ht="48.75" customHeight="1">
      <c r="A39" s="402" t="s">
        <v>201</v>
      </c>
      <c r="B39" s="871" t="s">
        <v>216</v>
      </c>
      <c r="C39" s="872"/>
      <c r="D39" s="873"/>
      <c r="E39" s="958"/>
      <c r="F39" s="39" t="s">
        <v>133</v>
      </c>
      <c r="G39" s="547"/>
      <c r="H39" s="946"/>
      <c r="J39" s="55">
        <f t="shared" si="1"/>
        <v>0</v>
      </c>
      <c r="R39" s="53"/>
      <c r="S39" s="45"/>
    </row>
    <row r="40" spans="1:19" s="29" customFormat="1" ht="45">
      <c r="A40" s="402" t="s">
        <v>194</v>
      </c>
      <c r="B40" s="871" t="s">
        <v>217</v>
      </c>
      <c r="C40" s="872"/>
      <c r="D40" s="873"/>
      <c r="E40" s="958"/>
      <c r="F40" s="39" t="s">
        <v>134</v>
      </c>
      <c r="G40" s="547"/>
      <c r="H40" s="946"/>
      <c r="J40" s="55">
        <f t="shared" si="1"/>
        <v>0</v>
      </c>
      <c r="R40" s="53"/>
      <c r="S40" s="45"/>
    </row>
    <row r="41" spans="1:19" s="29" customFormat="1" ht="48.75" customHeight="1">
      <c r="A41" s="402" t="s">
        <v>202</v>
      </c>
      <c r="B41" s="871" t="s">
        <v>218</v>
      </c>
      <c r="C41" s="872"/>
      <c r="D41" s="873"/>
      <c r="E41" s="958"/>
      <c r="F41" s="39" t="s">
        <v>135</v>
      </c>
      <c r="G41" s="547"/>
      <c r="H41" s="946"/>
      <c r="J41" s="55">
        <f t="shared" si="1"/>
        <v>0</v>
      </c>
      <c r="R41" s="53"/>
      <c r="S41" s="45"/>
    </row>
    <row r="42" spans="1:19" s="29" customFormat="1" ht="31.5" customHeight="1">
      <c r="A42" s="402" t="s">
        <v>195</v>
      </c>
      <c r="B42" s="975" t="s">
        <v>345</v>
      </c>
      <c r="C42" s="976"/>
      <c r="D42" s="977"/>
      <c r="E42" s="959"/>
      <c r="F42" s="39" t="s">
        <v>136</v>
      </c>
      <c r="G42" s="547"/>
      <c r="H42" s="947"/>
      <c r="J42" s="55">
        <f t="shared" si="1"/>
        <v>0</v>
      </c>
      <c r="R42" s="53"/>
      <c r="S42" s="45"/>
    </row>
    <row r="43" spans="1:19" s="29" customFormat="1" ht="15.6">
      <c r="A43" s="398" t="s">
        <v>196</v>
      </c>
      <c r="B43" s="40" t="s">
        <v>341</v>
      </c>
      <c r="C43" s="56"/>
      <c r="D43" s="49"/>
      <c r="E43" s="52"/>
      <c r="F43" s="36"/>
      <c r="G43" s="23"/>
      <c r="H43" s="403"/>
      <c r="R43" s="53"/>
      <c r="S43" s="45"/>
    </row>
    <row r="44" spans="1:19" s="29" customFormat="1" ht="31.5" customHeight="1">
      <c r="A44" s="404">
        <v>4.0999999999999996</v>
      </c>
      <c r="B44" s="885" t="s">
        <v>331</v>
      </c>
      <c r="C44" s="886"/>
      <c r="D44" s="884"/>
      <c r="E44" s="20">
        <f>VLOOKUP(A44,'Point Allocation'!$A$5:$J$15,MATCH(A7,'Point Allocation'!$A$5:$J$5,0),0)</f>
        <v>35</v>
      </c>
      <c r="F44" s="536"/>
      <c r="G44" s="31">
        <f>IFERROR(F44/$F$56,0)</f>
        <v>0</v>
      </c>
      <c r="H44" s="405">
        <f>E44*G44</f>
        <v>0</v>
      </c>
      <c r="R44" s="53"/>
      <c r="S44" s="45"/>
    </row>
    <row r="45" spans="1:19" s="29" customFormat="1">
      <c r="A45" s="406">
        <v>4.2</v>
      </c>
      <c r="B45" s="928" t="s">
        <v>348</v>
      </c>
      <c r="C45" s="990"/>
      <c r="D45" s="929"/>
      <c r="E45" s="20">
        <f>VLOOKUP(A45,'Point Allocation'!$A$5:$J$15,MATCH(A7,'Point Allocation'!$A$5:$J$5,0),0)</f>
        <v>35</v>
      </c>
      <c r="F45" s="536"/>
      <c r="G45" s="31">
        <f>IFERROR(F45/$F$56,0)</f>
        <v>0</v>
      </c>
      <c r="H45" s="405">
        <f>E45*G45</f>
        <v>0</v>
      </c>
      <c r="R45" s="53"/>
      <c r="S45" s="45"/>
    </row>
    <row r="46" spans="1:19" s="29" customFormat="1">
      <c r="A46" s="406">
        <v>4.3</v>
      </c>
      <c r="B46" s="960" t="s">
        <v>346</v>
      </c>
      <c r="C46" s="961"/>
      <c r="D46" s="962"/>
      <c r="E46" s="20">
        <f>VLOOKUP(A46,'Point Allocation'!$A$5:$J$15,MATCH(A7,'Point Allocation'!$A$5:$J$5,0),0)</f>
        <v>28</v>
      </c>
      <c r="F46" s="536"/>
      <c r="G46" s="31">
        <f>IFERROR(F46/$F$56,0)</f>
        <v>0</v>
      </c>
      <c r="H46" s="405">
        <f>E46*G46</f>
        <v>0</v>
      </c>
      <c r="R46" s="53"/>
      <c r="S46" s="45"/>
    </row>
    <row r="47" spans="1:19" s="29" customFormat="1">
      <c r="A47" s="404">
        <v>4.4000000000000004</v>
      </c>
      <c r="B47" s="885" t="s">
        <v>347</v>
      </c>
      <c r="C47" s="886"/>
      <c r="D47" s="884"/>
      <c r="E47" s="20">
        <f>VLOOKUP(A47,'Point Allocation'!$A$5:$J$15,MATCH(A7,'Point Allocation'!$A$5:$J$5,0),0)</f>
        <v>28</v>
      </c>
      <c r="F47" s="536"/>
      <c r="G47" s="31">
        <f>IFERROR(F47/$F$56,0)</f>
        <v>0</v>
      </c>
      <c r="H47" s="405">
        <f>E47*G47</f>
        <v>0</v>
      </c>
      <c r="R47" s="53"/>
      <c r="S47" s="45"/>
    </row>
    <row r="48" spans="1:19" s="59" customFormat="1" ht="15.6">
      <c r="A48" s="396" t="s">
        <v>197</v>
      </c>
      <c r="B48" s="46" t="s">
        <v>211</v>
      </c>
      <c r="C48" s="57"/>
      <c r="D48" s="58"/>
      <c r="E48" s="7"/>
      <c r="F48" s="7"/>
      <c r="G48" s="24"/>
      <c r="H48" s="407"/>
      <c r="J48" s="29"/>
      <c r="K48" s="29"/>
      <c r="L48" s="29"/>
      <c r="M48" s="29"/>
      <c r="N48" s="29"/>
      <c r="R48" s="60"/>
    </row>
    <row r="49" spans="1:19" s="59" customFormat="1" ht="15.6">
      <c r="A49" s="408">
        <v>5</v>
      </c>
      <c r="B49" s="40" t="s">
        <v>212</v>
      </c>
      <c r="C49" s="49"/>
      <c r="D49" s="49"/>
      <c r="E49" s="8"/>
      <c r="F49" s="8"/>
      <c r="G49" s="22"/>
      <c r="H49" s="403"/>
      <c r="J49" s="29"/>
      <c r="K49" s="29"/>
      <c r="L49" s="29"/>
      <c r="M49" s="29"/>
      <c r="N49" s="29"/>
      <c r="R49" s="60"/>
    </row>
    <row r="50" spans="1:19" s="29" customFormat="1">
      <c r="A50" s="409">
        <v>5.0999999999999996</v>
      </c>
      <c r="B50" s="844" t="s">
        <v>204</v>
      </c>
      <c r="C50" s="846"/>
      <c r="D50" s="845"/>
      <c r="E50" s="20">
        <f>VLOOKUP(A50,'Point Allocation'!$A$5:$J$15,MATCH(A7,'Point Allocation'!$A$5:$J$5,0),0)</f>
        <v>22</v>
      </c>
      <c r="F50" s="536"/>
      <c r="G50" s="31">
        <f>IFERROR(F50/$F$56,0)</f>
        <v>0</v>
      </c>
      <c r="H50" s="405">
        <f>E50*G50</f>
        <v>0</v>
      </c>
      <c r="R50" s="53"/>
      <c r="S50" s="45"/>
    </row>
    <row r="51" spans="1:19" s="29" customFormat="1">
      <c r="A51" s="409">
        <v>5.2</v>
      </c>
      <c r="B51" s="844" t="s">
        <v>151</v>
      </c>
      <c r="C51" s="846"/>
      <c r="D51" s="845"/>
      <c r="E51" s="20">
        <f>VLOOKUP(A51,'Point Allocation'!$A$5:$J$15,MATCH(A7,'Point Allocation'!$A$5:$J$5,0),0)</f>
        <v>10</v>
      </c>
      <c r="F51" s="536"/>
      <c r="G51" s="31">
        <f>IFERROR(F51/$F$56,0)</f>
        <v>0</v>
      </c>
      <c r="H51" s="405">
        <f>E51*G51</f>
        <v>0</v>
      </c>
      <c r="R51" s="53"/>
      <c r="S51" s="45"/>
    </row>
    <row r="52" spans="1:19" s="29" customFormat="1" ht="15.6">
      <c r="A52" s="410">
        <v>6</v>
      </c>
      <c r="B52" s="61" t="s">
        <v>213</v>
      </c>
      <c r="C52" s="49"/>
      <c r="D52" s="49"/>
      <c r="E52" s="8"/>
      <c r="F52" s="8"/>
      <c r="G52" s="22"/>
      <c r="H52" s="403"/>
      <c r="R52" s="53"/>
      <c r="S52" s="45"/>
    </row>
    <row r="53" spans="1:19" s="29" customFormat="1">
      <c r="A53" s="411">
        <v>6.1</v>
      </c>
      <c r="B53" s="826"/>
      <c r="C53" s="821"/>
      <c r="D53" s="847"/>
      <c r="E53" s="536"/>
      <c r="F53" s="536"/>
      <c r="G53" s="31">
        <f>IFERROR(F53/$F$56,0)</f>
        <v>0</v>
      </c>
      <c r="H53" s="405">
        <f>E53*G53</f>
        <v>0</v>
      </c>
      <c r="R53" s="53"/>
      <c r="S53" s="45"/>
    </row>
    <row r="54" spans="1:19" s="29" customFormat="1">
      <c r="A54" s="411">
        <v>6.2</v>
      </c>
      <c r="B54" s="826"/>
      <c r="C54" s="821"/>
      <c r="D54" s="847"/>
      <c r="E54" s="536"/>
      <c r="F54" s="536"/>
      <c r="G54" s="31">
        <f>IFERROR(F54/$F$56,0)</f>
        <v>0</v>
      </c>
      <c r="H54" s="405">
        <f>E54*G54</f>
        <v>0</v>
      </c>
      <c r="R54" s="53"/>
      <c r="S54" s="45"/>
    </row>
    <row r="55" spans="1:19" s="29" customFormat="1">
      <c r="A55" s="411">
        <v>6.3</v>
      </c>
      <c r="B55" s="826"/>
      <c r="C55" s="821"/>
      <c r="D55" s="847"/>
      <c r="E55" s="536"/>
      <c r="F55" s="536"/>
      <c r="G55" s="31">
        <f>IFERROR(F55/$F$56,0)</f>
        <v>0</v>
      </c>
      <c r="H55" s="405">
        <f>E55*G55</f>
        <v>0</v>
      </c>
      <c r="R55" s="53"/>
      <c r="S55" s="45"/>
    </row>
    <row r="56" spans="1:19" s="29" customFormat="1" ht="15.6">
      <c r="A56" s="412"/>
      <c r="B56" s="322"/>
      <c r="C56" s="323"/>
      <c r="D56" s="323"/>
      <c r="E56" s="324" t="s">
        <v>61</v>
      </c>
      <c r="F56" s="26">
        <f>SUM(F29,F32,F34,F35,F44,F45,F46,F47,F50,F51,F53,F54,F55)</f>
        <v>0</v>
      </c>
      <c r="G56" s="25">
        <f>SUM(G29,G32:G32,G34:G35,G44:G47,G50:G51,G53:G55)</f>
        <v>0</v>
      </c>
      <c r="H56" s="413">
        <f>IFERROR(SUM(H29:H55),0)</f>
        <v>0</v>
      </c>
      <c r="N56" s="62"/>
      <c r="R56" s="53"/>
      <c r="S56" s="45"/>
    </row>
    <row r="57" spans="1:19" s="29" customFormat="1" ht="15.6" thickBot="1">
      <c r="A57" s="491"/>
      <c r="B57" s="492"/>
      <c r="C57" s="493"/>
      <c r="D57" s="493"/>
      <c r="E57" s="493"/>
      <c r="F57" s="493"/>
      <c r="G57" s="480"/>
      <c r="H57" s="639"/>
      <c r="R57" s="53"/>
      <c r="S57" s="45"/>
    </row>
    <row r="58" spans="1:19" s="29" customFormat="1" ht="15.6">
      <c r="A58" s="954" t="s">
        <v>0</v>
      </c>
      <c r="B58" s="955"/>
      <c r="C58" s="646"/>
      <c r="D58" s="978" t="s">
        <v>4</v>
      </c>
      <c r="E58" s="952" t="s">
        <v>1</v>
      </c>
      <c r="F58" s="953"/>
      <c r="G58" s="948" t="s">
        <v>21</v>
      </c>
      <c r="H58" s="950" t="s">
        <v>63</v>
      </c>
      <c r="R58" s="53"/>
      <c r="S58" s="45"/>
    </row>
    <row r="59" spans="1:19" s="29" customFormat="1" ht="31.2">
      <c r="A59" s="956"/>
      <c r="B59" s="957"/>
      <c r="C59" s="63"/>
      <c r="D59" s="979"/>
      <c r="E59" s="43" t="s">
        <v>118</v>
      </c>
      <c r="F59" s="43" t="s">
        <v>119</v>
      </c>
      <c r="G59" s="949"/>
      <c r="H59" s="951"/>
      <c r="J59" s="64"/>
      <c r="R59" s="53"/>
      <c r="S59" s="45"/>
    </row>
    <row r="60" spans="1:19" s="29" customFormat="1" ht="15.6">
      <c r="A60" s="415" t="s">
        <v>219</v>
      </c>
      <c r="B60" s="46" t="s">
        <v>148</v>
      </c>
      <c r="C60" s="58"/>
      <c r="D60" s="65"/>
      <c r="E60" s="48"/>
      <c r="F60" s="48"/>
      <c r="G60" s="48"/>
      <c r="H60" s="416"/>
      <c r="J60" s="62"/>
      <c r="K60" s="62"/>
      <c r="L60" s="62"/>
      <c r="M60" s="62"/>
      <c r="R60" s="53"/>
      <c r="S60" s="45"/>
    </row>
    <row r="61" spans="1:19" s="29" customFormat="1" ht="15" customHeight="1">
      <c r="A61" s="417" t="s">
        <v>349</v>
      </c>
      <c r="B61" s="850" t="s">
        <v>595</v>
      </c>
      <c r="C61" s="851"/>
      <c r="D61" s="5" t="s">
        <v>51</v>
      </c>
      <c r="E61" s="9">
        <v>3</v>
      </c>
      <c r="F61" s="9">
        <v>4</v>
      </c>
      <c r="G61" s="66"/>
      <c r="H61" s="405">
        <f>IF(G61&gt;=80%,F61,IF(G61&lt;65%,0,E61))</f>
        <v>0</v>
      </c>
      <c r="R61" s="53"/>
      <c r="S61" s="45"/>
    </row>
    <row r="62" spans="1:19" s="29" customFormat="1">
      <c r="A62" s="417" t="s">
        <v>350</v>
      </c>
      <c r="B62" s="850" t="s">
        <v>596</v>
      </c>
      <c r="C62" s="851"/>
      <c r="D62" s="5" t="s">
        <v>51</v>
      </c>
      <c r="E62" s="9">
        <v>3</v>
      </c>
      <c r="F62" s="9">
        <v>4</v>
      </c>
      <c r="G62" s="66"/>
      <c r="H62" s="405">
        <f>IF(G62&gt;=80%,F62,IF(G62&lt;65%,0,E62))</f>
        <v>0</v>
      </c>
      <c r="R62" s="53"/>
      <c r="S62" s="45"/>
    </row>
    <row r="63" spans="1:19" s="29" customFormat="1">
      <c r="A63" s="418" t="s">
        <v>351</v>
      </c>
      <c r="B63" s="850" t="s">
        <v>588</v>
      </c>
      <c r="C63" s="851"/>
      <c r="D63" s="5" t="s">
        <v>51</v>
      </c>
      <c r="E63" s="9">
        <v>3</v>
      </c>
      <c r="F63" s="9">
        <v>4</v>
      </c>
      <c r="G63" s="66"/>
      <c r="H63" s="405">
        <f>IF(G63&gt;=80%,F63,IF(G63&lt;65%,0,E63))</f>
        <v>0</v>
      </c>
      <c r="R63" s="53"/>
      <c r="S63" s="45"/>
    </row>
    <row r="64" spans="1:19" s="29" customFormat="1" ht="51" customHeight="1">
      <c r="A64" s="417">
        <v>7.2</v>
      </c>
      <c r="B64" s="1019" t="s">
        <v>354</v>
      </c>
      <c r="C64" s="1019"/>
      <c r="D64" s="518" t="s">
        <v>51</v>
      </c>
      <c r="E64" s="540">
        <v>2</v>
      </c>
      <c r="F64" s="540">
        <v>2.5</v>
      </c>
      <c r="G64" s="516"/>
      <c r="H64" s="419">
        <f>IF(H35&gt;0,0,IF(G64&gt;=80%,F64,IF(G64&lt;65%,0,E64)))</f>
        <v>0</v>
      </c>
      <c r="J64" s="11"/>
      <c r="K64" s="11"/>
      <c r="L64" s="11"/>
      <c r="R64" s="53"/>
      <c r="S64" s="45"/>
    </row>
    <row r="65" spans="1:19" s="29" customFormat="1" ht="15" customHeight="1">
      <c r="A65" s="417">
        <v>7.3</v>
      </c>
      <c r="B65" s="885" t="s">
        <v>226</v>
      </c>
      <c r="C65" s="886"/>
      <c r="D65" s="375"/>
      <c r="E65" s="375"/>
      <c r="F65" s="375"/>
      <c r="G65" s="375"/>
      <c r="H65" s="420"/>
      <c r="J65" s="11"/>
      <c r="K65" s="11"/>
      <c r="L65" s="11"/>
      <c r="R65" s="53"/>
      <c r="S65" s="45"/>
    </row>
    <row r="66" spans="1:19" s="29" customFormat="1" ht="32.25" customHeight="1">
      <c r="A66" s="418" t="s">
        <v>220</v>
      </c>
      <c r="B66" s="883" t="s">
        <v>227</v>
      </c>
      <c r="C66" s="884"/>
      <c r="D66" s="856" t="s">
        <v>51</v>
      </c>
      <c r="E66" s="296">
        <v>1</v>
      </c>
      <c r="F66" s="296">
        <v>1.5</v>
      </c>
      <c r="G66" s="67"/>
      <c r="H66" s="298">
        <f>IF(H29+H35&gt;0,0.5,IF(G66&gt;=80%,F66,IF(G66&lt;65%,0,E66)))</f>
        <v>0</v>
      </c>
      <c r="K66" s="11"/>
      <c r="L66" s="11"/>
      <c r="R66" s="53"/>
      <c r="S66" s="45"/>
    </row>
    <row r="67" spans="1:19" s="29" customFormat="1" ht="47.25" customHeight="1">
      <c r="A67" s="418" t="s">
        <v>221</v>
      </c>
      <c r="B67" s="883" t="s">
        <v>228</v>
      </c>
      <c r="C67" s="884"/>
      <c r="D67" s="857"/>
      <c r="E67" s="296">
        <v>1</v>
      </c>
      <c r="F67" s="296">
        <v>1.5</v>
      </c>
      <c r="G67" s="67"/>
      <c r="H67" s="298">
        <f>IF(H29+H35&gt;0,0.5,IF(G67&gt;=80%,F67,IF(G67&lt;65%,0,E67)))</f>
        <v>0</v>
      </c>
      <c r="R67" s="53"/>
      <c r="S67" s="45"/>
    </row>
    <row r="68" spans="1:19" s="29" customFormat="1">
      <c r="A68" s="418" t="s">
        <v>235</v>
      </c>
      <c r="B68" s="883" t="s">
        <v>229</v>
      </c>
      <c r="C68" s="884"/>
      <c r="D68" s="857"/>
      <c r="E68" s="296">
        <v>1</v>
      </c>
      <c r="F68" s="296">
        <v>1.5</v>
      </c>
      <c r="G68" s="67"/>
      <c r="H68" s="298">
        <f>IF(H29+H35&gt;0,0.5,IF(G68&gt;=80%,F68,IF(G68&lt;65%,0,E68)))</f>
        <v>0</v>
      </c>
      <c r="R68" s="53"/>
      <c r="S68" s="45"/>
    </row>
    <row r="69" spans="1:19" s="29" customFormat="1" ht="46.5" customHeight="1">
      <c r="A69" s="418" t="s">
        <v>222</v>
      </c>
      <c r="B69" s="883" t="s">
        <v>230</v>
      </c>
      <c r="C69" s="884"/>
      <c r="D69" s="858"/>
      <c r="E69" s="296">
        <v>1</v>
      </c>
      <c r="F69" s="296">
        <v>1.5</v>
      </c>
      <c r="G69" s="67"/>
      <c r="H69" s="298">
        <f>IF(H29+H35&gt;0,0.5,IF(G69&gt;=80%,F69,IF(G69&lt;65%,0,E69)))</f>
        <v>0</v>
      </c>
      <c r="R69" s="53"/>
      <c r="S69" s="45"/>
    </row>
    <row r="70" spans="1:19" s="29" customFormat="1">
      <c r="A70" s="417">
        <v>7.4</v>
      </c>
      <c r="B70" s="930" t="s">
        <v>441</v>
      </c>
      <c r="C70" s="930"/>
      <c r="D70" s="350" t="s">
        <v>2</v>
      </c>
      <c r="E70" s="296">
        <v>1</v>
      </c>
      <c r="F70" s="296">
        <v>1.5</v>
      </c>
      <c r="G70" s="67"/>
      <c r="H70" s="298">
        <f>IF(G70&gt;=80%,F70,IF(G70&lt;65%,0,E70))</f>
        <v>0</v>
      </c>
      <c r="R70" s="53"/>
      <c r="S70" s="45"/>
    </row>
    <row r="71" spans="1:19" s="29" customFormat="1" ht="15" customHeight="1">
      <c r="A71" s="664">
        <v>7.5</v>
      </c>
      <c r="B71" s="1020" t="s">
        <v>422</v>
      </c>
      <c r="C71" s="1020"/>
      <c r="D71" s="561" t="s">
        <v>420</v>
      </c>
      <c r="E71" s="855">
        <v>2</v>
      </c>
      <c r="F71" s="855"/>
      <c r="G71" s="546"/>
      <c r="H71" s="519">
        <f>IF(G71&gt;=5%,E71,0)</f>
        <v>0</v>
      </c>
      <c r="R71" s="53"/>
      <c r="S71" s="45"/>
    </row>
    <row r="72" spans="1:19" s="29" customFormat="1" ht="15.6">
      <c r="A72" s="421" t="s">
        <v>223</v>
      </c>
      <c r="B72" s="68" t="s">
        <v>231</v>
      </c>
      <c r="C72" s="69"/>
      <c r="D72" s="70"/>
      <c r="E72" s="71"/>
      <c r="F72" s="71"/>
      <c r="G72" s="71"/>
      <c r="H72" s="422"/>
      <c r="R72" s="53"/>
      <c r="S72" s="45"/>
    </row>
    <row r="73" spans="1:19" s="29" customFormat="1">
      <c r="A73" s="417">
        <v>8.1</v>
      </c>
      <c r="B73" s="852" t="s">
        <v>232</v>
      </c>
      <c r="C73" s="852"/>
      <c r="D73" s="5" t="s">
        <v>51</v>
      </c>
      <c r="E73" s="20">
        <v>2</v>
      </c>
      <c r="F73" s="20">
        <v>2.5</v>
      </c>
      <c r="G73" s="72"/>
      <c r="H73" s="405">
        <f>IF(G73&gt;=80%,F73,IF(G73&lt;65%,0,E73))</f>
        <v>0</v>
      </c>
      <c r="J73" s="73"/>
      <c r="R73" s="53"/>
      <c r="S73" s="45"/>
    </row>
    <row r="74" spans="1:19" s="29" customFormat="1">
      <c r="A74" s="417">
        <v>8.1999999999999993</v>
      </c>
      <c r="B74" s="852" t="s">
        <v>233</v>
      </c>
      <c r="C74" s="852"/>
      <c r="D74" s="5" t="s">
        <v>51</v>
      </c>
      <c r="E74" s="20">
        <v>2</v>
      </c>
      <c r="F74" s="20">
        <v>2.5</v>
      </c>
      <c r="G74" s="72"/>
      <c r="H74" s="405">
        <f>IF(G74&gt;=80%,F74,IF(G74&lt;65%,0,E74))</f>
        <v>0</v>
      </c>
      <c r="J74" s="11"/>
      <c r="K74" s="11"/>
      <c r="L74" s="11"/>
      <c r="R74" s="53"/>
      <c r="S74" s="45"/>
    </row>
    <row r="75" spans="1:19" s="29" customFormat="1">
      <c r="A75" s="417">
        <v>8.3000000000000007</v>
      </c>
      <c r="B75" s="874" t="s">
        <v>147</v>
      </c>
      <c r="C75" s="875"/>
      <c r="D75" s="5" t="s">
        <v>2</v>
      </c>
      <c r="E75" s="20">
        <v>2</v>
      </c>
      <c r="F75" s="20">
        <v>2.5</v>
      </c>
      <c r="G75" s="66"/>
      <c r="H75" s="405">
        <f>IF(G75&gt;=80%,F75,IF(G75&lt;65%,0,E75))</f>
        <v>0</v>
      </c>
      <c r="R75" s="53"/>
      <c r="S75" s="45"/>
    </row>
    <row r="76" spans="1:19" s="29" customFormat="1" ht="15.6">
      <c r="A76" s="421" t="s">
        <v>224</v>
      </c>
      <c r="B76" s="68" t="s">
        <v>234</v>
      </c>
      <c r="C76" s="69"/>
      <c r="D76" s="70"/>
      <c r="E76" s="71"/>
      <c r="F76" s="71"/>
      <c r="G76" s="71"/>
      <c r="H76" s="422"/>
      <c r="R76" s="53"/>
      <c r="S76" s="45"/>
    </row>
    <row r="77" spans="1:19" s="29" customFormat="1" ht="31.5" customHeight="1">
      <c r="A77" s="417">
        <v>9.1</v>
      </c>
      <c r="B77" s="852" t="s">
        <v>371</v>
      </c>
      <c r="C77" s="852"/>
      <c r="D77" s="5" t="s">
        <v>51</v>
      </c>
      <c r="E77" s="20">
        <v>2</v>
      </c>
      <c r="F77" s="20">
        <v>2.5</v>
      </c>
      <c r="G77" s="72"/>
      <c r="H77" s="405">
        <f>IF(G77&gt;=80%,F77,IF(G77&lt;65%,0,E77))</f>
        <v>0</v>
      </c>
      <c r="R77" s="53"/>
      <c r="S77" s="45"/>
    </row>
    <row r="78" spans="1:19" s="29" customFormat="1" ht="15.6">
      <c r="A78" s="423" t="s">
        <v>225</v>
      </c>
      <c r="B78" s="74" t="s">
        <v>213</v>
      </c>
      <c r="C78" s="58"/>
      <c r="D78" s="58"/>
      <c r="E78" s="75"/>
      <c r="F78" s="75"/>
      <c r="G78" s="76"/>
      <c r="H78" s="424"/>
      <c r="R78" s="53"/>
      <c r="S78" s="45"/>
    </row>
    <row r="79" spans="1:19" s="29" customFormat="1">
      <c r="A79" s="417">
        <v>10.1</v>
      </c>
      <c r="B79" s="848"/>
      <c r="C79" s="848"/>
      <c r="D79" s="77"/>
      <c r="E79" s="536"/>
      <c r="F79" s="536"/>
      <c r="G79" s="547"/>
      <c r="H79" s="405">
        <f>IF(G79&gt;=80%,F79,IF(G79&lt;65%,0,E79))</f>
        <v>0</v>
      </c>
      <c r="R79" s="53"/>
      <c r="S79" s="45"/>
    </row>
    <row r="80" spans="1:19" s="29" customFormat="1">
      <c r="A80" s="417">
        <v>10.199999999999999</v>
      </c>
      <c r="B80" s="848"/>
      <c r="C80" s="848"/>
      <c r="D80" s="77"/>
      <c r="E80" s="536"/>
      <c r="F80" s="536"/>
      <c r="G80" s="547"/>
      <c r="H80" s="405">
        <f>IF(G80&gt;=80%,F80,IF(G80&lt;65%,0,E80))</f>
        <v>0</v>
      </c>
      <c r="R80" s="53"/>
      <c r="S80" s="45"/>
    </row>
    <row r="81" spans="1:19" s="29" customFormat="1">
      <c r="A81" s="417">
        <v>10.3</v>
      </c>
      <c r="B81" s="848"/>
      <c r="C81" s="848"/>
      <c r="D81" s="77"/>
      <c r="E81" s="536"/>
      <c r="F81" s="536"/>
      <c r="G81" s="547"/>
      <c r="H81" s="405">
        <f>IF(G81&gt;=80%,F81,IF(G81&lt;65%,0,E81))</f>
        <v>0</v>
      </c>
      <c r="R81" s="53"/>
      <c r="S81" s="45"/>
    </row>
    <row r="82" spans="1:19" s="29" customFormat="1" ht="15.6">
      <c r="A82" s="425"/>
      <c r="B82" s="325"/>
      <c r="C82" s="323"/>
      <c r="D82" s="323"/>
      <c r="E82" s="326"/>
      <c r="F82" s="327"/>
      <c r="G82" s="328" t="s">
        <v>418</v>
      </c>
      <c r="H82" s="426">
        <f>IFERROR((SUM(H61:H81)),0)</f>
        <v>0</v>
      </c>
      <c r="R82" s="53"/>
      <c r="S82" s="45"/>
    </row>
    <row r="83" spans="1:19" s="29" customFormat="1">
      <c r="A83" s="412"/>
      <c r="B83" s="325"/>
      <c r="C83" s="323"/>
      <c r="D83" s="323"/>
      <c r="E83" s="323"/>
      <c r="F83" s="323"/>
      <c r="G83" s="329"/>
      <c r="H83" s="388"/>
      <c r="R83" s="53"/>
      <c r="S83" s="45"/>
    </row>
    <row r="84" spans="1:19" s="29" customFormat="1" ht="15.6">
      <c r="A84" s="412"/>
      <c r="B84" s="325"/>
      <c r="C84" s="323"/>
      <c r="D84" s="323"/>
      <c r="E84" s="323"/>
      <c r="F84" s="323"/>
      <c r="G84" s="330" t="s">
        <v>129</v>
      </c>
      <c r="H84" s="427">
        <f>IFERROR(MIN(G24,H56+H82),0)</f>
        <v>0</v>
      </c>
      <c r="R84" s="53"/>
      <c r="S84" s="45"/>
    </row>
    <row r="85" spans="1:19" s="29" customFormat="1" ht="16.2" thickBot="1">
      <c r="A85" s="491"/>
      <c r="B85" s="492"/>
      <c r="C85" s="493"/>
      <c r="D85" s="493"/>
      <c r="E85" s="493"/>
      <c r="F85" s="493"/>
      <c r="G85" s="496"/>
      <c r="H85" s="495"/>
      <c r="R85" s="53"/>
      <c r="S85" s="45"/>
    </row>
    <row r="86" spans="1:19" s="29" customFormat="1" ht="15.6">
      <c r="A86" s="486" t="s">
        <v>52</v>
      </c>
      <c r="B86" s="487"/>
      <c r="C86" s="487"/>
      <c r="D86" s="487"/>
      <c r="E86" s="487"/>
      <c r="F86" s="488" t="s">
        <v>43</v>
      </c>
      <c r="G86" s="489">
        <f>VLOOKUP($A$7,'Manpower allocation'!A4:D11,3,FALSE)*100</f>
        <v>40</v>
      </c>
      <c r="H86" s="490" t="s">
        <v>42</v>
      </c>
      <c r="J86" s="79">
        <f>VLOOKUP($A$7,'Manpower allocation'!A4:D11,3,FALSE)*100</f>
        <v>40</v>
      </c>
      <c r="R86" s="53"/>
      <c r="S86" s="45"/>
    </row>
    <row r="87" spans="1:19" s="29" customFormat="1" ht="15.6">
      <c r="A87" s="412"/>
      <c r="B87" s="331"/>
      <c r="C87" s="326"/>
      <c r="D87" s="323"/>
      <c r="E87" s="323"/>
      <c r="F87" s="323"/>
      <c r="G87" s="332"/>
      <c r="H87" s="388"/>
      <c r="R87" s="53"/>
      <c r="S87" s="45"/>
    </row>
    <row r="88" spans="1:19" s="29" customFormat="1" ht="46.8">
      <c r="A88" s="549" t="s">
        <v>0</v>
      </c>
      <c r="B88" s="550"/>
      <c r="C88" s="168"/>
      <c r="D88" s="80"/>
      <c r="E88" s="81" t="s">
        <v>17</v>
      </c>
      <c r="F88" s="82" t="s">
        <v>81</v>
      </c>
      <c r="G88" s="82" t="s">
        <v>20</v>
      </c>
      <c r="H88" s="428" t="s">
        <v>53</v>
      </c>
      <c r="R88" s="53"/>
      <c r="S88" s="45"/>
    </row>
    <row r="89" spans="1:19" s="29" customFormat="1" ht="15.6">
      <c r="A89" s="429" t="s">
        <v>303</v>
      </c>
      <c r="B89" s="83" t="s">
        <v>332</v>
      </c>
      <c r="C89" s="84"/>
      <c r="D89" s="84"/>
      <c r="E89" s="85"/>
      <c r="F89" s="85"/>
      <c r="G89" s="85"/>
      <c r="H89" s="430"/>
      <c r="R89" s="53"/>
      <c r="S89" s="45"/>
    </row>
    <row r="90" spans="1:19" s="29" customFormat="1" ht="15.6">
      <c r="A90" s="431">
        <v>1</v>
      </c>
      <c r="B90" s="86" t="s">
        <v>338</v>
      </c>
      <c r="C90" s="87"/>
      <c r="D90" s="87"/>
      <c r="E90" s="88"/>
      <c r="F90" s="88"/>
      <c r="G90" s="88"/>
      <c r="H90" s="432"/>
      <c r="R90" s="53"/>
      <c r="S90" s="45"/>
    </row>
    <row r="91" spans="1:19" s="29" customFormat="1">
      <c r="A91" s="417">
        <v>1.1000000000000001</v>
      </c>
      <c r="B91" s="885" t="s">
        <v>290</v>
      </c>
      <c r="C91" s="846"/>
      <c r="D91" s="845"/>
      <c r="E91" s="89">
        <f>VLOOKUP(A91,'Point Allocation'!$A$20:$J$40,MATCH(A7,'Point Allocation'!$A$20:$J$20,0),0)</f>
        <v>30</v>
      </c>
      <c r="F91" s="90"/>
      <c r="G91" s="91">
        <f>IFERROR(F91/$F$115,0)</f>
        <v>0</v>
      </c>
      <c r="H91" s="433">
        <f>E91*G91</f>
        <v>0</v>
      </c>
      <c r="R91" s="45"/>
      <c r="S91" s="45"/>
    </row>
    <row r="92" spans="1:19" s="29" customFormat="1" ht="15.6">
      <c r="A92" s="434">
        <v>2</v>
      </c>
      <c r="B92" s="92" t="s">
        <v>339</v>
      </c>
      <c r="C92" s="93"/>
      <c r="D92" s="94"/>
      <c r="E92" s="94"/>
      <c r="F92" s="95"/>
      <c r="G92" s="96"/>
      <c r="H92" s="435"/>
      <c r="R92" s="53"/>
      <c r="S92" s="45"/>
    </row>
    <row r="93" spans="1:19" s="29" customFormat="1">
      <c r="A93" s="849">
        <v>2.1</v>
      </c>
      <c r="B93" s="844" t="s">
        <v>207</v>
      </c>
      <c r="C93" s="846"/>
      <c r="D93" s="845"/>
      <c r="E93" s="853">
        <f>VLOOKUP(A93,'Point Allocation'!$A$20:$J$40,MATCH(A7,'Point Allocation'!$A$20:$J$20,0),0)</f>
        <v>28</v>
      </c>
      <c r="F93" s="854"/>
      <c r="G93" s="914">
        <f>IFERROR(F93/$F$115,0)</f>
        <v>0</v>
      </c>
      <c r="H93" s="921">
        <f>E93*G93</f>
        <v>0</v>
      </c>
      <c r="R93" s="53"/>
      <c r="S93" s="45"/>
    </row>
    <row r="94" spans="1:19" s="29" customFormat="1" ht="15.6">
      <c r="A94" s="841"/>
      <c r="B94" s="836" t="s">
        <v>120</v>
      </c>
      <c r="C94" s="837"/>
      <c r="D94" s="838"/>
      <c r="E94" s="853"/>
      <c r="F94" s="854"/>
      <c r="G94" s="914"/>
      <c r="H94" s="921"/>
      <c r="R94" s="53"/>
      <c r="S94" s="45"/>
    </row>
    <row r="95" spans="1:19" s="29" customFormat="1">
      <c r="A95" s="849">
        <v>2.2000000000000002</v>
      </c>
      <c r="B95" s="885" t="s">
        <v>178</v>
      </c>
      <c r="C95" s="886"/>
      <c r="D95" s="884"/>
      <c r="E95" s="853">
        <f>VLOOKUP(A95,'Point Allocation'!$A$20:$J$40,MATCH(A7,'Point Allocation'!$A$20:$J$20,0),0)</f>
        <v>28</v>
      </c>
      <c r="F95" s="854"/>
      <c r="G95" s="914">
        <f>IFERROR(F95/$F$115,0)</f>
        <v>0</v>
      </c>
      <c r="H95" s="921">
        <f>E95*G95</f>
        <v>0</v>
      </c>
      <c r="R95" s="53"/>
      <c r="S95" s="45"/>
    </row>
    <row r="96" spans="1:19" s="29" customFormat="1" ht="15.6">
      <c r="A96" s="882"/>
      <c r="B96" s="836" t="s">
        <v>120</v>
      </c>
      <c r="C96" s="837"/>
      <c r="D96" s="838"/>
      <c r="E96" s="853"/>
      <c r="F96" s="854"/>
      <c r="G96" s="914"/>
      <c r="H96" s="921"/>
      <c r="R96" s="53"/>
      <c r="S96" s="45"/>
    </row>
    <row r="97" spans="1:19" s="29" customFormat="1" ht="15.6">
      <c r="A97" s="431">
        <v>3</v>
      </c>
      <c r="B97" s="86" t="s">
        <v>340</v>
      </c>
      <c r="C97" s="93"/>
      <c r="D97" s="93"/>
      <c r="E97" s="95"/>
      <c r="F97" s="95"/>
      <c r="G97" s="96"/>
      <c r="H97" s="436"/>
      <c r="R97" s="53"/>
      <c r="S97" s="45"/>
    </row>
    <row r="98" spans="1:19" s="29" customFormat="1">
      <c r="A98" s="849">
        <v>3.1</v>
      </c>
      <c r="B98" s="844" t="s">
        <v>208</v>
      </c>
      <c r="C98" s="846"/>
      <c r="D98" s="845"/>
      <c r="E98" s="853">
        <f>VLOOKUP(A98,'Point Allocation'!$A$20:$J$40,MATCH(A7,'Point Allocation'!$A$20:$J$20,0),0)</f>
        <v>27</v>
      </c>
      <c r="F98" s="854"/>
      <c r="G98" s="914">
        <f>IFERROR(F98/$F$115,0)</f>
        <v>0</v>
      </c>
      <c r="H98" s="921">
        <f>E98*G98</f>
        <v>0</v>
      </c>
      <c r="R98" s="53"/>
      <c r="S98" s="45"/>
    </row>
    <row r="99" spans="1:19" s="29" customFormat="1" ht="15.6">
      <c r="A99" s="841"/>
      <c r="B99" s="836" t="s">
        <v>286</v>
      </c>
      <c r="C99" s="837"/>
      <c r="D99" s="838"/>
      <c r="E99" s="853"/>
      <c r="F99" s="854"/>
      <c r="G99" s="914"/>
      <c r="H99" s="921"/>
      <c r="R99" s="53"/>
      <c r="S99" s="45"/>
    </row>
    <row r="100" spans="1:19" s="29" customFormat="1" ht="15.6">
      <c r="A100" s="431">
        <v>4</v>
      </c>
      <c r="B100" s="86" t="s">
        <v>341</v>
      </c>
      <c r="C100" s="93"/>
      <c r="D100" s="93"/>
      <c r="E100" s="95"/>
      <c r="F100" s="95"/>
      <c r="G100" s="96"/>
      <c r="H100" s="436"/>
      <c r="R100" s="53"/>
      <c r="S100" s="45"/>
    </row>
    <row r="101" spans="1:19" s="29" customFormat="1" ht="30" customHeight="1">
      <c r="A101" s="418" t="s">
        <v>205</v>
      </c>
      <c r="B101" s="871" t="s">
        <v>292</v>
      </c>
      <c r="C101" s="872"/>
      <c r="D101" s="873"/>
      <c r="E101" s="97">
        <f>VLOOKUP(A101,'Point Allocation'!$A$20:$J$40,MATCH(A7,'Point Allocation'!$A$20:$J$20,0),0)</f>
        <v>25</v>
      </c>
      <c r="F101" s="537"/>
      <c r="G101" s="538">
        <f>IFERROR(F101/$F$115,0)</f>
        <v>0</v>
      </c>
      <c r="H101" s="437">
        <f>E101*G101</f>
        <v>0</v>
      </c>
      <c r="R101" s="912"/>
      <c r="S101" s="45"/>
    </row>
    <row r="102" spans="1:19" s="29" customFormat="1">
      <c r="A102" s="418" t="s">
        <v>206</v>
      </c>
      <c r="B102" s="871" t="s">
        <v>293</v>
      </c>
      <c r="C102" s="872"/>
      <c r="D102" s="873"/>
      <c r="E102" s="97">
        <f>VLOOKUP(A102,'Point Allocation'!$A$20:$J$40,MATCH(A7,'Point Allocation'!$A$20:$J$20,0),0)</f>
        <v>25</v>
      </c>
      <c r="F102" s="537"/>
      <c r="G102" s="538">
        <f>IFERROR(F102/$F$115,0)</f>
        <v>0</v>
      </c>
      <c r="H102" s="437">
        <f>E102*G102</f>
        <v>0</v>
      </c>
      <c r="R102" s="912"/>
      <c r="S102" s="45"/>
    </row>
    <row r="103" spans="1:19" s="29" customFormat="1">
      <c r="A103" s="417">
        <v>4.2</v>
      </c>
      <c r="B103" s="874" t="s">
        <v>209</v>
      </c>
      <c r="C103" s="931"/>
      <c r="D103" s="875"/>
      <c r="E103" s="97">
        <f>VLOOKUP(A103,'Point Allocation'!$A$20:$J$40,MATCH(A7,'Point Allocation'!$A$20:$J$20,0),0)</f>
        <v>25</v>
      </c>
      <c r="F103" s="537"/>
      <c r="G103" s="538">
        <f>IFERROR(F103/$F$115,0)</f>
        <v>0</v>
      </c>
      <c r="H103" s="437">
        <f>E103*G103</f>
        <v>0</v>
      </c>
      <c r="R103" s="53"/>
      <c r="S103" s="45"/>
    </row>
    <row r="104" spans="1:19" s="29" customFormat="1">
      <c r="A104" s="417">
        <v>4.3</v>
      </c>
      <c r="B104" s="922" t="s">
        <v>159</v>
      </c>
      <c r="C104" s="923"/>
      <c r="D104" s="924"/>
      <c r="E104" s="97">
        <f>VLOOKUP(A104,'Point Allocation'!$A$20:$J$40,MATCH(A7,'Point Allocation'!$A$20:$J$20,0),0)</f>
        <v>25</v>
      </c>
      <c r="F104" s="537"/>
      <c r="G104" s="538">
        <f>IFERROR(F104/$F$115,0)</f>
        <v>0</v>
      </c>
      <c r="H104" s="438">
        <f>E104*G104</f>
        <v>0</v>
      </c>
      <c r="R104" s="53"/>
      <c r="S104" s="45"/>
    </row>
    <row r="105" spans="1:19" s="29" customFormat="1">
      <c r="A105" s="417">
        <v>4.4000000000000004</v>
      </c>
      <c r="B105" s="922" t="s">
        <v>355</v>
      </c>
      <c r="C105" s="923"/>
      <c r="D105" s="924"/>
      <c r="E105" s="97">
        <f>VLOOKUP(A105,'Point Allocation'!$A$20:$J$40,MATCH(A7,'Point Allocation'!$A$20:$J$20,0),0)</f>
        <v>22</v>
      </c>
      <c r="F105" s="537"/>
      <c r="G105" s="538">
        <f>IFERROR(F105/$F$115,0)</f>
        <v>0</v>
      </c>
      <c r="H105" s="438">
        <f>E105*G105</f>
        <v>0</v>
      </c>
      <c r="R105" s="53"/>
      <c r="S105" s="45"/>
    </row>
    <row r="106" spans="1:19" s="29" customFormat="1" ht="15.6">
      <c r="A106" s="439" t="s">
        <v>304</v>
      </c>
      <c r="B106" s="99" t="s">
        <v>236</v>
      </c>
      <c r="C106" s="100"/>
      <c r="D106" s="101"/>
      <c r="E106" s="102"/>
      <c r="F106" s="103"/>
      <c r="G106" s="104"/>
      <c r="H106" s="440"/>
      <c r="R106" s="53"/>
      <c r="S106" s="45"/>
    </row>
    <row r="107" spans="1:19" s="29" customFormat="1" ht="15.6">
      <c r="A107" s="431">
        <v>5</v>
      </c>
      <c r="B107" s="86" t="s">
        <v>237</v>
      </c>
      <c r="C107" s="93"/>
      <c r="D107" s="93"/>
      <c r="E107" s="95"/>
      <c r="F107" s="95"/>
      <c r="G107" s="96"/>
      <c r="H107" s="436"/>
      <c r="R107" s="53"/>
      <c r="S107" s="45"/>
    </row>
    <row r="108" spans="1:19" s="29" customFormat="1">
      <c r="A108" s="417">
        <v>5.0999999999999996</v>
      </c>
      <c r="B108" s="844" t="s">
        <v>210</v>
      </c>
      <c r="C108" s="846"/>
      <c r="D108" s="845"/>
      <c r="E108" s="105">
        <f>VLOOKUP(A108,'Point Allocation'!$A$20:$J$40,MATCH(A7,'Point Allocation'!$A$20:$J$20,0),0)</f>
        <v>16</v>
      </c>
      <c r="F108" s="156"/>
      <c r="G108" s="538">
        <f>IFERROR(F108/$F$115,0)</f>
        <v>0</v>
      </c>
      <c r="H108" s="441">
        <f>E108*G108</f>
        <v>0</v>
      </c>
      <c r="R108" s="53"/>
      <c r="S108" s="45"/>
    </row>
    <row r="109" spans="1:19" s="29" customFormat="1">
      <c r="A109" s="417">
        <v>5.2</v>
      </c>
      <c r="B109" s="844" t="s">
        <v>356</v>
      </c>
      <c r="C109" s="846"/>
      <c r="D109" s="845"/>
      <c r="E109" s="105">
        <f>VLOOKUP(A109,'Point Allocation'!$A$20:$J$40,MATCH(A7,'Point Allocation'!$A$20:$J$20,0),0)</f>
        <v>5</v>
      </c>
      <c r="F109" s="90"/>
      <c r="G109" s="538">
        <f>IFERROR(F109/$F$115,0)</f>
        <v>0</v>
      </c>
      <c r="H109" s="441">
        <f>E109*G109</f>
        <v>0</v>
      </c>
      <c r="R109" s="53"/>
      <c r="S109" s="45"/>
    </row>
    <row r="110" spans="1:19" s="29" customFormat="1">
      <c r="A110" s="417">
        <v>5.3</v>
      </c>
      <c r="B110" s="844" t="s">
        <v>357</v>
      </c>
      <c r="C110" s="846"/>
      <c r="D110" s="845"/>
      <c r="E110" s="105">
        <f>VLOOKUP(A110,'Point Allocation'!$A$20:$J$40,MATCH(A7,'Point Allocation'!$A$20:$J$20,0),0)</f>
        <v>0</v>
      </c>
      <c r="F110" s="155"/>
      <c r="G110" s="538">
        <f>IFERROR(F110/$F$115,0)</f>
        <v>0</v>
      </c>
      <c r="H110" s="442">
        <f>E110*G110</f>
        <v>0</v>
      </c>
      <c r="R110" s="53"/>
      <c r="S110" s="45"/>
    </row>
    <row r="111" spans="1:19" s="29" customFormat="1" ht="15.6">
      <c r="A111" s="443">
        <v>6</v>
      </c>
      <c r="B111" s="106" t="s">
        <v>213</v>
      </c>
      <c r="C111" s="93"/>
      <c r="D111" s="93"/>
      <c r="E111" s="95"/>
      <c r="F111" s="95"/>
      <c r="G111" s="96"/>
      <c r="H111" s="436"/>
      <c r="R111" s="53"/>
      <c r="S111" s="45"/>
    </row>
    <row r="112" spans="1:19" s="29" customFormat="1">
      <c r="A112" s="444">
        <v>6.1</v>
      </c>
      <c r="B112" s="826"/>
      <c r="C112" s="821"/>
      <c r="D112" s="847"/>
      <c r="E112" s="537"/>
      <c r="F112" s="537"/>
      <c r="G112" s="538">
        <f>IFERROR(F112/$F$115,0)</f>
        <v>0</v>
      </c>
      <c r="H112" s="442">
        <f>E112*G112</f>
        <v>0</v>
      </c>
      <c r="R112" s="53"/>
      <c r="S112" s="45"/>
    </row>
    <row r="113" spans="1:19" s="29" customFormat="1">
      <c r="A113" s="444">
        <v>6.2</v>
      </c>
      <c r="B113" s="826"/>
      <c r="C113" s="821"/>
      <c r="D113" s="847"/>
      <c r="E113" s="537"/>
      <c r="F113" s="537"/>
      <c r="G113" s="538">
        <f>IFERROR(F113/$F$115,0)</f>
        <v>0</v>
      </c>
      <c r="H113" s="442">
        <f>E113*G113</f>
        <v>0</v>
      </c>
      <c r="R113" s="53"/>
      <c r="S113" s="45"/>
    </row>
    <row r="114" spans="1:19" s="29" customFormat="1">
      <c r="A114" s="444">
        <v>6.3</v>
      </c>
      <c r="B114" s="848"/>
      <c r="C114" s="848"/>
      <c r="D114" s="848"/>
      <c r="E114" s="537"/>
      <c r="F114" s="537"/>
      <c r="G114" s="538">
        <f>IFERROR(F114/$F$115,0)</f>
        <v>0</v>
      </c>
      <c r="H114" s="442">
        <f>E114*G114</f>
        <v>0</v>
      </c>
      <c r="R114" s="53"/>
      <c r="S114" s="45"/>
    </row>
    <row r="115" spans="1:19" s="29" customFormat="1" ht="15.6">
      <c r="A115" s="425"/>
      <c r="B115" s="325"/>
      <c r="C115" s="323"/>
      <c r="D115" s="323"/>
      <c r="E115" s="330" t="s">
        <v>62</v>
      </c>
      <c r="F115" s="333">
        <f>SUM(F91:F114)+E19</f>
        <v>0</v>
      </c>
      <c r="G115" s="334">
        <f>SUM(G91:G114)+F19</f>
        <v>0</v>
      </c>
      <c r="H115" s="445">
        <f>IFERROR(SUM(H91:H114),0)</f>
        <v>0</v>
      </c>
      <c r="R115" s="53"/>
      <c r="S115" s="45"/>
    </row>
    <row r="116" spans="1:19" s="29" customFormat="1" ht="15.6" thickBot="1">
      <c r="A116" s="491"/>
      <c r="B116" s="492"/>
      <c r="C116" s="493"/>
      <c r="D116" s="493"/>
      <c r="E116" s="493"/>
      <c r="F116" s="493"/>
      <c r="G116" s="480"/>
      <c r="H116" s="639"/>
      <c r="R116" s="53"/>
      <c r="S116" s="45"/>
    </row>
    <row r="117" spans="1:19" s="29" customFormat="1" ht="31.2">
      <c r="A117" s="640" t="s">
        <v>0</v>
      </c>
      <c r="B117" s="641"/>
      <c r="C117" s="641"/>
      <c r="D117" s="642" t="s">
        <v>17</v>
      </c>
      <c r="E117" s="643" t="s">
        <v>81</v>
      </c>
      <c r="F117" s="644" t="s">
        <v>335</v>
      </c>
      <c r="G117" s="644" t="s">
        <v>336</v>
      </c>
      <c r="H117" s="645" t="s">
        <v>53</v>
      </c>
      <c r="R117" s="53"/>
      <c r="S117" s="45"/>
    </row>
    <row r="118" spans="1:19" s="29" customFormat="1" ht="15.6">
      <c r="A118" s="429" t="s">
        <v>238</v>
      </c>
      <c r="B118" s="83" t="s">
        <v>333</v>
      </c>
      <c r="C118" s="84"/>
      <c r="D118" s="85"/>
      <c r="E118" s="85"/>
      <c r="F118" s="85"/>
      <c r="G118" s="85"/>
      <c r="H118" s="430"/>
      <c r="R118" s="53"/>
      <c r="S118" s="45"/>
    </row>
    <row r="119" spans="1:19" s="29" customFormat="1" ht="15.6">
      <c r="A119" s="431">
        <v>7</v>
      </c>
      <c r="B119" s="86" t="s">
        <v>338</v>
      </c>
      <c r="C119" s="87"/>
      <c r="D119" s="88"/>
      <c r="E119" s="88"/>
      <c r="F119" s="88"/>
      <c r="G119" s="88"/>
      <c r="H119" s="432"/>
      <c r="R119" s="53"/>
      <c r="S119" s="45"/>
    </row>
    <row r="120" spans="1:19" s="29" customFormat="1" ht="15" customHeight="1">
      <c r="A120" s="404">
        <v>7.1</v>
      </c>
      <c r="B120" s="885" t="s">
        <v>290</v>
      </c>
      <c r="C120" s="884"/>
      <c r="D120" s="98">
        <f>VLOOKUP(A120,'Point Allocation'!$A$20:$J$41,MATCH(A7,'Point Allocation'!$A$20:$J$20,0),0)</f>
        <v>10</v>
      </c>
      <c r="E120" s="89">
        <f>F91</f>
        <v>0</v>
      </c>
      <c r="F120" s="89">
        <f>F29</f>
        <v>0</v>
      </c>
      <c r="G120" s="91">
        <f>IFERROR(SUM(E120:F120)/SUM($E$138:$F$138),0)</f>
        <v>0</v>
      </c>
      <c r="H120" s="433">
        <f>D120*G120</f>
        <v>0</v>
      </c>
      <c r="R120" s="53"/>
      <c r="S120" s="45"/>
    </row>
    <row r="121" spans="1:19" s="29" customFormat="1" ht="15.6">
      <c r="A121" s="434">
        <v>8</v>
      </c>
      <c r="B121" s="92" t="s">
        <v>339</v>
      </c>
      <c r="C121" s="93"/>
      <c r="D121" s="94"/>
      <c r="E121" s="95"/>
      <c r="F121" s="95"/>
      <c r="G121" s="96"/>
      <c r="H121" s="435"/>
      <c r="R121" s="53"/>
      <c r="S121" s="45"/>
    </row>
    <row r="122" spans="1:19" s="29" customFormat="1">
      <c r="A122" s="849">
        <v>8.1</v>
      </c>
      <c r="B122" s="844" t="s">
        <v>337</v>
      </c>
      <c r="C122" s="845"/>
      <c r="D122" s="925">
        <f>VLOOKUP(A122,'Point Allocation'!$A$20:$J$41,MATCH(A7,'Point Allocation'!$A$20:$J$20,0),0)</f>
        <v>8</v>
      </c>
      <c r="E122" s="927">
        <f>F93</f>
        <v>0</v>
      </c>
      <c r="F122" s="859"/>
      <c r="G122" s="860">
        <f>IFERROR(SUM(E122:F123)/SUM($E$138:$F$138),0)</f>
        <v>0</v>
      </c>
      <c r="H122" s="921">
        <f>D122*G122</f>
        <v>0</v>
      </c>
      <c r="R122" s="53"/>
      <c r="S122" s="45"/>
    </row>
    <row r="123" spans="1:19" s="29" customFormat="1" ht="15.6">
      <c r="A123" s="882"/>
      <c r="B123" s="836" t="s">
        <v>120</v>
      </c>
      <c r="C123" s="838"/>
      <c r="D123" s="926"/>
      <c r="E123" s="927"/>
      <c r="F123" s="859"/>
      <c r="G123" s="861"/>
      <c r="H123" s="921"/>
      <c r="R123" s="53"/>
      <c r="S123" s="45"/>
    </row>
    <row r="124" spans="1:19" s="29" customFormat="1">
      <c r="A124" s="404">
        <v>8.1999999999999993</v>
      </c>
      <c r="B124" s="885" t="s">
        <v>178</v>
      </c>
      <c r="C124" s="884"/>
      <c r="D124" s="98">
        <f>VLOOKUP(A124,'Point Allocation'!$A$20:$J$41,MATCH(A7,'Point Allocation'!$A$20:$J$20,0),0)</f>
        <v>8</v>
      </c>
      <c r="E124" s="189">
        <f>F95</f>
        <v>0</v>
      </c>
      <c r="F124" s="548"/>
      <c r="G124" s="91">
        <f>IFERROR(SUM(E124:F124)/SUM($E$138:$F$138),0)</f>
        <v>0</v>
      </c>
      <c r="H124" s="437">
        <f>D124*G124</f>
        <v>0</v>
      </c>
      <c r="R124" s="53"/>
      <c r="S124" s="45"/>
    </row>
    <row r="125" spans="1:19" s="29" customFormat="1" ht="15.6">
      <c r="A125" s="431">
        <v>9</v>
      </c>
      <c r="B125" s="86" t="s">
        <v>340</v>
      </c>
      <c r="C125" s="93"/>
      <c r="D125" s="95"/>
      <c r="E125" s="95"/>
      <c r="F125" s="95"/>
      <c r="G125" s="96"/>
      <c r="H125" s="436"/>
      <c r="R125" s="53"/>
      <c r="S125" s="45"/>
    </row>
    <row r="126" spans="1:19" s="29" customFormat="1">
      <c r="A126" s="849">
        <v>9.1</v>
      </c>
      <c r="B126" s="844" t="s">
        <v>381</v>
      </c>
      <c r="C126" s="845"/>
      <c r="D126" s="925">
        <f>VLOOKUP(A126,'Point Allocation'!$A$20:$J$41,MATCH(A7,'Point Allocation'!$A$20:$J$20,0),0)</f>
        <v>6</v>
      </c>
      <c r="E126" s="859"/>
      <c r="F126" s="859"/>
      <c r="G126" s="914">
        <f>IFERROR(SUM(E126:F127)/SUM($E$138:$F$138),0)</f>
        <v>0</v>
      </c>
      <c r="H126" s="921">
        <f>D126*G126</f>
        <v>0</v>
      </c>
      <c r="R126" s="53"/>
      <c r="S126" s="45"/>
    </row>
    <row r="127" spans="1:19" s="29" customFormat="1" ht="15.6">
      <c r="A127" s="882"/>
      <c r="B127" s="836" t="s">
        <v>5</v>
      </c>
      <c r="C127" s="838"/>
      <c r="D127" s="926"/>
      <c r="E127" s="859"/>
      <c r="F127" s="859"/>
      <c r="G127" s="914"/>
      <c r="H127" s="921"/>
      <c r="R127" s="53"/>
      <c r="S127" s="45"/>
    </row>
    <row r="128" spans="1:19" s="29" customFormat="1" ht="15.6">
      <c r="A128" s="431">
        <v>10</v>
      </c>
      <c r="B128" s="86" t="s">
        <v>342</v>
      </c>
      <c r="C128" s="93"/>
      <c r="D128" s="95"/>
      <c r="E128" s="95"/>
      <c r="F128" s="95"/>
      <c r="G128" s="96"/>
      <c r="H128" s="436"/>
      <c r="R128" s="53"/>
      <c r="S128" s="45"/>
    </row>
    <row r="129" spans="1:19" s="29" customFormat="1" ht="15" customHeight="1">
      <c r="A129" s="409">
        <v>10.1</v>
      </c>
      <c r="B129" s="844" t="s">
        <v>382</v>
      </c>
      <c r="C129" s="845"/>
      <c r="D129" s="98">
        <f>VLOOKUP(A129,'Point Allocation'!$A$20:$J$41,MATCH(A7,'Point Allocation'!$A$20:$J$20,0),0)</f>
        <v>4</v>
      </c>
      <c r="E129" s="548"/>
      <c r="F129" s="548"/>
      <c r="G129" s="91">
        <f>IFERROR(SUM(E129:F129)/SUM($E$138:$F$138),0)</f>
        <v>0</v>
      </c>
      <c r="H129" s="437">
        <f>D129*G129</f>
        <v>0</v>
      </c>
      <c r="R129" s="53"/>
      <c r="S129" s="45"/>
    </row>
    <row r="130" spans="1:19" s="29" customFormat="1" ht="32.25" customHeight="1">
      <c r="A130" s="406">
        <v>10.199999999999999</v>
      </c>
      <c r="B130" s="928" t="s">
        <v>353</v>
      </c>
      <c r="C130" s="929"/>
      <c r="D130" s="98">
        <f>VLOOKUP(A130,'Point Allocation'!$A$20:$J$41,MATCH(A7,'Point Allocation'!$A$20:$J$20,0),0)</f>
        <v>4</v>
      </c>
      <c r="E130" s="188"/>
      <c r="F130" s="548"/>
      <c r="G130" s="538">
        <f>IFERROR(SUM(E130:F130)/SUM($E$138:$F$138),0)</f>
        <v>0</v>
      </c>
      <c r="H130" s="437">
        <f>D130*G130</f>
        <v>0</v>
      </c>
      <c r="R130" s="53"/>
      <c r="S130" s="45"/>
    </row>
    <row r="131" spans="1:19" s="29" customFormat="1" ht="15.6">
      <c r="A131" s="439" t="s">
        <v>239</v>
      </c>
      <c r="B131" s="99" t="s">
        <v>262</v>
      </c>
      <c r="C131" s="100"/>
      <c r="D131" s="102"/>
      <c r="E131" s="103"/>
      <c r="F131" s="103"/>
      <c r="G131" s="104"/>
      <c r="H131" s="440"/>
      <c r="R131" s="53"/>
      <c r="S131" s="45"/>
    </row>
    <row r="132" spans="1:19" s="29" customFormat="1" ht="15.6">
      <c r="A132" s="431">
        <v>11</v>
      </c>
      <c r="B132" s="86" t="s">
        <v>263</v>
      </c>
      <c r="C132" s="93"/>
      <c r="D132" s="95"/>
      <c r="E132" s="95"/>
      <c r="F132" s="95"/>
      <c r="G132" s="96"/>
      <c r="H132" s="436"/>
      <c r="R132" s="53"/>
      <c r="S132" s="45"/>
    </row>
    <row r="133" spans="1:19" s="29" customFormat="1">
      <c r="A133" s="409">
        <v>11.1</v>
      </c>
      <c r="B133" s="844" t="s">
        <v>593</v>
      </c>
      <c r="C133" s="845"/>
      <c r="D133" s="98">
        <f>VLOOKUP(A133,'Point Allocation'!$A$20:$J$41,MATCH(A7,'Point Allocation'!$A$20:$J$20,0),0)</f>
        <v>2</v>
      </c>
      <c r="E133" s="548"/>
      <c r="F133" s="548"/>
      <c r="G133" s="538">
        <f>IFERROR(SUM(E133:F133)/SUM($E$138:$F$138),0)</f>
        <v>0</v>
      </c>
      <c r="H133" s="437">
        <f t="shared" ref="H133:H137" si="2">D133*G133</f>
        <v>0</v>
      </c>
      <c r="R133" s="53"/>
      <c r="S133" s="45"/>
    </row>
    <row r="134" spans="1:19" s="29" customFormat="1">
      <c r="A134" s="446">
        <v>11.2</v>
      </c>
      <c r="B134" s="874" t="s">
        <v>344</v>
      </c>
      <c r="C134" s="875"/>
      <c r="D134" s="189">
        <f>VLOOKUP(A133,'Point Allocation'!$A$20:$J$41,MATCH(A7,'Point Allocation'!$A$20:$J$20,0),0)</f>
        <v>2</v>
      </c>
      <c r="E134" s="548"/>
      <c r="F134" s="548"/>
      <c r="G134" s="538">
        <f>IFERROR(SUM(E134:F134)/SUM($E$138:$F$138),0)</f>
        <v>0</v>
      </c>
      <c r="H134" s="437">
        <f t="shared" si="2"/>
        <v>0</v>
      </c>
      <c r="R134" s="53"/>
      <c r="S134" s="45"/>
    </row>
    <row r="135" spans="1:19" s="29" customFormat="1">
      <c r="A135" s="409">
        <v>11.3</v>
      </c>
      <c r="B135" s="874" t="s">
        <v>352</v>
      </c>
      <c r="C135" s="875"/>
      <c r="D135" s="98">
        <f>VLOOKUP(A135,'Point Allocation'!$A$20:$J$41,MATCH(A7,'Point Allocation'!$A$20:$J$20,0),0)</f>
        <v>0</v>
      </c>
      <c r="E135" s="548"/>
      <c r="F135" s="548"/>
      <c r="G135" s="538">
        <f>IFERROR(SUM(E135:F135)/SUM($E$138:$F$138),0)</f>
        <v>0</v>
      </c>
      <c r="H135" s="437">
        <f t="shared" si="2"/>
        <v>0</v>
      </c>
      <c r="R135" s="53"/>
      <c r="S135" s="45"/>
    </row>
    <row r="136" spans="1:19" s="29" customFormat="1">
      <c r="A136" s="447">
        <v>11.4</v>
      </c>
      <c r="B136" s="866"/>
      <c r="C136" s="867"/>
      <c r="D136" s="537"/>
      <c r="E136" s="548"/>
      <c r="F136" s="548"/>
      <c r="G136" s="538">
        <f>IFERROR(SUM(E136:F136)/SUM($E$138:$F$138),0)</f>
        <v>0</v>
      </c>
      <c r="H136" s="437">
        <f t="shared" si="2"/>
        <v>0</v>
      </c>
      <c r="R136" s="53"/>
      <c r="S136" s="45"/>
    </row>
    <row r="137" spans="1:19" s="29" customFormat="1">
      <c r="A137" s="447">
        <v>11.5</v>
      </c>
      <c r="B137" s="866"/>
      <c r="C137" s="867"/>
      <c r="D137" s="537"/>
      <c r="E137" s="548"/>
      <c r="F137" s="548"/>
      <c r="G137" s="538">
        <f>IFERROR(SUM(E137:F137)/SUM($E$138:$F$138),0)</f>
        <v>0</v>
      </c>
      <c r="H137" s="437">
        <f t="shared" si="2"/>
        <v>0</v>
      </c>
      <c r="R137" s="53"/>
      <c r="S137" s="45"/>
    </row>
    <row r="138" spans="1:19" s="29" customFormat="1" ht="15.6">
      <c r="A138" s="412"/>
      <c r="B138" s="325"/>
      <c r="C138" s="323"/>
      <c r="D138" s="330" t="s">
        <v>140</v>
      </c>
      <c r="E138" s="333">
        <f>SUM(E120:E137)</f>
        <v>0</v>
      </c>
      <c r="F138" s="335">
        <f>SUM(F120:F137)</f>
        <v>0</v>
      </c>
      <c r="G138" s="336">
        <f>SUM(G120:G137)</f>
        <v>0</v>
      </c>
      <c r="H138" s="448">
        <f>IFERROR(SUM(H120:H137),0)</f>
        <v>0</v>
      </c>
      <c r="R138" s="53"/>
      <c r="S138" s="45"/>
    </row>
    <row r="139" spans="1:19" s="29" customFormat="1">
      <c r="A139" s="414"/>
      <c r="B139" s="325"/>
      <c r="C139" s="323"/>
      <c r="D139" s="323"/>
      <c r="E139" s="323"/>
      <c r="F139" s="323"/>
      <c r="G139" s="332"/>
      <c r="H139" s="388"/>
      <c r="R139" s="53"/>
      <c r="S139" s="45"/>
    </row>
    <row r="140" spans="1:19" s="29" customFormat="1" ht="46.8">
      <c r="A140" s="868" t="s">
        <v>0</v>
      </c>
      <c r="B140" s="869"/>
      <c r="C140" s="176"/>
      <c r="D140" s="545" t="s">
        <v>58</v>
      </c>
      <c r="E140" s="545" t="s">
        <v>59</v>
      </c>
      <c r="F140" s="870" t="s">
        <v>60</v>
      </c>
      <c r="G140" s="870"/>
      <c r="H140" s="449" t="s">
        <v>63</v>
      </c>
      <c r="K140" s="107" t="s">
        <v>72</v>
      </c>
      <c r="L140" s="107">
        <v>1</v>
      </c>
      <c r="M140" s="107">
        <v>2</v>
      </c>
      <c r="N140" s="107">
        <v>3</v>
      </c>
      <c r="O140" s="107">
        <v>4</v>
      </c>
      <c r="P140" s="107">
        <v>5</v>
      </c>
      <c r="Q140" s="107">
        <v>6</v>
      </c>
      <c r="R140" s="53"/>
      <c r="S140" s="45"/>
    </row>
    <row r="141" spans="1:19" s="29" customFormat="1" ht="15.6">
      <c r="A141" s="450" t="s">
        <v>240</v>
      </c>
      <c r="B141" s="130" t="s">
        <v>148</v>
      </c>
      <c r="C141" s="175"/>
      <c r="D141" s="57"/>
      <c r="E141" s="57"/>
      <c r="F141" s="58"/>
      <c r="G141" s="108"/>
      <c r="H141" s="451"/>
      <c r="K141" s="107" t="s">
        <v>74</v>
      </c>
      <c r="L141" s="107" t="s">
        <v>73</v>
      </c>
      <c r="M141" s="107">
        <v>1</v>
      </c>
      <c r="N141" s="107">
        <v>2</v>
      </c>
      <c r="O141" s="107">
        <v>3</v>
      </c>
      <c r="P141" s="107">
        <v>4</v>
      </c>
      <c r="Q141" s="107">
        <v>4</v>
      </c>
      <c r="R141" s="53"/>
      <c r="S141" s="45"/>
    </row>
    <row r="142" spans="1:19" s="29" customFormat="1">
      <c r="A142" s="391" t="s">
        <v>241</v>
      </c>
      <c r="B142" s="520" t="s">
        <v>442</v>
      </c>
      <c r="C142" s="177" t="s">
        <v>56</v>
      </c>
      <c r="D142" s="854"/>
      <c r="E142" s="854"/>
      <c r="F142" s="892" t="str">
        <f>IF(D142&gt;9,D142/E142," ")</f>
        <v xml:space="preserve"> </v>
      </c>
      <c r="G142" s="892"/>
      <c r="H142" s="437">
        <f>IF(D142="",0,IF(D142&lt;9,2,IF((D142/E142)=0,2,IF((D142/E142)&lt;10%,1.5,IF((D142/E142)&lt;15%,1,IF((D142/E142)&lt;20%,0.5,0))))))</f>
        <v>0</v>
      </c>
      <c r="K142" s="107" t="s">
        <v>75</v>
      </c>
      <c r="L142" s="107" t="s">
        <v>73</v>
      </c>
      <c r="M142" s="107">
        <v>5</v>
      </c>
      <c r="N142" s="107">
        <v>15</v>
      </c>
      <c r="O142" s="107">
        <v>25</v>
      </c>
      <c r="P142" s="107">
        <v>35</v>
      </c>
      <c r="Q142" s="107">
        <v>35</v>
      </c>
      <c r="R142" s="53"/>
      <c r="S142" s="45"/>
    </row>
    <row r="143" spans="1:19" s="29" customFormat="1">
      <c r="A143" s="391" t="s">
        <v>242</v>
      </c>
      <c r="B143" s="520" t="s">
        <v>443</v>
      </c>
      <c r="C143" s="177" t="s">
        <v>57</v>
      </c>
      <c r="D143" s="854"/>
      <c r="E143" s="854"/>
      <c r="F143" s="893"/>
      <c r="G143" s="893"/>
      <c r="H143" s="437">
        <f>IF(E142="",0,IF(E142&lt;15,HLOOKUP(F143,K140:Q147,4,FALSE),IF(E142&lt;45,HLOOKUP(F143,K140:Q147,5,FALSE),IF(E142&lt;90,HLOOKUP(F143,K140:Q147,6,FALSE),IF(E142&lt;135,HLOOKUP(F143,K140:Q147,7,FALSE),IF(E142&gt;=135,HLOOKUP(F143,K140:Q147,8,FALSE),3))))))</f>
        <v>0</v>
      </c>
      <c r="J143" s="55"/>
      <c r="K143" s="107" t="s">
        <v>76</v>
      </c>
      <c r="L143" s="107">
        <v>3</v>
      </c>
      <c r="M143" s="107">
        <v>3</v>
      </c>
      <c r="N143" s="107">
        <v>3</v>
      </c>
      <c r="O143" s="107">
        <v>2.5</v>
      </c>
      <c r="P143" s="107">
        <v>1.5</v>
      </c>
      <c r="Q143" s="107">
        <v>0</v>
      </c>
      <c r="R143" s="53"/>
      <c r="S143" s="45"/>
    </row>
    <row r="144" spans="1:19" s="29" customFormat="1">
      <c r="A144" s="412"/>
      <c r="B144" s="325"/>
      <c r="C144" s="332"/>
      <c r="D144" s="337"/>
      <c r="E144" s="337"/>
      <c r="F144" s="337"/>
      <c r="G144" s="337"/>
      <c r="H144" s="452"/>
      <c r="J144" s="55"/>
      <c r="K144" s="107" t="s">
        <v>77</v>
      </c>
      <c r="L144" s="107">
        <v>3</v>
      </c>
      <c r="M144" s="107">
        <v>3</v>
      </c>
      <c r="N144" s="107">
        <v>2.5</v>
      </c>
      <c r="O144" s="107">
        <v>1.5</v>
      </c>
      <c r="P144" s="107">
        <v>1</v>
      </c>
      <c r="Q144" s="107">
        <v>0</v>
      </c>
      <c r="R144" s="53"/>
      <c r="S144" s="45"/>
    </row>
    <row r="145" spans="1:19" s="29" customFormat="1" ht="15.6">
      <c r="A145" s="412"/>
      <c r="B145" s="338"/>
      <c r="C145" s="332"/>
      <c r="D145" s="332"/>
      <c r="E145" s="332"/>
      <c r="F145" s="323"/>
      <c r="G145" s="339"/>
      <c r="H145" s="453"/>
      <c r="J145" s="55"/>
      <c r="K145" s="107" t="s">
        <v>78</v>
      </c>
      <c r="L145" s="107">
        <v>3</v>
      </c>
      <c r="M145" s="107">
        <v>2.5</v>
      </c>
      <c r="N145" s="107">
        <v>1.5</v>
      </c>
      <c r="O145" s="107">
        <v>1</v>
      </c>
      <c r="P145" s="107">
        <v>0</v>
      </c>
      <c r="Q145" s="107">
        <v>0</v>
      </c>
      <c r="R145" s="53"/>
      <c r="S145" s="45"/>
    </row>
    <row r="146" spans="1:19" s="29" customFormat="1" ht="15.75" customHeight="1">
      <c r="A146" s="876" t="s">
        <v>0</v>
      </c>
      <c r="B146" s="877"/>
      <c r="C146" s="991"/>
      <c r="D146" s="880" t="s">
        <v>4</v>
      </c>
      <c r="E146" s="895" t="s">
        <v>1</v>
      </c>
      <c r="F146" s="881"/>
      <c r="G146" s="896" t="s">
        <v>21</v>
      </c>
      <c r="H146" s="890" t="s">
        <v>63</v>
      </c>
      <c r="J146" s="55"/>
      <c r="K146" s="107" t="s">
        <v>79</v>
      </c>
      <c r="L146" s="107">
        <v>3</v>
      </c>
      <c r="M146" s="107">
        <v>1.5</v>
      </c>
      <c r="N146" s="107">
        <v>1</v>
      </c>
      <c r="O146" s="107">
        <v>0</v>
      </c>
      <c r="P146" s="107">
        <v>0</v>
      </c>
      <c r="Q146" s="107">
        <v>0</v>
      </c>
      <c r="R146" s="53"/>
      <c r="S146" s="45"/>
    </row>
    <row r="147" spans="1:19" s="29" customFormat="1" ht="30" customHeight="1">
      <c r="A147" s="878"/>
      <c r="B147" s="879"/>
      <c r="C147" s="992"/>
      <c r="D147" s="881"/>
      <c r="E147" s="545" t="s">
        <v>65</v>
      </c>
      <c r="F147" s="545" t="s">
        <v>66</v>
      </c>
      <c r="G147" s="897"/>
      <c r="H147" s="891"/>
      <c r="J147" s="55"/>
      <c r="K147" s="107" t="s">
        <v>80</v>
      </c>
      <c r="L147" s="107">
        <v>3</v>
      </c>
      <c r="M147" s="107">
        <v>1</v>
      </c>
      <c r="N147" s="107">
        <v>0</v>
      </c>
      <c r="O147" s="107">
        <v>0</v>
      </c>
      <c r="P147" s="107">
        <v>0</v>
      </c>
      <c r="Q147" s="107">
        <v>0</v>
      </c>
      <c r="R147" s="53"/>
      <c r="S147" s="45"/>
    </row>
    <row r="148" spans="1:19" s="29" customFormat="1" ht="15.6">
      <c r="A148" s="454" t="s">
        <v>243</v>
      </c>
      <c r="B148" s="109" t="s">
        <v>264</v>
      </c>
      <c r="C148" s="110"/>
      <c r="D148" s="110"/>
      <c r="E148" s="110"/>
      <c r="F148" s="114"/>
      <c r="G148" s="115"/>
      <c r="H148" s="455"/>
      <c r="K148" s="107" t="s">
        <v>74</v>
      </c>
      <c r="L148" s="107" t="s">
        <v>73</v>
      </c>
      <c r="M148" s="107">
        <v>1</v>
      </c>
      <c r="N148" s="107">
        <v>2</v>
      </c>
      <c r="O148" s="107">
        <v>3</v>
      </c>
      <c r="P148" s="107">
        <v>4</v>
      </c>
      <c r="Q148" s="107">
        <v>4</v>
      </c>
      <c r="R148" s="53"/>
      <c r="S148" s="45"/>
    </row>
    <row r="149" spans="1:19" s="29" customFormat="1" ht="15.6">
      <c r="A149" s="456" t="s">
        <v>244</v>
      </c>
      <c r="B149" s="158" t="s">
        <v>231</v>
      </c>
      <c r="C149" s="159"/>
      <c r="D149" s="160"/>
      <c r="E149" s="161"/>
      <c r="F149" s="161"/>
      <c r="G149" s="162"/>
      <c r="H149" s="457"/>
      <c r="J149" s="55"/>
      <c r="R149" s="53"/>
      <c r="S149" s="45"/>
    </row>
    <row r="150" spans="1:19" s="29" customFormat="1">
      <c r="A150" s="418" t="s">
        <v>245</v>
      </c>
      <c r="B150" s="885" t="s">
        <v>424</v>
      </c>
      <c r="C150" s="884"/>
      <c r="D150" s="163" t="s">
        <v>51</v>
      </c>
      <c r="E150" s="541">
        <v>2</v>
      </c>
      <c r="F150" s="541">
        <v>3</v>
      </c>
      <c r="G150" s="27"/>
      <c r="H150" s="405">
        <f t="shared" ref="H150:H159" si="3">IF(G150&gt;=80%,F150,IF(G150&lt;65%,0,E150))</f>
        <v>0</v>
      </c>
      <c r="R150" s="53"/>
      <c r="S150" s="45"/>
    </row>
    <row r="151" spans="1:19" s="29" customFormat="1">
      <c r="A151" s="418" t="s">
        <v>246</v>
      </c>
      <c r="B151" s="844" t="s">
        <v>423</v>
      </c>
      <c r="C151" s="845"/>
      <c r="D151" s="164" t="s">
        <v>51</v>
      </c>
      <c r="E151" s="20">
        <v>2</v>
      </c>
      <c r="F151" s="20">
        <v>3</v>
      </c>
      <c r="G151" s="547"/>
      <c r="H151" s="405">
        <f>IF(G151&gt;=80%,F151,IF(G151&lt;65%,0,E151))</f>
        <v>0</v>
      </c>
      <c r="R151" s="53"/>
      <c r="S151" s="45"/>
    </row>
    <row r="152" spans="1:19" s="29" customFormat="1" ht="30">
      <c r="A152" s="839" t="s">
        <v>247</v>
      </c>
      <c r="B152" s="915" t="s">
        <v>448</v>
      </c>
      <c r="C152" s="916"/>
      <c r="D152" s="521" t="s">
        <v>446</v>
      </c>
      <c r="E152" s="907">
        <v>2.5</v>
      </c>
      <c r="F152" s="908"/>
      <c r="G152" s="940"/>
      <c r="H152" s="938">
        <f>IF(G152&gt;=35,E153,IF(G152&gt;=30,E152,0))</f>
        <v>0</v>
      </c>
      <c r="R152" s="53"/>
      <c r="S152" s="45"/>
    </row>
    <row r="153" spans="1:19" s="29" customFormat="1" ht="30">
      <c r="A153" s="841"/>
      <c r="B153" s="917"/>
      <c r="C153" s="918"/>
      <c r="D153" s="521" t="s">
        <v>447</v>
      </c>
      <c r="E153" s="907">
        <v>3</v>
      </c>
      <c r="F153" s="908"/>
      <c r="G153" s="941"/>
      <c r="H153" s="939"/>
      <c r="R153" s="53"/>
      <c r="S153" s="45"/>
    </row>
    <row r="154" spans="1:19" s="29" customFormat="1" ht="31.5" customHeight="1">
      <c r="A154" s="839" t="s">
        <v>248</v>
      </c>
      <c r="B154" s="915" t="s">
        <v>449</v>
      </c>
      <c r="C154" s="933"/>
      <c r="D154" s="165" t="s">
        <v>372</v>
      </c>
      <c r="E154" s="864">
        <v>4</v>
      </c>
      <c r="F154" s="865"/>
      <c r="G154" s="942"/>
      <c r="H154" s="945">
        <f>IF(G154&gt;=80,E154,IF(G154&gt;=70,E155,IF(G154&gt;=60,E156,IF(G154&gt;=50,E157,0))))</f>
        <v>0</v>
      </c>
      <c r="I154" s="913"/>
      <c r="R154" s="53"/>
      <c r="S154" s="45"/>
    </row>
    <row r="155" spans="1:19" s="29" customFormat="1" ht="31.5" customHeight="1">
      <c r="A155" s="840"/>
      <c r="B155" s="934"/>
      <c r="C155" s="935"/>
      <c r="D155" s="165" t="s">
        <v>373</v>
      </c>
      <c r="E155" s="864">
        <v>3</v>
      </c>
      <c r="F155" s="865"/>
      <c r="G155" s="943"/>
      <c r="H155" s="946"/>
      <c r="I155" s="913"/>
      <c r="R155" s="53"/>
      <c r="S155" s="45"/>
    </row>
    <row r="156" spans="1:19" s="29" customFormat="1" ht="31.5" customHeight="1">
      <c r="A156" s="840"/>
      <c r="B156" s="934"/>
      <c r="C156" s="935"/>
      <c r="D156" s="165" t="s">
        <v>411</v>
      </c>
      <c r="E156" s="864">
        <v>2</v>
      </c>
      <c r="F156" s="865"/>
      <c r="G156" s="943"/>
      <c r="H156" s="946"/>
      <c r="I156" s="913"/>
      <c r="R156" s="53"/>
      <c r="S156" s="45"/>
    </row>
    <row r="157" spans="1:19" s="29" customFormat="1" ht="31.5" customHeight="1">
      <c r="A157" s="841"/>
      <c r="B157" s="936"/>
      <c r="C157" s="937"/>
      <c r="D157" s="165" t="s">
        <v>412</v>
      </c>
      <c r="E157" s="864">
        <v>1</v>
      </c>
      <c r="F157" s="865"/>
      <c r="G157" s="944"/>
      <c r="H157" s="947"/>
      <c r="I157" s="913"/>
      <c r="R157" s="53"/>
      <c r="S157" s="45"/>
    </row>
    <row r="158" spans="1:19" s="29" customFormat="1" ht="31.5" customHeight="1">
      <c r="A158" s="839" t="s">
        <v>414</v>
      </c>
      <c r="B158" s="915" t="s">
        <v>444</v>
      </c>
      <c r="C158" s="933"/>
      <c r="D158" s="165" t="s">
        <v>67</v>
      </c>
      <c r="E158" s="376">
        <v>3.5</v>
      </c>
      <c r="F158" s="376">
        <v>4</v>
      </c>
      <c r="G158" s="27"/>
      <c r="H158" s="405">
        <f t="shared" si="3"/>
        <v>0</v>
      </c>
      <c r="I158" s="913"/>
      <c r="R158" s="53"/>
      <c r="S158" s="45"/>
    </row>
    <row r="159" spans="1:19" s="29" customFormat="1" ht="30">
      <c r="A159" s="841"/>
      <c r="B159" s="936"/>
      <c r="C159" s="937"/>
      <c r="D159" s="165" t="s">
        <v>68</v>
      </c>
      <c r="E159" s="376">
        <v>2.5</v>
      </c>
      <c r="F159" s="376">
        <v>3</v>
      </c>
      <c r="G159" s="27"/>
      <c r="H159" s="405">
        <f t="shared" si="3"/>
        <v>0</v>
      </c>
      <c r="R159" s="53"/>
      <c r="S159" s="45"/>
    </row>
    <row r="160" spans="1:19" s="29" customFormat="1">
      <c r="A160" s="522" t="s">
        <v>594</v>
      </c>
      <c r="B160" s="999" t="s">
        <v>421</v>
      </c>
      <c r="C160" s="1000"/>
      <c r="D160" s="523" t="s">
        <v>51</v>
      </c>
      <c r="E160" s="551">
        <v>2</v>
      </c>
      <c r="F160" s="551">
        <v>2.5</v>
      </c>
      <c r="G160" s="27"/>
      <c r="H160" s="298">
        <f>IF(G160&gt;=80%,F160,IF(G160&lt;65%,0,E160))</f>
        <v>0</v>
      </c>
      <c r="R160" s="53"/>
      <c r="S160" s="45"/>
    </row>
    <row r="161" spans="1:19" s="29" customFormat="1" ht="15.6">
      <c r="A161" s="431" t="s">
        <v>249</v>
      </c>
      <c r="B161" s="86" t="s">
        <v>299</v>
      </c>
      <c r="C161" s="93"/>
      <c r="D161" s="160"/>
      <c r="E161" s="161"/>
      <c r="F161" s="161"/>
      <c r="G161" s="162"/>
      <c r="H161" s="457"/>
      <c r="I161" s="172"/>
      <c r="R161" s="53"/>
      <c r="S161" s="45"/>
    </row>
    <row r="162" spans="1:19" s="29" customFormat="1" ht="32.25" customHeight="1">
      <c r="A162" s="418" t="s">
        <v>250</v>
      </c>
      <c r="B162" s="936" t="s">
        <v>597</v>
      </c>
      <c r="C162" s="937"/>
      <c r="D162" s="543" t="s">
        <v>51</v>
      </c>
      <c r="E162" s="541">
        <v>2</v>
      </c>
      <c r="F162" s="541">
        <v>2.5</v>
      </c>
      <c r="G162" s="27"/>
      <c r="H162" s="405">
        <f>IF(G162&gt;=80%,F162,IF(G162&lt;65%,0,E162))</f>
        <v>0</v>
      </c>
      <c r="R162" s="53"/>
      <c r="S162" s="45"/>
    </row>
    <row r="163" spans="1:19" s="29" customFormat="1" ht="29.25" customHeight="1">
      <c r="A163" s="418" t="s">
        <v>251</v>
      </c>
      <c r="B163" s="999" t="s">
        <v>445</v>
      </c>
      <c r="C163" s="1000"/>
      <c r="D163" s="543" t="s">
        <v>51</v>
      </c>
      <c r="E163" s="541">
        <v>2</v>
      </c>
      <c r="F163" s="541">
        <v>2.5</v>
      </c>
      <c r="G163" s="27"/>
      <c r="H163" s="405">
        <f>IF(G163&gt;=80%,F163,IF(G163&lt;65%,0,E163))</f>
        <v>0</v>
      </c>
      <c r="R163" s="53"/>
      <c r="S163" s="45"/>
    </row>
    <row r="164" spans="1:19" s="29" customFormat="1" ht="15.6">
      <c r="A164" s="431">
        <v>15</v>
      </c>
      <c r="B164" s="86" t="s">
        <v>278</v>
      </c>
      <c r="C164" s="93"/>
      <c r="D164" s="160"/>
      <c r="E164" s="161"/>
      <c r="F164" s="161"/>
      <c r="G164" s="162"/>
      <c r="H164" s="457"/>
      <c r="I164" s="172"/>
      <c r="R164" s="53"/>
      <c r="S164" s="45"/>
    </row>
    <row r="165" spans="1:19" s="29" customFormat="1">
      <c r="A165" s="839" t="s">
        <v>252</v>
      </c>
      <c r="B165" s="936" t="s">
        <v>297</v>
      </c>
      <c r="C165" s="937"/>
      <c r="D165" s="919" t="s">
        <v>51</v>
      </c>
      <c r="E165" s="910">
        <v>2.5</v>
      </c>
      <c r="F165" s="910">
        <v>4</v>
      </c>
      <c r="G165" s="899"/>
      <c r="H165" s="945">
        <f>IF(G165&gt;=80%,F165,IF(G165&lt;65%,0,E165))</f>
        <v>0</v>
      </c>
      <c r="I165" s="172"/>
      <c r="R165" s="53"/>
      <c r="S165" s="45"/>
    </row>
    <row r="166" spans="1:19" s="29" customFormat="1" ht="15.6">
      <c r="A166" s="841"/>
      <c r="B166" s="998" t="s">
        <v>298</v>
      </c>
      <c r="C166" s="998"/>
      <c r="D166" s="920"/>
      <c r="E166" s="911"/>
      <c r="F166" s="911"/>
      <c r="G166" s="900"/>
      <c r="H166" s="947"/>
      <c r="I166" s="172"/>
      <c r="R166" s="53"/>
      <c r="S166" s="45"/>
    </row>
    <row r="167" spans="1:19" s="29" customFormat="1">
      <c r="A167" s="839" t="s">
        <v>253</v>
      </c>
      <c r="B167" s="885" t="s">
        <v>146</v>
      </c>
      <c r="C167" s="884"/>
      <c r="D167" s="769" t="s">
        <v>51</v>
      </c>
      <c r="E167" s="906">
        <v>2.5</v>
      </c>
      <c r="F167" s="906">
        <v>4</v>
      </c>
      <c r="G167" s="905"/>
      <c r="H167" s="909">
        <f>IF(G167&gt;=80%,F167,IF(G167&lt;65%,0,E167))</f>
        <v>0</v>
      </c>
      <c r="I167" s="172"/>
      <c r="R167" s="53"/>
      <c r="S167" s="45"/>
    </row>
    <row r="168" spans="1:19" s="29" customFormat="1" ht="15.6">
      <c r="A168" s="841"/>
      <c r="B168" s="998" t="s">
        <v>120</v>
      </c>
      <c r="C168" s="998"/>
      <c r="D168" s="769"/>
      <c r="E168" s="906"/>
      <c r="F168" s="906"/>
      <c r="G168" s="905"/>
      <c r="H168" s="909"/>
      <c r="I168" s="172"/>
      <c r="R168" s="53"/>
      <c r="S168" s="45"/>
    </row>
    <row r="169" spans="1:19" s="29" customFormat="1" ht="15.6">
      <c r="A169" s="443">
        <v>16</v>
      </c>
      <c r="B169" s="106" t="s">
        <v>213</v>
      </c>
      <c r="C169" s="93"/>
      <c r="D169" s="93"/>
      <c r="E169" s="95"/>
      <c r="F169" s="95"/>
      <c r="G169" s="96"/>
      <c r="H169" s="436"/>
      <c r="R169" s="60"/>
      <c r="S169" s="45"/>
    </row>
    <row r="170" spans="1:19" s="29" customFormat="1">
      <c r="A170" s="418" t="s">
        <v>255</v>
      </c>
      <c r="B170" s="826"/>
      <c r="C170" s="821"/>
      <c r="D170" s="111"/>
      <c r="E170" s="537"/>
      <c r="F170" s="537"/>
      <c r="G170" s="67"/>
      <c r="H170" s="542">
        <f>IF(G170&gt;=80%,F170,IF(G170&lt;65%,0,E170))</f>
        <v>0</v>
      </c>
      <c r="R170" s="53"/>
      <c r="S170" s="45"/>
    </row>
    <row r="171" spans="1:19" s="29" customFormat="1">
      <c r="A171" s="418" t="s">
        <v>256</v>
      </c>
      <c r="B171" s="826"/>
      <c r="C171" s="821"/>
      <c r="D171" s="111"/>
      <c r="E171" s="537"/>
      <c r="F171" s="537"/>
      <c r="G171" s="67"/>
      <c r="H171" s="542">
        <f>IF(G171&gt;=80%,F171,IF(G171&lt;65%,0,E171))</f>
        <v>0</v>
      </c>
      <c r="R171" s="53"/>
      <c r="S171" s="45"/>
    </row>
    <row r="172" spans="1:19" s="29" customFormat="1">
      <c r="A172" s="418" t="s">
        <v>257</v>
      </c>
      <c r="B172" s="826"/>
      <c r="C172" s="821"/>
      <c r="D172" s="111"/>
      <c r="E172" s="537"/>
      <c r="F172" s="537"/>
      <c r="G172" s="67"/>
      <c r="H172" s="542">
        <f>IF(G172&gt;=80%,F172,IF(G172&lt;65%,0,E172))</f>
        <v>0</v>
      </c>
      <c r="R172" s="53"/>
      <c r="S172" s="45"/>
    </row>
    <row r="173" spans="1:19" s="29" customFormat="1" ht="15.6">
      <c r="A173" s="425"/>
      <c r="B173" s="325"/>
      <c r="C173" s="323"/>
      <c r="D173" s="323"/>
      <c r="E173" s="323"/>
      <c r="F173" s="327"/>
      <c r="G173" s="328" t="s">
        <v>419</v>
      </c>
      <c r="H173" s="458">
        <f>IFERROR((SUM(H142:H172)),0)</f>
        <v>0</v>
      </c>
      <c r="R173" s="53"/>
      <c r="S173" s="45"/>
    </row>
    <row r="174" spans="1:19" s="29" customFormat="1" ht="15.6" thickBot="1">
      <c r="A174" s="491"/>
      <c r="B174" s="492"/>
      <c r="C174" s="493"/>
      <c r="D174" s="493"/>
      <c r="E174" s="493"/>
      <c r="F174" s="493"/>
      <c r="G174" s="480"/>
      <c r="H174" s="639"/>
      <c r="R174" s="53"/>
      <c r="S174" s="45"/>
    </row>
    <row r="175" spans="1:19" s="29" customFormat="1" ht="30.75" customHeight="1">
      <c r="A175" s="995" t="s">
        <v>0</v>
      </c>
      <c r="B175" s="996"/>
      <c r="C175" s="997"/>
      <c r="D175" s="1011" t="s">
        <v>4</v>
      </c>
      <c r="E175" s="902" t="s">
        <v>1</v>
      </c>
      <c r="F175" s="903"/>
      <c r="G175" s="898" t="s">
        <v>21</v>
      </c>
      <c r="H175" s="888" t="s">
        <v>63</v>
      </c>
      <c r="R175" s="53"/>
      <c r="S175" s="45"/>
    </row>
    <row r="176" spans="1:19" s="29" customFormat="1" ht="15.6">
      <c r="A176" s="878"/>
      <c r="B176" s="879"/>
      <c r="C176" s="992"/>
      <c r="D176" s="1012"/>
      <c r="E176" s="545" t="s">
        <v>121</v>
      </c>
      <c r="F176" s="545" t="s">
        <v>122</v>
      </c>
      <c r="G176" s="870"/>
      <c r="H176" s="889"/>
      <c r="R176" s="53"/>
      <c r="S176" s="45"/>
    </row>
    <row r="177" spans="1:19" s="29" customFormat="1" ht="15.6">
      <c r="A177" s="450" t="s">
        <v>254</v>
      </c>
      <c r="B177" s="109" t="s">
        <v>258</v>
      </c>
      <c r="C177" s="110"/>
      <c r="D177" s="110"/>
      <c r="E177" s="110"/>
      <c r="F177" s="114"/>
      <c r="G177" s="115"/>
      <c r="H177" s="455"/>
      <c r="R177" s="53"/>
      <c r="S177" s="45"/>
    </row>
    <row r="178" spans="1:19" s="29" customFormat="1">
      <c r="A178" s="391" t="s">
        <v>300</v>
      </c>
      <c r="B178" s="885" t="s">
        <v>259</v>
      </c>
      <c r="C178" s="886"/>
      <c r="D178" s="5" t="s">
        <v>51</v>
      </c>
      <c r="E178" s="20">
        <v>-1</v>
      </c>
      <c r="F178" s="20">
        <v>-2</v>
      </c>
      <c r="G178" s="28"/>
      <c r="H178" s="405">
        <f>IF(G178&gt;=30%,F178,IF(G178=0%,0,E178))</f>
        <v>0</v>
      </c>
      <c r="R178" s="53"/>
      <c r="S178" s="45"/>
    </row>
    <row r="179" spans="1:19" s="29" customFormat="1">
      <c r="A179" s="391" t="s">
        <v>301</v>
      </c>
      <c r="B179" s="885" t="s">
        <v>260</v>
      </c>
      <c r="C179" s="886"/>
      <c r="D179" s="5" t="s">
        <v>51</v>
      </c>
      <c r="E179" s="20">
        <v>-1</v>
      </c>
      <c r="F179" s="20">
        <v>-1.5</v>
      </c>
      <c r="G179" s="28"/>
      <c r="H179" s="405">
        <f>IF(G179&gt;=30%,F179,IF(G179=0%,0,E179))</f>
        <v>0</v>
      </c>
      <c r="R179" s="53"/>
      <c r="S179" s="45"/>
    </row>
    <row r="180" spans="1:19" s="29" customFormat="1">
      <c r="A180" s="391" t="s">
        <v>302</v>
      </c>
      <c r="B180" s="885" t="s">
        <v>261</v>
      </c>
      <c r="C180" s="886"/>
      <c r="D180" s="5" t="s">
        <v>51</v>
      </c>
      <c r="E180" s="904">
        <v>-1</v>
      </c>
      <c r="F180" s="904"/>
      <c r="G180" s="547"/>
      <c r="H180" s="405">
        <f>IF(G180&gt;0%,E180,0)</f>
        <v>0</v>
      </c>
      <c r="R180" s="53"/>
      <c r="S180" s="45"/>
    </row>
    <row r="181" spans="1:19" s="29" customFormat="1" ht="15.6">
      <c r="A181" s="425"/>
      <c r="B181" s="325"/>
      <c r="C181" s="323"/>
      <c r="D181" s="323"/>
      <c r="E181" s="323"/>
      <c r="F181" s="327"/>
      <c r="G181" s="328" t="s">
        <v>142</v>
      </c>
      <c r="H181" s="458">
        <f>IFERROR(MAX(SUM(H178:H180),-4),0)</f>
        <v>0</v>
      </c>
      <c r="R181" s="45"/>
      <c r="S181" s="45"/>
    </row>
    <row r="182" spans="1:19" s="29" customFormat="1">
      <c r="A182" s="412"/>
      <c r="B182" s="325"/>
      <c r="C182" s="323"/>
      <c r="D182" s="323"/>
      <c r="E182" s="323"/>
      <c r="F182" s="323"/>
      <c r="G182" s="332"/>
      <c r="H182" s="388"/>
      <c r="R182" s="53"/>
      <c r="S182" s="45"/>
    </row>
    <row r="183" spans="1:19" s="29" customFormat="1" ht="15.6">
      <c r="A183" s="412"/>
      <c r="B183" s="325"/>
      <c r="C183" s="323"/>
      <c r="D183" s="323"/>
      <c r="E183" s="323"/>
      <c r="F183" s="323"/>
      <c r="G183" s="330" t="s">
        <v>141</v>
      </c>
      <c r="H183" s="459">
        <f>IFERROR(MIN(SUM(H115+H138+H173+H181),G86),0)</f>
        <v>0</v>
      </c>
      <c r="R183" s="53"/>
      <c r="S183" s="45"/>
    </row>
    <row r="184" spans="1:19" s="29" customFormat="1" ht="16.2" thickBot="1">
      <c r="A184" s="491"/>
      <c r="B184" s="492"/>
      <c r="C184" s="493"/>
      <c r="D184" s="493"/>
      <c r="E184" s="493"/>
      <c r="F184" s="493"/>
      <c r="G184" s="494"/>
      <c r="H184" s="495"/>
      <c r="R184" s="53"/>
      <c r="S184" s="45"/>
    </row>
    <row r="185" spans="1:19" s="29" customFormat="1" ht="15.6">
      <c r="A185" s="481" t="s">
        <v>64</v>
      </c>
      <c r="B185" s="482"/>
      <c r="C185" s="482"/>
      <c r="D185" s="482"/>
      <c r="E185" s="482"/>
      <c r="F185" s="483" t="s">
        <v>43</v>
      </c>
      <c r="G185" s="484">
        <f>VLOOKUP($A$7,'Manpower allocation'!A4:D11,4,FALSE)*100</f>
        <v>15</v>
      </c>
      <c r="H185" s="485" t="s">
        <v>42</v>
      </c>
      <c r="J185" s="112">
        <f>VLOOKUP($A$7,'Manpower allocation'!A4:D11,4,FALSE)*100</f>
        <v>15</v>
      </c>
      <c r="R185" s="53"/>
      <c r="S185" s="45"/>
    </row>
    <row r="186" spans="1:19" s="29" customFormat="1" ht="15.6">
      <c r="A186" s="412"/>
      <c r="B186" s="331"/>
      <c r="C186" s="323"/>
      <c r="D186" s="323"/>
      <c r="E186" s="323"/>
      <c r="F186" s="323"/>
      <c r="G186" s="332"/>
      <c r="H186" s="388"/>
      <c r="R186" s="53"/>
      <c r="S186" s="45"/>
    </row>
    <row r="187" spans="1:19" s="29" customFormat="1" ht="46.8">
      <c r="A187" s="993" t="s">
        <v>0</v>
      </c>
      <c r="B187" s="994"/>
      <c r="C187" s="113"/>
      <c r="D187" s="539" t="s">
        <v>17</v>
      </c>
      <c r="E187" s="539" t="s">
        <v>125</v>
      </c>
      <c r="F187" s="539" t="s">
        <v>109</v>
      </c>
      <c r="G187" s="539" t="s">
        <v>18</v>
      </c>
      <c r="H187" s="544" t="s">
        <v>63</v>
      </c>
      <c r="R187" s="53"/>
      <c r="S187" s="45"/>
    </row>
    <row r="188" spans="1:19" s="29" customFormat="1" ht="15.6">
      <c r="A188" s="454" t="s">
        <v>265</v>
      </c>
      <c r="B188" s="109" t="s">
        <v>358</v>
      </c>
      <c r="C188" s="110"/>
      <c r="D188" s="110"/>
      <c r="E188" s="110"/>
      <c r="F188" s="114"/>
      <c r="G188" s="115"/>
      <c r="H188" s="455"/>
      <c r="R188" s="53"/>
      <c r="S188" s="45"/>
    </row>
    <row r="189" spans="1:19" s="29" customFormat="1" ht="15.6">
      <c r="A189" s="460">
        <v>1</v>
      </c>
      <c r="B189" s="116" t="s">
        <v>338</v>
      </c>
      <c r="C189" s="117"/>
      <c r="D189" s="118"/>
      <c r="E189" s="118"/>
      <c r="F189" s="118"/>
      <c r="G189" s="118"/>
      <c r="H189" s="461"/>
      <c r="R189" s="53"/>
      <c r="S189" s="45"/>
    </row>
    <row r="190" spans="1:19" s="29" customFormat="1">
      <c r="A190" s="409">
        <v>1.1000000000000001</v>
      </c>
      <c r="B190" s="844" t="s">
        <v>290</v>
      </c>
      <c r="C190" s="845"/>
      <c r="D190" s="20">
        <f>VLOOKUP(A190,'Point Allocation'!$A$46:$J$55,MATCH(A7,'Point Allocation'!$A$46:$J$46,0),0)</f>
        <v>15</v>
      </c>
      <c r="E190" s="38"/>
      <c r="F190" s="38"/>
      <c r="G190" s="31">
        <f>MIN(IFERROR(F190/E190,0),100%)</f>
        <v>0</v>
      </c>
      <c r="H190" s="405">
        <f>D190*G190</f>
        <v>0</v>
      </c>
      <c r="R190" s="53"/>
      <c r="S190" s="45"/>
    </row>
    <row r="191" spans="1:19" s="29" customFormat="1" ht="15.6">
      <c r="A191" s="462">
        <v>2</v>
      </c>
      <c r="B191" s="119" t="s">
        <v>339</v>
      </c>
      <c r="C191" s="120"/>
      <c r="D191" s="32"/>
      <c r="E191" s="33"/>
      <c r="F191" s="33"/>
      <c r="G191" s="34"/>
      <c r="H191" s="463"/>
      <c r="R191" s="53"/>
      <c r="S191" s="45"/>
    </row>
    <row r="192" spans="1:19" s="29" customFormat="1" ht="33" customHeight="1">
      <c r="A192" s="464">
        <v>2.1</v>
      </c>
      <c r="B192" s="969" t="s">
        <v>266</v>
      </c>
      <c r="C192" s="971"/>
      <c r="D192" s="20">
        <f>VLOOKUP(A192,'Point Allocation'!$A$46:$J$55,MATCH(A7,'Point Allocation'!$A$46:$J$46,0),0)</f>
        <v>12</v>
      </c>
      <c r="E192" s="38"/>
      <c r="F192" s="38"/>
      <c r="G192" s="31">
        <f>MIN(IFERROR(F192/E192,0),100%)</f>
        <v>0</v>
      </c>
      <c r="H192" s="405">
        <f>D192*G192</f>
        <v>0</v>
      </c>
      <c r="R192" s="53"/>
      <c r="S192" s="45"/>
    </row>
    <row r="193" spans="1:19" s="29" customFormat="1" ht="15.6">
      <c r="A193" s="460">
        <v>3</v>
      </c>
      <c r="B193" s="116" t="s">
        <v>343</v>
      </c>
      <c r="C193" s="121"/>
      <c r="D193" s="35"/>
      <c r="E193" s="35"/>
      <c r="F193" s="35"/>
      <c r="G193" s="34"/>
      <c r="H193" s="465"/>
      <c r="R193" s="53"/>
      <c r="S193" s="45"/>
    </row>
    <row r="194" spans="1:19" s="29" customFormat="1">
      <c r="A194" s="466">
        <v>3.1</v>
      </c>
      <c r="B194" s="850" t="s">
        <v>451</v>
      </c>
      <c r="C194" s="851"/>
      <c r="D194" s="20">
        <f>VLOOKUP(A194,'Point Allocation'!$A$46:$J$55,MATCH(A7,'Point Allocation'!$A$46:$J$46,0),0)</f>
        <v>4</v>
      </c>
      <c r="E194" s="38"/>
      <c r="F194" s="38"/>
      <c r="G194" s="31">
        <f>MIN(IFERROR(F194/E194,0),100%)</f>
        <v>0</v>
      </c>
      <c r="H194" s="405">
        <f>D194*G194</f>
        <v>0</v>
      </c>
      <c r="R194" s="53"/>
      <c r="S194" s="45"/>
    </row>
    <row r="195" spans="1:19" s="29" customFormat="1" ht="32.25" customHeight="1">
      <c r="A195" s="466">
        <v>3.2</v>
      </c>
      <c r="B195" s="850" t="s">
        <v>452</v>
      </c>
      <c r="C195" s="851"/>
      <c r="D195" s="20">
        <f>VLOOKUP(A195,'Point Allocation'!$A$46:$J$55,MATCH(A7,'Point Allocation'!$A$46:$J$46,0),0)</f>
        <v>4</v>
      </c>
      <c r="E195" s="178"/>
      <c r="F195" s="38"/>
      <c r="G195" s="31">
        <f>MIN(IFERROR(F195/E195,0),100%)</f>
        <v>0</v>
      </c>
      <c r="H195" s="405">
        <f>D195*G195</f>
        <v>0</v>
      </c>
      <c r="R195" s="53"/>
      <c r="S195" s="45"/>
    </row>
    <row r="196" spans="1:19" s="29" customFormat="1" ht="32.25" customHeight="1">
      <c r="A196" s="404">
        <v>3.3</v>
      </c>
      <c r="B196" s="885" t="s">
        <v>170</v>
      </c>
      <c r="C196" s="886"/>
      <c r="D196" s="20">
        <f>VLOOKUP(A196,'Point Allocation'!$A$46:$J$55,MATCH(A7,'Point Allocation'!$A$46:$J$46,0),0)</f>
        <v>4</v>
      </c>
      <c r="E196" s="179"/>
      <c r="F196" s="536"/>
      <c r="G196" s="31">
        <f>MIN(IFERROR(F196/E196,0),100%)</f>
        <v>0</v>
      </c>
      <c r="H196" s="405">
        <f>D196*G196</f>
        <v>0</v>
      </c>
      <c r="R196" s="53"/>
      <c r="S196" s="45"/>
    </row>
    <row r="197" spans="1:19" s="29" customFormat="1" ht="15.6">
      <c r="A197" s="412"/>
      <c r="B197" s="325"/>
      <c r="C197" s="323"/>
      <c r="D197" s="324" t="s">
        <v>6</v>
      </c>
      <c r="E197" s="300">
        <f>MAX(SUM(E190:E196),F197)</f>
        <v>0</v>
      </c>
      <c r="F197" s="300">
        <f>SUM(F190:F196)</f>
        <v>0</v>
      </c>
      <c r="G197" s="340">
        <f>IFERROR(MIN(F197/E197,100%),0)</f>
        <v>0</v>
      </c>
      <c r="H197" s="413">
        <f>IFERROR(SUM(H190:H196),0)</f>
        <v>0</v>
      </c>
      <c r="R197" s="53"/>
      <c r="S197" s="45"/>
    </row>
    <row r="198" spans="1:19" s="29" customFormat="1" ht="15.6">
      <c r="A198" s="412"/>
      <c r="B198" s="338"/>
      <c r="C198" s="341"/>
      <c r="D198" s="342"/>
      <c r="E198" s="341"/>
      <c r="F198" s="341"/>
      <c r="G198" s="343"/>
      <c r="H198" s="467"/>
      <c r="R198" s="53"/>
      <c r="S198" s="45"/>
    </row>
    <row r="199" spans="1:19" s="29" customFormat="1" ht="15.6">
      <c r="A199" s="993" t="s">
        <v>0</v>
      </c>
      <c r="B199" s="994"/>
      <c r="C199" s="982"/>
      <c r="D199" s="901" t="s">
        <v>4</v>
      </c>
      <c r="E199" s="901" t="s">
        <v>1</v>
      </c>
      <c r="F199" s="901"/>
      <c r="G199" s="894" t="s">
        <v>21</v>
      </c>
      <c r="H199" s="887" t="s">
        <v>63</v>
      </c>
      <c r="R199" s="53"/>
      <c r="S199" s="45"/>
    </row>
    <row r="200" spans="1:19" s="29" customFormat="1" ht="30.75" customHeight="1">
      <c r="A200" s="1007"/>
      <c r="B200" s="1008"/>
      <c r="C200" s="983"/>
      <c r="D200" s="901"/>
      <c r="E200" s="539" t="s">
        <v>65</v>
      </c>
      <c r="F200" s="539" t="s">
        <v>66</v>
      </c>
      <c r="G200" s="894"/>
      <c r="H200" s="887"/>
      <c r="R200" s="53"/>
      <c r="S200" s="45"/>
    </row>
    <row r="201" spans="1:19" s="29" customFormat="1" ht="15.6">
      <c r="A201" s="415" t="s">
        <v>271</v>
      </c>
      <c r="B201" s="46" t="s">
        <v>272</v>
      </c>
      <c r="C201" s="57"/>
      <c r="D201" s="57"/>
      <c r="E201" s="57"/>
      <c r="F201" s="58"/>
      <c r="G201" s="108"/>
      <c r="H201" s="451"/>
      <c r="R201" s="53"/>
      <c r="S201" s="45"/>
    </row>
    <row r="202" spans="1:19" s="29" customFormat="1" ht="15.6">
      <c r="A202" s="468">
        <v>4</v>
      </c>
      <c r="B202" s="122" t="s">
        <v>341</v>
      </c>
      <c r="C202" s="120"/>
      <c r="D202" s="123"/>
      <c r="E202" s="124"/>
      <c r="F202" s="124"/>
      <c r="G202" s="125"/>
      <c r="H202" s="469"/>
      <c r="R202" s="53"/>
      <c r="S202" s="45"/>
    </row>
    <row r="203" spans="1:19" s="29" customFormat="1">
      <c r="A203" s="409">
        <v>4.0999999999999996</v>
      </c>
      <c r="B203" s="844" t="s">
        <v>164</v>
      </c>
      <c r="C203" s="845"/>
      <c r="D203" s="5" t="s">
        <v>51</v>
      </c>
      <c r="E203" s="20" t="s">
        <v>50</v>
      </c>
      <c r="F203" s="20">
        <f>VLOOKUP(A203,'Point Allocation'!$A$46:$J$55,MATCH(A7,'Point Allocation'!$A$46:$J$46,0),0)</f>
        <v>1.5</v>
      </c>
      <c r="G203" s="547"/>
      <c r="H203" s="405">
        <f>IF(G203&gt;=80%,F203,0)</f>
        <v>0</v>
      </c>
      <c r="R203" s="53"/>
      <c r="S203" s="45"/>
    </row>
    <row r="204" spans="1:19" s="29" customFormat="1">
      <c r="A204" s="409">
        <v>4.2</v>
      </c>
      <c r="B204" s="844" t="s">
        <v>161</v>
      </c>
      <c r="C204" s="845"/>
      <c r="D204" s="5" t="s">
        <v>51</v>
      </c>
      <c r="E204" s="20" t="s">
        <v>50</v>
      </c>
      <c r="F204" s="20">
        <f>VLOOKUP(A204,'Point Allocation'!$A$46:$J$55,MATCH(A7,'Point Allocation'!$A$46:$J$46,0),0)</f>
        <v>1.5</v>
      </c>
      <c r="G204" s="547"/>
      <c r="H204" s="405">
        <f>IF(G204&gt;=80%,F204,0)</f>
        <v>0</v>
      </c>
      <c r="R204" s="53"/>
      <c r="S204" s="45"/>
    </row>
    <row r="205" spans="1:19" s="29" customFormat="1">
      <c r="A205" s="409">
        <v>4.3</v>
      </c>
      <c r="B205" s="844" t="s">
        <v>155</v>
      </c>
      <c r="C205" s="845"/>
      <c r="D205" s="5" t="s">
        <v>3</v>
      </c>
      <c r="E205" s="20" t="s">
        <v>50</v>
      </c>
      <c r="F205" s="20">
        <f>VLOOKUP(A205,'Point Allocation'!$A$46:$J$55,MATCH(A7,'Point Allocation'!$A$46:$J$46,0),0)</f>
        <v>1.5</v>
      </c>
      <c r="G205" s="547"/>
      <c r="H205" s="405">
        <f>IF(G205&gt;=80%,F205,0)</f>
        <v>0</v>
      </c>
      <c r="R205" s="53"/>
      <c r="S205" s="45"/>
    </row>
    <row r="206" spans="1:19" s="29" customFormat="1">
      <c r="A206" s="470">
        <v>4.4000000000000004</v>
      </c>
      <c r="B206" s="874" t="s">
        <v>270</v>
      </c>
      <c r="C206" s="875"/>
      <c r="D206" s="5" t="s">
        <v>3</v>
      </c>
      <c r="E206" s="20" t="s">
        <v>50</v>
      </c>
      <c r="F206" s="20">
        <f>VLOOKUP(A206,'Point Allocation'!$A$46:$J$55,MATCH(A7,'Point Allocation'!$A$46:$J$46,0),0)</f>
        <v>1.5</v>
      </c>
      <c r="G206" s="547"/>
      <c r="H206" s="405">
        <f>IF(G206&gt;=80%,F206,0)</f>
        <v>0</v>
      </c>
      <c r="R206" s="53"/>
      <c r="S206" s="45"/>
    </row>
    <row r="207" spans="1:19" s="29" customFormat="1" ht="15.6">
      <c r="A207" s="468">
        <v>5</v>
      </c>
      <c r="B207" s="122" t="s">
        <v>213</v>
      </c>
      <c r="C207" s="120"/>
      <c r="D207" s="126"/>
      <c r="E207" s="127"/>
      <c r="F207" s="127"/>
      <c r="G207" s="128"/>
      <c r="H207" s="471"/>
      <c r="R207" s="53"/>
      <c r="S207" s="45"/>
    </row>
    <row r="208" spans="1:19" s="29" customFormat="1">
      <c r="A208" s="411">
        <v>5.0999999999999996</v>
      </c>
      <c r="B208" s="826"/>
      <c r="C208" s="847"/>
      <c r="D208" s="530"/>
      <c r="E208" s="536"/>
      <c r="F208" s="536"/>
      <c r="G208" s="547"/>
      <c r="H208" s="542">
        <f>IF(G208&gt;=80%,F208,IF(G208&lt;65%,0,E208))</f>
        <v>0</v>
      </c>
      <c r="R208" s="53"/>
      <c r="S208" s="45"/>
    </row>
    <row r="209" spans="1:19" s="29" customFormat="1">
      <c r="A209" s="411">
        <v>5.2</v>
      </c>
      <c r="B209" s="826"/>
      <c r="C209" s="847"/>
      <c r="D209" s="530"/>
      <c r="E209" s="536"/>
      <c r="F209" s="536"/>
      <c r="G209" s="547"/>
      <c r="H209" s="542">
        <f>IF(G209&gt;=80%,F209,IF(G209&lt;65%,0,E209))</f>
        <v>0</v>
      </c>
      <c r="R209" s="53"/>
      <c r="S209" s="45"/>
    </row>
    <row r="210" spans="1:19" s="29" customFormat="1">
      <c r="A210" s="411">
        <v>5.3</v>
      </c>
      <c r="B210" s="826"/>
      <c r="C210" s="847"/>
      <c r="D210" s="530"/>
      <c r="E210" s="536"/>
      <c r="F210" s="536"/>
      <c r="G210" s="547"/>
      <c r="H210" s="542">
        <f>IF(G210&gt;=80%,F210,IF(G210&lt;65%,0,E210))</f>
        <v>0</v>
      </c>
      <c r="R210" s="53"/>
      <c r="S210" s="45"/>
    </row>
    <row r="211" spans="1:19" s="29" customFormat="1" ht="15.6">
      <c r="A211" s="412"/>
      <c r="B211" s="344"/>
      <c r="C211" s="344"/>
      <c r="D211" s="332"/>
      <c r="E211" s="332"/>
      <c r="F211" s="332"/>
      <c r="G211" s="330" t="s">
        <v>7</v>
      </c>
      <c r="H211" s="445">
        <f>IFERROR(SUM(H203:H206,H208:H210),0)</f>
        <v>0</v>
      </c>
      <c r="R211" s="53"/>
      <c r="S211" s="45"/>
    </row>
    <row r="212" spans="1:19" s="29" customFormat="1">
      <c r="A212" s="412"/>
      <c r="B212" s="325"/>
      <c r="C212" s="323"/>
      <c r="D212" s="323"/>
      <c r="E212" s="323"/>
      <c r="F212" s="323"/>
      <c r="G212" s="332"/>
      <c r="H212" s="388"/>
      <c r="R212" s="53"/>
      <c r="S212" s="45"/>
    </row>
    <row r="213" spans="1:19" s="29" customFormat="1" ht="15.6">
      <c r="A213" s="993" t="s">
        <v>0</v>
      </c>
      <c r="B213" s="994"/>
      <c r="C213" s="982"/>
      <c r="D213" s="894" t="s">
        <v>4</v>
      </c>
      <c r="E213" s="901" t="s">
        <v>1</v>
      </c>
      <c r="F213" s="901"/>
      <c r="G213" s="894" t="s">
        <v>21</v>
      </c>
      <c r="H213" s="887" t="s">
        <v>63</v>
      </c>
      <c r="R213" s="53"/>
      <c r="S213" s="45"/>
    </row>
    <row r="214" spans="1:19" s="29" customFormat="1" ht="31.2">
      <c r="A214" s="1007"/>
      <c r="B214" s="1008"/>
      <c r="C214" s="983"/>
      <c r="D214" s="901"/>
      <c r="E214" s="539" t="s">
        <v>65</v>
      </c>
      <c r="F214" s="539" t="s">
        <v>66</v>
      </c>
      <c r="G214" s="894"/>
      <c r="H214" s="887"/>
      <c r="R214" s="53"/>
      <c r="S214" s="45"/>
    </row>
    <row r="215" spans="1:19" s="29" customFormat="1" ht="15.6">
      <c r="A215" s="454" t="s">
        <v>273</v>
      </c>
      <c r="B215" s="109" t="s">
        <v>234</v>
      </c>
      <c r="C215" s="129"/>
      <c r="D215" s="130"/>
      <c r="E215" s="130"/>
      <c r="F215" s="131"/>
      <c r="G215" s="132"/>
      <c r="H215" s="472"/>
      <c r="R215" s="53"/>
      <c r="S215" s="45"/>
    </row>
    <row r="216" spans="1:19" s="29" customFormat="1" ht="15.6">
      <c r="A216" s="391" t="s">
        <v>199</v>
      </c>
      <c r="B216" s="844" t="s">
        <v>274</v>
      </c>
      <c r="C216" s="845"/>
      <c r="D216" s="98" t="s">
        <v>2</v>
      </c>
      <c r="E216" s="98">
        <v>1</v>
      </c>
      <c r="F216" s="98">
        <v>2</v>
      </c>
      <c r="G216" s="67"/>
      <c r="H216" s="437">
        <f>IF(G216&gt;=80%,F216,IF(G216&lt;65%,0,E216))</f>
        <v>0</v>
      </c>
      <c r="K216" s="135"/>
      <c r="R216" s="53"/>
      <c r="S216" s="45"/>
    </row>
    <row r="217" spans="1:19" s="29" customFormat="1" ht="31.5" customHeight="1">
      <c r="A217" s="473" t="s">
        <v>200</v>
      </c>
      <c r="B217" s="960" t="s">
        <v>275</v>
      </c>
      <c r="C217" s="962"/>
      <c r="D217" s="98" t="s">
        <v>51</v>
      </c>
      <c r="E217" s="98">
        <v>0.5</v>
      </c>
      <c r="F217" s="98">
        <v>1</v>
      </c>
      <c r="G217" s="67"/>
      <c r="H217" s="437">
        <f>IF(G217&gt;=80%,F217,IF(G217&lt;65%,0,E217))</f>
        <v>0</v>
      </c>
      <c r="R217" s="53"/>
      <c r="S217" s="45"/>
    </row>
    <row r="218" spans="1:19" s="29" customFormat="1" ht="15.6">
      <c r="A218" s="412"/>
      <c r="B218" s="325"/>
      <c r="C218" s="323"/>
      <c r="D218" s="323"/>
      <c r="E218" s="323"/>
      <c r="F218" s="326"/>
      <c r="G218" s="330" t="s">
        <v>110</v>
      </c>
      <c r="H218" s="474">
        <f>IFERROR(SUM(H216:H217),0)</f>
        <v>0</v>
      </c>
      <c r="R218" s="53"/>
      <c r="S218" s="45"/>
    </row>
    <row r="219" spans="1:19" s="29" customFormat="1">
      <c r="A219" s="412"/>
      <c r="B219" s="325"/>
      <c r="C219" s="323"/>
      <c r="D219" s="323"/>
      <c r="E219" s="323"/>
      <c r="F219" s="323"/>
      <c r="G219" s="332"/>
      <c r="H219" s="388"/>
      <c r="R219" s="53"/>
      <c r="S219" s="45"/>
    </row>
    <row r="220" spans="1:19" s="29" customFormat="1" ht="15.6">
      <c r="A220" s="412"/>
      <c r="B220" s="325"/>
      <c r="C220" s="323"/>
      <c r="D220" s="323"/>
      <c r="E220" s="323"/>
      <c r="F220" s="323"/>
      <c r="G220" s="330" t="s">
        <v>111</v>
      </c>
      <c r="H220" s="474">
        <f>IFERROR(MIN(SUM(H197+H211+H218),G185),0)</f>
        <v>0</v>
      </c>
      <c r="R220" s="53"/>
      <c r="S220" s="45"/>
    </row>
    <row r="221" spans="1:19" s="29" customFormat="1" ht="16.2" thickBot="1">
      <c r="A221" s="491"/>
      <c r="B221" s="492"/>
      <c r="C221" s="493"/>
      <c r="D221" s="493"/>
      <c r="E221" s="493"/>
      <c r="F221" s="493"/>
      <c r="G221" s="496"/>
      <c r="H221" s="495"/>
      <c r="R221" s="53"/>
      <c r="S221" s="45"/>
    </row>
    <row r="222" spans="1:19" s="29" customFormat="1" ht="15.6">
      <c r="A222" s="633" t="s">
        <v>137</v>
      </c>
      <c r="B222" s="634"/>
      <c r="C222" s="634"/>
      <c r="D222" s="634"/>
      <c r="E222" s="634"/>
      <c r="F222" s="635" t="s">
        <v>43</v>
      </c>
      <c r="G222" s="636">
        <v>20</v>
      </c>
      <c r="H222" s="637" t="s">
        <v>42</v>
      </c>
      <c r="R222" s="53"/>
      <c r="S222" s="45"/>
    </row>
    <row r="223" spans="1:19" s="29" customFormat="1" ht="15.6">
      <c r="A223" s="412"/>
      <c r="B223" s="347"/>
      <c r="C223" s="323"/>
      <c r="D223" s="323"/>
      <c r="E223" s="323"/>
      <c r="F223" s="323"/>
      <c r="G223" s="332"/>
      <c r="H223" s="388"/>
      <c r="R223" s="53"/>
      <c r="S223" s="45"/>
    </row>
    <row r="224" spans="1:19" s="29" customFormat="1" ht="33" customHeight="1">
      <c r="A224" s="1009" t="s">
        <v>0</v>
      </c>
      <c r="B224" s="1010"/>
      <c r="C224" s="136"/>
      <c r="D224" s="136"/>
      <c r="E224" s="137" t="s">
        <v>4</v>
      </c>
      <c r="F224" s="137" t="s">
        <v>70</v>
      </c>
      <c r="G224" s="138" t="s">
        <v>21</v>
      </c>
      <c r="H224" s="475" t="s">
        <v>63</v>
      </c>
      <c r="R224" s="53"/>
      <c r="S224" s="45"/>
    </row>
    <row r="225" spans="1:19" s="29" customFormat="1" ht="15.6">
      <c r="A225" s="454" t="s">
        <v>276</v>
      </c>
      <c r="B225" s="109" t="s">
        <v>277</v>
      </c>
      <c r="C225" s="110"/>
      <c r="D225" s="110"/>
      <c r="E225" s="110"/>
      <c r="F225" s="58"/>
      <c r="G225" s="139"/>
      <c r="H225" s="476"/>
      <c r="J225" s="134"/>
      <c r="R225" s="53"/>
      <c r="S225" s="45"/>
    </row>
    <row r="226" spans="1:19" s="29" customFormat="1" ht="15.6">
      <c r="A226" s="411">
        <v>1.1000000000000001</v>
      </c>
      <c r="B226" s="836" t="s">
        <v>123</v>
      </c>
      <c r="C226" s="837"/>
      <c r="D226" s="838"/>
      <c r="E226" s="167"/>
      <c r="F226" s="140"/>
      <c r="G226" s="141"/>
      <c r="H226" s="441">
        <f t="shared" ref="H226:H231" si="4">F226*G226</f>
        <v>0</v>
      </c>
      <c r="R226" s="53"/>
      <c r="S226" s="45"/>
    </row>
    <row r="227" spans="1:19" s="29" customFormat="1" ht="15.6">
      <c r="A227" s="406">
        <v>1.2</v>
      </c>
      <c r="B227" s="1004" t="s">
        <v>124</v>
      </c>
      <c r="C227" s="1005"/>
      <c r="D227" s="1006"/>
      <c r="E227" s="167"/>
      <c r="F227" s="140"/>
      <c r="G227" s="141"/>
      <c r="H227" s="441">
        <f t="shared" si="4"/>
        <v>0</v>
      </c>
      <c r="R227" s="53"/>
      <c r="S227" s="45"/>
    </row>
    <row r="228" spans="1:19" s="29" customFormat="1" ht="15.6">
      <c r="A228" s="411">
        <v>1.3</v>
      </c>
      <c r="B228" s="836" t="s">
        <v>115</v>
      </c>
      <c r="C228" s="837"/>
      <c r="D228" s="838"/>
      <c r="E228" s="167"/>
      <c r="F228" s="140"/>
      <c r="G228" s="141"/>
      <c r="H228" s="441">
        <f t="shared" si="4"/>
        <v>0</v>
      </c>
      <c r="R228" s="53"/>
      <c r="S228" s="45"/>
    </row>
    <row r="229" spans="1:19" s="29" customFormat="1" ht="15.6">
      <c r="A229" s="411">
        <v>1.4</v>
      </c>
      <c r="B229" s="836" t="s">
        <v>305</v>
      </c>
      <c r="C229" s="837"/>
      <c r="D229" s="838"/>
      <c r="E229" s="167"/>
      <c r="F229" s="140"/>
      <c r="G229" s="141"/>
      <c r="H229" s="441">
        <f t="shared" si="4"/>
        <v>0</v>
      </c>
      <c r="R229" s="53"/>
      <c r="S229" s="45"/>
    </row>
    <row r="230" spans="1:19" s="29" customFormat="1" ht="15.6">
      <c r="A230" s="411">
        <v>1.5</v>
      </c>
      <c r="B230" s="836"/>
      <c r="C230" s="837"/>
      <c r="D230" s="838"/>
      <c r="E230" s="167"/>
      <c r="F230" s="140"/>
      <c r="G230" s="141"/>
      <c r="H230" s="441">
        <f t="shared" si="4"/>
        <v>0</v>
      </c>
      <c r="R230" s="53"/>
      <c r="S230" s="45"/>
    </row>
    <row r="231" spans="1:19" s="29" customFormat="1" ht="15.6">
      <c r="A231" s="411">
        <v>1.6</v>
      </c>
      <c r="B231" s="836"/>
      <c r="C231" s="837"/>
      <c r="D231" s="838"/>
      <c r="E231" s="111"/>
      <c r="F231" s="142"/>
      <c r="G231" s="67"/>
      <c r="H231" s="441">
        <f t="shared" si="4"/>
        <v>0</v>
      </c>
      <c r="R231" s="53"/>
      <c r="S231" s="45"/>
    </row>
    <row r="232" spans="1:19" s="29" customFormat="1" ht="15.6">
      <c r="A232" s="454" t="s">
        <v>279</v>
      </c>
      <c r="B232" s="109" t="s">
        <v>278</v>
      </c>
      <c r="C232" s="110"/>
      <c r="D232" s="110"/>
      <c r="E232" s="110"/>
      <c r="F232" s="58"/>
      <c r="G232" s="139"/>
      <c r="H232" s="476"/>
      <c r="R232" s="53"/>
      <c r="S232" s="45"/>
    </row>
    <row r="233" spans="1:19" s="29" customFormat="1">
      <c r="A233" s="411">
        <v>2.1</v>
      </c>
      <c r="B233" s="1001" t="s">
        <v>138</v>
      </c>
      <c r="C233" s="1002"/>
      <c r="D233" s="1003"/>
      <c r="E233" s="157" t="s">
        <v>410</v>
      </c>
      <c r="F233" s="527">
        <v>2</v>
      </c>
      <c r="G233" s="528"/>
      <c r="H233" s="441">
        <f>IFERROR(VLOOKUP(E233,K234:L237,2,FALSE),0)</f>
        <v>0</v>
      </c>
      <c r="K233" s="29" t="s">
        <v>410</v>
      </c>
      <c r="L233" s="29">
        <v>0</v>
      </c>
      <c r="R233" s="53"/>
      <c r="S233" s="45"/>
    </row>
    <row r="234" spans="1:19" s="29" customFormat="1" ht="15.6">
      <c r="A234" s="412"/>
      <c r="B234" s="322"/>
      <c r="C234" s="323"/>
      <c r="D234" s="323"/>
      <c r="E234" s="323"/>
      <c r="F234" s="323"/>
      <c r="G234" s="330" t="s">
        <v>139</v>
      </c>
      <c r="H234" s="477">
        <f>IFERROR(MIN(SUM(H226:H233),G222),0)</f>
        <v>0</v>
      </c>
      <c r="K234" s="29" t="s">
        <v>406</v>
      </c>
      <c r="L234" s="29">
        <v>2</v>
      </c>
      <c r="R234" s="45"/>
      <c r="S234" s="45"/>
    </row>
    <row r="235" spans="1:19" s="29" customFormat="1">
      <c r="A235" s="412"/>
      <c r="B235" s="325"/>
      <c r="C235" s="323"/>
      <c r="D235" s="323"/>
      <c r="E235" s="323"/>
      <c r="F235" s="323"/>
      <c r="G235" s="332"/>
      <c r="H235" s="388"/>
      <c r="K235" s="29" t="s">
        <v>407</v>
      </c>
      <c r="L235" s="29">
        <v>2</v>
      </c>
      <c r="R235" s="45"/>
      <c r="S235" s="45"/>
    </row>
    <row r="236" spans="1:19" s="29" customFormat="1" ht="15.6">
      <c r="A236" s="412"/>
      <c r="B236" s="325"/>
      <c r="C236" s="323"/>
      <c r="D236" s="323"/>
      <c r="E236" s="323"/>
      <c r="F236" s="323"/>
      <c r="G236" s="330" t="s">
        <v>69</v>
      </c>
      <c r="H236" s="445">
        <f>IFERROR(H84+H183+H220+H234,0)</f>
        <v>0</v>
      </c>
      <c r="K236" s="29" t="s">
        <v>408</v>
      </c>
      <c r="L236" s="29">
        <v>2</v>
      </c>
      <c r="R236" s="45"/>
      <c r="S236" s="45"/>
    </row>
    <row r="237" spans="1:19" s="29" customFormat="1">
      <c r="A237" s="412"/>
      <c r="B237" s="325"/>
      <c r="C237" s="323"/>
      <c r="D237" s="323"/>
      <c r="E237" s="323"/>
      <c r="F237" s="323"/>
      <c r="G237" s="332"/>
      <c r="H237" s="388"/>
      <c r="K237" s="29" t="s">
        <v>409</v>
      </c>
      <c r="L237" s="29">
        <v>2</v>
      </c>
      <c r="R237" s="53"/>
      <c r="S237" s="45"/>
    </row>
    <row r="238" spans="1:19" s="29" customFormat="1" ht="15.75" customHeight="1">
      <c r="A238" s="412"/>
      <c r="B238" s="345" t="s">
        <v>37</v>
      </c>
      <c r="C238" s="332"/>
      <c r="D238" s="1013" t="s">
        <v>415</v>
      </c>
      <c r="E238" s="1013"/>
      <c r="F238" s="1013"/>
      <c r="G238" s="332"/>
      <c r="H238" s="478"/>
      <c r="R238" s="53"/>
      <c r="S238" s="45"/>
    </row>
    <row r="239" spans="1:19" s="29" customFormat="1" ht="15.6">
      <c r="A239" s="412"/>
      <c r="B239" s="346"/>
      <c r="C239" s="332"/>
      <c r="D239" s="1013"/>
      <c r="E239" s="1013"/>
      <c r="F239" s="1013"/>
      <c r="G239" s="332"/>
      <c r="H239" s="478"/>
      <c r="R239" s="53"/>
      <c r="S239" s="45"/>
    </row>
    <row r="240" spans="1:19" s="29" customFormat="1" ht="15.6">
      <c r="A240" s="479" t="s">
        <v>280</v>
      </c>
      <c r="B240" s="346" t="s">
        <v>100</v>
      </c>
      <c r="C240" s="369">
        <f>IFERROR(SUM(G29+G32+G34+G35+G44+G47),0)</f>
        <v>0</v>
      </c>
      <c r="D240" s="332" t="s">
        <v>284</v>
      </c>
      <c r="E240" s="141"/>
      <c r="F240" s="332" t="s">
        <v>285</v>
      </c>
      <c r="G240" s="144">
        <f>MIN(IFERROR(SUM(C240+E240),0),100%)</f>
        <v>0</v>
      </c>
      <c r="H240" s="388"/>
      <c r="M240" s="53"/>
      <c r="N240" s="45"/>
    </row>
    <row r="241" spans="1:19" s="29" customFormat="1" ht="15.6">
      <c r="A241" s="479" t="s">
        <v>281</v>
      </c>
      <c r="B241" s="346" t="s">
        <v>101</v>
      </c>
      <c r="C241" s="369">
        <f>IFERROR(SUM(F19+G91+G93+G95+G98+G101+G102+G103+G104+G105),0)</f>
        <v>0</v>
      </c>
      <c r="D241" s="332" t="s">
        <v>284</v>
      </c>
      <c r="E241" s="141"/>
      <c r="F241" s="332" t="s">
        <v>285</v>
      </c>
      <c r="G241" s="144">
        <f t="shared" ref="G241:G242" si="5">MIN(IFERROR(SUM(C241+E241),0),100%)</f>
        <v>0</v>
      </c>
      <c r="H241" s="388"/>
      <c r="M241" s="53"/>
      <c r="N241" s="45"/>
    </row>
    <row r="242" spans="1:19" s="29" customFormat="1" ht="15.6">
      <c r="A242" s="479" t="s">
        <v>282</v>
      </c>
      <c r="B242" s="346" t="s">
        <v>102</v>
      </c>
      <c r="C242" s="369">
        <f>IFERROR(G197,0)</f>
        <v>0</v>
      </c>
      <c r="D242" s="332" t="s">
        <v>284</v>
      </c>
      <c r="E242" s="141"/>
      <c r="F242" s="303" t="s">
        <v>285</v>
      </c>
      <c r="G242" s="144">
        <f t="shared" si="5"/>
        <v>0</v>
      </c>
      <c r="H242" s="283"/>
      <c r="I242" s="3"/>
      <c r="J242" s="3"/>
      <c r="K242" s="3"/>
      <c r="L242" s="3"/>
      <c r="M242" s="53"/>
      <c r="N242" s="45"/>
    </row>
    <row r="243" spans="1:19" s="29" customFormat="1" ht="15.6" thickBot="1">
      <c r="A243" s="491"/>
      <c r="B243" s="492"/>
      <c r="C243" s="493"/>
      <c r="D243" s="493"/>
      <c r="E243" s="493"/>
      <c r="F243" s="493"/>
      <c r="G243" s="638"/>
      <c r="H243" s="639"/>
      <c r="K243" s="3"/>
      <c r="L243" s="3"/>
      <c r="M243" s="3"/>
      <c r="N243" s="3"/>
      <c r="O243" s="3"/>
      <c r="P243" s="3"/>
      <c r="Q243" s="3"/>
      <c r="R243" s="53"/>
      <c r="S243" s="45"/>
    </row>
    <row r="244" spans="1:19" s="29" customFormat="1">
      <c r="A244" s="174"/>
      <c r="B244" s="3"/>
      <c r="C244" s="3"/>
      <c r="D244" s="3"/>
      <c r="E244" s="3"/>
      <c r="F244" s="3"/>
      <c r="G244" s="10"/>
      <c r="H244" s="3"/>
      <c r="K244" s="3"/>
      <c r="L244" s="3"/>
      <c r="M244" s="3"/>
      <c r="N244" s="3"/>
      <c r="O244" s="3"/>
      <c r="P244" s="3"/>
      <c r="Q244" s="3"/>
      <c r="R244" s="53"/>
      <c r="S244" s="45"/>
    </row>
    <row r="245" spans="1:19" s="29" customFormat="1">
      <c r="A245" s="174"/>
      <c r="B245" s="3"/>
      <c r="C245" s="3"/>
      <c r="D245" s="3"/>
      <c r="E245" s="3"/>
      <c r="F245" s="3"/>
      <c r="G245" s="10"/>
      <c r="H245" s="3"/>
      <c r="K245" s="3"/>
      <c r="L245" s="3"/>
      <c r="M245" s="3"/>
      <c r="N245" s="3"/>
      <c r="O245" s="3"/>
      <c r="P245" s="3"/>
      <c r="Q245" s="3"/>
      <c r="R245" s="53"/>
      <c r="S245" s="45"/>
    </row>
    <row r="246" spans="1:19" s="29" customFormat="1">
      <c r="A246" s="174"/>
      <c r="B246" s="3"/>
      <c r="C246" s="3"/>
      <c r="D246" s="3"/>
      <c r="E246" s="3"/>
      <c r="F246" s="3"/>
      <c r="G246" s="10"/>
      <c r="H246" s="3"/>
      <c r="K246" s="3"/>
      <c r="L246" s="3"/>
      <c r="M246" s="3"/>
      <c r="N246" s="3"/>
      <c r="O246" s="3"/>
      <c r="P246" s="3"/>
      <c r="Q246" s="3"/>
      <c r="R246" s="53"/>
      <c r="S246" s="45"/>
    </row>
    <row r="247" spans="1:19" s="29" customFormat="1">
      <c r="A247" s="174"/>
      <c r="B247" s="3"/>
      <c r="C247" s="3"/>
      <c r="D247" s="3"/>
      <c r="E247" s="3"/>
      <c r="F247" s="3"/>
      <c r="G247" s="10"/>
      <c r="H247" s="3"/>
      <c r="K247" s="3"/>
      <c r="L247" s="3"/>
      <c r="M247" s="3"/>
      <c r="N247" s="3"/>
      <c r="O247" s="3"/>
      <c r="P247" s="3"/>
      <c r="Q247" s="3"/>
      <c r="R247" s="45"/>
      <c r="S247" s="45"/>
    </row>
    <row r="248" spans="1:19" s="29" customFormat="1">
      <c r="A248" s="174"/>
      <c r="B248" s="3"/>
      <c r="C248" s="3"/>
      <c r="D248" s="3"/>
      <c r="E248" s="3"/>
      <c r="F248" s="3"/>
      <c r="G248" s="10"/>
      <c r="H248" s="3"/>
      <c r="K248" s="3"/>
      <c r="L248" s="3"/>
      <c r="M248" s="3"/>
      <c r="N248" s="3"/>
      <c r="O248" s="3"/>
      <c r="P248" s="3"/>
      <c r="Q248" s="3"/>
      <c r="R248" s="45"/>
      <c r="S248" s="45"/>
    </row>
    <row r="249" spans="1:19" s="29" customFormat="1">
      <c r="A249" s="174"/>
      <c r="B249" s="3"/>
      <c r="C249" s="3"/>
      <c r="D249" s="3"/>
      <c r="E249" s="3"/>
      <c r="F249" s="3"/>
      <c r="G249" s="10"/>
      <c r="H249" s="3"/>
      <c r="K249" s="3"/>
      <c r="L249" s="3"/>
      <c r="M249" s="3"/>
      <c r="N249" s="3"/>
      <c r="O249" s="3"/>
      <c r="P249" s="3"/>
      <c r="Q249" s="3"/>
      <c r="R249" s="45"/>
      <c r="S249" s="45"/>
    </row>
    <row r="250" spans="1:19" s="29" customFormat="1">
      <c r="A250" s="174"/>
      <c r="B250" s="3"/>
      <c r="C250" s="3"/>
      <c r="D250" s="3"/>
      <c r="E250" s="3"/>
      <c r="F250" s="3"/>
      <c r="G250" s="10"/>
      <c r="H250" s="3"/>
      <c r="K250" s="3"/>
      <c r="L250" s="3"/>
      <c r="M250" s="3"/>
      <c r="N250" s="3"/>
      <c r="O250" s="3"/>
      <c r="P250" s="3"/>
      <c r="Q250" s="3"/>
      <c r="R250" s="45"/>
      <c r="S250" s="45"/>
    </row>
  </sheetData>
  <sheetProtection algorithmName="SHA-512" hashValue="X+pHANRkuHhmFiLqbDwrEuN24tUXKex9ZUpMLaYrPbCMPbpYb/7CkF7ADjDZMLT1s6+mlYhzfYulVPVKDeAkQA==" saltValue="wMSeD0xlOdfn9f18+nhcIQ==" spinCount="100000" sheet="1" selectLockedCells="1"/>
  <mergeCells count="228">
    <mergeCell ref="B208:C208"/>
    <mergeCell ref="A213:B214"/>
    <mergeCell ref="C213:C214"/>
    <mergeCell ref="D213:D214"/>
    <mergeCell ref="E213:F213"/>
    <mergeCell ref="G213:G214"/>
    <mergeCell ref="H213:H214"/>
    <mergeCell ref="B216:C216"/>
    <mergeCell ref="A224:B224"/>
    <mergeCell ref="A175:B176"/>
    <mergeCell ref="C175:C176"/>
    <mergeCell ref="D175:D176"/>
    <mergeCell ref="E175:F175"/>
    <mergeCell ref="G175:G176"/>
    <mergeCell ref="H175:H176"/>
    <mergeCell ref="B178:C178"/>
    <mergeCell ref="E180:F180"/>
    <mergeCell ref="B172:C172"/>
    <mergeCell ref="A126:A127"/>
    <mergeCell ref="B126:C126"/>
    <mergeCell ref="D126:D127"/>
    <mergeCell ref="E126:E127"/>
    <mergeCell ref="F126:F127"/>
    <mergeCell ref="B129:C129"/>
    <mergeCell ref="B133:C133"/>
    <mergeCell ref="A140:B140"/>
    <mergeCell ref="F140:G140"/>
    <mergeCell ref="D165:D166"/>
    <mergeCell ref="E165:E166"/>
    <mergeCell ref="F165:F166"/>
    <mergeCell ref="G165:G166"/>
    <mergeCell ref="H165:H166"/>
    <mergeCell ref="F142:G142"/>
    <mergeCell ref="A146:B147"/>
    <mergeCell ref="C146:C147"/>
    <mergeCell ref="D146:D147"/>
    <mergeCell ref="G93:G94"/>
    <mergeCell ref="H93:H94"/>
    <mergeCell ref="A95:A96"/>
    <mergeCell ref="E95:E96"/>
    <mergeCell ref="F95:F96"/>
    <mergeCell ref="G95:G96"/>
    <mergeCell ref="H95:H96"/>
    <mergeCell ref="F122:F123"/>
    <mergeCell ref="G122:G123"/>
    <mergeCell ref="H122:H123"/>
    <mergeCell ref="A98:A99"/>
    <mergeCell ref="B98:D98"/>
    <mergeCell ref="E98:E99"/>
    <mergeCell ref="F98:F99"/>
    <mergeCell ref="B101:D101"/>
    <mergeCell ref="B108:D108"/>
    <mergeCell ref="B112:D112"/>
    <mergeCell ref="B120:C120"/>
    <mergeCell ref="A122:A123"/>
    <mergeCell ref="B122:C122"/>
    <mergeCell ref="D122:D123"/>
    <mergeCell ref="G98:G99"/>
    <mergeCell ref="H98:H99"/>
    <mergeCell ref="B105:D105"/>
    <mergeCell ref="H58:H59"/>
    <mergeCell ref="H37:H42"/>
    <mergeCell ref="B42:D42"/>
    <mergeCell ref="B47:D47"/>
    <mergeCell ref="B51:D51"/>
    <mergeCell ref="B205:C205"/>
    <mergeCell ref="B206:C206"/>
    <mergeCell ref="B195:C195"/>
    <mergeCell ref="B196:C196"/>
    <mergeCell ref="A187:B187"/>
    <mergeCell ref="B190:C190"/>
    <mergeCell ref="B192:C192"/>
    <mergeCell ref="B194:C194"/>
    <mergeCell ref="A199:B200"/>
    <mergeCell ref="C199:C200"/>
    <mergeCell ref="D199:D200"/>
    <mergeCell ref="B203:C203"/>
    <mergeCell ref="B179:C179"/>
    <mergeCell ref="B180:C180"/>
    <mergeCell ref="B91:D91"/>
    <mergeCell ref="A93:A94"/>
    <mergeCell ref="B93:D93"/>
    <mergeCell ref="E93:E94"/>
    <mergeCell ref="F93:F94"/>
    <mergeCell ref="H29:H30"/>
    <mergeCell ref="B30:D30"/>
    <mergeCell ref="B32:D32"/>
    <mergeCell ref="B34:D34"/>
    <mergeCell ref="A35:A36"/>
    <mergeCell ref="B35:D36"/>
    <mergeCell ref="E35:E36"/>
    <mergeCell ref="H35:H36"/>
    <mergeCell ref="B50:D50"/>
    <mergeCell ref="B38:D38"/>
    <mergeCell ref="B39:D39"/>
    <mergeCell ref="B40:D40"/>
    <mergeCell ref="B80:C80"/>
    <mergeCell ref="B65:C65"/>
    <mergeCell ref="B103:D103"/>
    <mergeCell ref="B104:D104"/>
    <mergeCell ref="D58:D59"/>
    <mergeCell ref="B95:D95"/>
    <mergeCell ref="B102:D102"/>
    <mergeCell ref="D66:D69"/>
    <mergeCell ref="B94:D94"/>
    <mergeCell ref="B64:C64"/>
    <mergeCell ref="B96:D96"/>
    <mergeCell ref="B99:D99"/>
    <mergeCell ref="B63:C63"/>
    <mergeCell ref="B68:C68"/>
    <mergeCell ref="B81:C81"/>
    <mergeCell ref="B70:C70"/>
    <mergeCell ref="B71:C71"/>
    <mergeCell ref="B73:C73"/>
    <mergeCell ref="B77:C77"/>
    <mergeCell ref="B79:C79"/>
    <mergeCell ref="B74:C74"/>
    <mergeCell ref="E71:F71"/>
    <mergeCell ref="B75:C75"/>
    <mergeCell ref="B46:D46"/>
    <mergeCell ref="B45:D45"/>
    <mergeCell ref="B53:D53"/>
    <mergeCell ref="B37:D37"/>
    <mergeCell ref="B41:D41"/>
    <mergeCell ref="B55:D55"/>
    <mergeCell ref="A58:B59"/>
    <mergeCell ref="B61:C61"/>
    <mergeCell ref="B67:C67"/>
    <mergeCell ref="B69:C69"/>
    <mergeCell ref="B66:C66"/>
    <mergeCell ref="E58:F58"/>
    <mergeCell ref="B54:D54"/>
    <mergeCell ref="B22:C22"/>
    <mergeCell ref="B62:C62"/>
    <mergeCell ref="B29:D29"/>
    <mergeCell ref="A4:B4"/>
    <mergeCell ref="D7:G7"/>
    <mergeCell ref="A7:B7"/>
    <mergeCell ref="D11:D12"/>
    <mergeCell ref="E11:E12"/>
    <mergeCell ref="F11:F12"/>
    <mergeCell ref="B14:C14"/>
    <mergeCell ref="B15:C15"/>
    <mergeCell ref="B16:C16"/>
    <mergeCell ref="A11:B12"/>
    <mergeCell ref="B44:D44"/>
    <mergeCell ref="B17:C17"/>
    <mergeCell ref="B19:C19"/>
    <mergeCell ref="B20:C20"/>
    <mergeCell ref="B21:C21"/>
    <mergeCell ref="E37:E42"/>
    <mergeCell ref="G58:G59"/>
    <mergeCell ref="A29:A30"/>
    <mergeCell ref="E29:E30"/>
    <mergeCell ref="F29:F30"/>
    <mergeCell ref="G29:G30"/>
    <mergeCell ref="R101:R102"/>
    <mergeCell ref="E122:E123"/>
    <mergeCell ref="B130:C130"/>
    <mergeCell ref="B137:C137"/>
    <mergeCell ref="F143:G143"/>
    <mergeCell ref="B134:C134"/>
    <mergeCell ref="B135:C135"/>
    <mergeCell ref="B136:C136"/>
    <mergeCell ref="B151:C151"/>
    <mergeCell ref="H146:H147"/>
    <mergeCell ref="B150:C150"/>
    <mergeCell ref="B110:D110"/>
    <mergeCell ref="B114:D114"/>
    <mergeCell ref="B124:C124"/>
    <mergeCell ref="B123:C123"/>
    <mergeCell ref="B113:D113"/>
    <mergeCell ref="B109:D109"/>
    <mergeCell ref="B127:C127"/>
    <mergeCell ref="G126:G127"/>
    <mergeCell ref="H126:H127"/>
    <mergeCell ref="E146:F146"/>
    <mergeCell ref="G146:G147"/>
    <mergeCell ref="D142:D143"/>
    <mergeCell ref="E142:E143"/>
    <mergeCell ref="B171:C171"/>
    <mergeCell ref="A152:A153"/>
    <mergeCell ref="B152:C153"/>
    <mergeCell ref="E152:F152"/>
    <mergeCell ref="G152:G153"/>
    <mergeCell ref="H152:H153"/>
    <mergeCell ref="A154:A157"/>
    <mergeCell ref="B154:C157"/>
    <mergeCell ref="G154:G157"/>
    <mergeCell ref="E156:F156"/>
    <mergeCell ref="E157:F157"/>
    <mergeCell ref="E155:F155"/>
    <mergeCell ref="H154:H157"/>
    <mergeCell ref="E153:F153"/>
    <mergeCell ref="E154:F154"/>
    <mergeCell ref="B160:C160"/>
    <mergeCell ref="A167:A168"/>
    <mergeCell ref="D167:D168"/>
    <mergeCell ref="E167:E168"/>
    <mergeCell ref="F167:F168"/>
    <mergeCell ref="G167:G168"/>
    <mergeCell ref="H167:H168"/>
    <mergeCell ref="B170:C170"/>
    <mergeCell ref="B165:C165"/>
    <mergeCell ref="B226:D226"/>
    <mergeCell ref="B233:D233"/>
    <mergeCell ref="D238:F239"/>
    <mergeCell ref="I154:I158"/>
    <mergeCell ref="A158:A159"/>
    <mergeCell ref="B158:C159"/>
    <mergeCell ref="B162:C162"/>
    <mergeCell ref="A165:A166"/>
    <mergeCell ref="B217:C217"/>
    <mergeCell ref="B228:D228"/>
    <mergeCell ref="B230:D230"/>
    <mergeCell ref="B231:D231"/>
    <mergeCell ref="B229:D229"/>
    <mergeCell ref="B227:D227"/>
    <mergeCell ref="E199:F199"/>
    <mergeCell ref="G199:G200"/>
    <mergeCell ref="H199:H200"/>
    <mergeCell ref="B163:C163"/>
    <mergeCell ref="B204:C204"/>
    <mergeCell ref="B209:C209"/>
    <mergeCell ref="B210:C210"/>
    <mergeCell ref="B167:C167"/>
    <mergeCell ref="B168:C168"/>
    <mergeCell ref="B166:C166"/>
  </mergeCells>
  <dataValidations count="3">
    <dataValidation type="list" allowBlank="1" showInputMessage="1" showErrorMessage="1" sqref="E233" xr:uid="{0C58B4E7-8E28-412B-9A1F-9F62FC232943}">
      <formula1>$K$233:$K$237</formula1>
    </dataValidation>
    <dataValidation type="list" allowBlank="1" showInputMessage="1" showErrorMessage="1" sqref="F143:G143" xr:uid="{1805D671-E37D-4AF0-9244-07F2DF8FF0B7}">
      <formula1>$L$140:$Q$140</formula1>
    </dataValidation>
    <dataValidation type="list" allowBlank="1" showInputMessage="1" showErrorMessage="1" sqref="A7:B7" xr:uid="{25381A83-AC14-42B0-9C25-BCF715591C95}">
      <formula1>$K$1:$K$6</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73"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8" width="0" style="3" hidden="1" customWidth="1"/>
    <col min="19" max="16384" width="9.109375" style="3"/>
  </cols>
  <sheetData>
    <row r="1" spans="1:16" ht="15.6">
      <c r="A1" s="377" t="s">
        <v>90</v>
      </c>
      <c r="B1" s="378"/>
      <c r="C1" s="378"/>
      <c r="D1" s="378"/>
      <c r="E1" s="378"/>
      <c r="F1" s="378"/>
      <c r="G1" s="378"/>
      <c r="H1" s="379"/>
      <c r="K1" s="3" t="s">
        <v>41</v>
      </c>
    </row>
    <row r="2" spans="1:16">
      <c r="A2" s="380"/>
      <c r="B2" s="281"/>
      <c r="C2" s="281"/>
      <c r="D2" s="281"/>
      <c r="E2" s="281"/>
      <c r="F2" s="281"/>
      <c r="G2" s="282"/>
      <c r="H2" s="283"/>
      <c r="J2" s="6"/>
      <c r="K2" s="6" t="s">
        <v>428</v>
      </c>
    </row>
    <row r="3" spans="1:16" ht="15.6">
      <c r="A3" s="381" t="s">
        <v>378</v>
      </c>
      <c r="B3" s="281"/>
      <c r="C3" s="281"/>
      <c r="D3" s="349" t="s">
        <v>143</v>
      </c>
      <c r="E3" s="349" t="s">
        <v>144</v>
      </c>
      <c r="F3" s="349" t="s">
        <v>145</v>
      </c>
      <c r="G3" s="306" t="s">
        <v>105</v>
      </c>
      <c r="H3" s="292" t="s">
        <v>63</v>
      </c>
      <c r="J3" s="6"/>
      <c r="K3" s="6" t="s">
        <v>45</v>
      </c>
    </row>
    <row r="4" spans="1:16" ht="15.6">
      <c r="A4" s="862">
        <f>Summary!A6</f>
        <v>0</v>
      </c>
      <c r="B4" s="863"/>
      <c r="C4" s="281"/>
      <c r="D4" s="78">
        <f>H84</f>
        <v>0</v>
      </c>
      <c r="E4" s="166">
        <f>H183</f>
        <v>0</v>
      </c>
      <c r="F4" s="133">
        <f>H220</f>
        <v>0</v>
      </c>
      <c r="G4" s="143">
        <f>H234</f>
        <v>0</v>
      </c>
      <c r="H4" s="382">
        <f>H236</f>
        <v>0</v>
      </c>
      <c r="J4" s="6"/>
      <c r="K4" s="6" t="s">
        <v>15</v>
      </c>
    </row>
    <row r="5" spans="1:16">
      <c r="A5" s="380"/>
      <c r="B5" s="281"/>
      <c r="C5" s="281"/>
      <c r="D5" s="281"/>
      <c r="E5" s="281"/>
      <c r="F5" s="281"/>
      <c r="G5" s="282"/>
      <c r="H5" s="283"/>
      <c r="J5" s="6"/>
      <c r="K5" s="6" t="s">
        <v>16</v>
      </c>
    </row>
    <row r="6" spans="1:16" s="4" customFormat="1" ht="15.6">
      <c r="A6" s="381" t="s">
        <v>91</v>
      </c>
      <c r="B6" s="313"/>
      <c r="C6" s="313"/>
      <c r="D6" s="314" t="s">
        <v>35</v>
      </c>
      <c r="E6" s="281"/>
      <c r="F6" s="281"/>
      <c r="G6" s="282"/>
      <c r="H6" s="283"/>
      <c r="J6" s="6"/>
      <c r="K6" s="6" t="s">
        <v>427</v>
      </c>
      <c r="L6" s="3"/>
      <c r="M6" s="3"/>
      <c r="N6" s="3"/>
    </row>
    <row r="7" spans="1:16" ht="15.75" customHeight="1">
      <c r="A7" s="842" t="s">
        <v>428</v>
      </c>
      <c r="B7" s="843"/>
      <c r="D7" s="835">
        <f>Summary!A102</f>
        <v>0</v>
      </c>
      <c r="E7" s="785"/>
      <c r="F7" s="785"/>
      <c r="G7" s="786"/>
      <c r="H7" s="383"/>
      <c r="J7" s="29"/>
      <c r="K7" s="29" t="s">
        <v>426</v>
      </c>
    </row>
    <row r="8" spans="1:16" ht="15.6" thickBot="1">
      <c r="A8" s="380"/>
      <c r="B8" s="315"/>
      <c r="C8" s="281"/>
      <c r="D8" s="281"/>
      <c r="E8" s="281"/>
      <c r="F8" s="281"/>
      <c r="G8" s="282"/>
      <c r="H8" s="283"/>
    </row>
    <row r="9" spans="1:16" ht="16.2" thickBot="1">
      <c r="A9" s="384" t="s">
        <v>126</v>
      </c>
      <c r="B9" s="145"/>
      <c r="C9" s="145"/>
      <c r="D9" s="145"/>
      <c r="E9" s="145"/>
      <c r="F9" s="146"/>
      <c r="G9" s="16"/>
      <c r="H9" s="385"/>
    </row>
    <row r="10" spans="1:16">
      <c r="A10" s="380"/>
      <c r="B10" s="316"/>
      <c r="C10" s="281"/>
      <c r="D10" s="281"/>
      <c r="E10" s="281"/>
      <c r="F10" s="281"/>
      <c r="G10" s="282"/>
      <c r="H10" s="283"/>
    </row>
    <row r="11" spans="1:16" ht="15.75" customHeight="1">
      <c r="A11" s="963" t="s">
        <v>0</v>
      </c>
      <c r="B11" s="964"/>
      <c r="C11" s="153"/>
      <c r="D11" s="985" t="s">
        <v>4</v>
      </c>
      <c r="E11" s="984" t="s">
        <v>81</v>
      </c>
      <c r="F11" s="984" t="s">
        <v>21</v>
      </c>
      <c r="G11" s="317"/>
      <c r="H11" s="386"/>
    </row>
    <row r="12" spans="1:16" ht="15.75" customHeight="1">
      <c r="A12" s="965"/>
      <c r="B12" s="966"/>
      <c r="C12" s="154"/>
      <c r="D12" s="986"/>
      <c r="E12" s="984"/>
      <c r="F12" s="984"/>
      <c r="G12" s="317"/>
      <c r="H12" s="386"/>
    </row>
    <row r="13" spans="1:16" s="29" customFormat="1" ht="15.6">
      <c r="A13" s="387" t="s">
        <v>128</v>
      </c>
      <c r="B13" s="180"/>
      <c r="C13" s="180"/>
      <c r="D13" s="180"/>
      <c r="E13" s="183"/>
      <c r="F13" s="183"/>
      <c r="G13" s="318"/>
      <c r="H13" s="388"/>
      <c r="O13" s="45"/>
      <c r="P13" s="45"/>
    </row>
    <row r="14" spans="1:16">
      <c r="A14" s="389">
        <v>1</v>
      </c>
      <c r="B14" s="987" t="s">
        <v>287</v>
      </c>
      <c r="C14" s="851"/>
      <c r="D14" s="149" t="s">
        <v>2</v>
      </c>
      <c r="E14" s="54" t="s">
        <v>50</v>
      </c>
      <c r="F14" s="30"/>
      <c r="G14" s="278"/>
      <c r="H14" s="304"/>
      <c r="I14" s="148" t="s">
        <v>143</v>
      </c>
      <c r="K14" s="152" t="str">
        <f>IF(F14&lt;65%,"Min. 65% coverage"," ")</f>
        <v>Min. 65% coverage</v>
      </c>
    </row>
    <row r="15" spans="1:16" ht="30.75" customHeight="1">
      <c r="A15" s="389">
        <v>2</v>
      </c>
      <c r="B15" s="987" t="s">
        <v>376</v>
      </c>
      <c r="C15" s="851"/>
      <c r="D15" s="150" t="s">
        <v>51</v>
      </c>
      <c r="E15" s="31" t="s">
        <v>50</v>
      </c>
      <c r="F15" s="547"/>
      <c r="G15" s="278"/>
      <c r="H15" s="283"/>
      <c r="I15" s="148" t="s">
        <v>144</v>
      </c>
      <c r="K15" s="152" t="str">
        <f>IF(F15&lt;65%,"Min. 80% coverage"," ")</f>
        <v>Min. 80% coverage</v>
      </c>
    </row>
    <row r="16" spans="1:16" ht="15" customHeight="1">
      <c r="A16" s="389">
        <v>3</v>
      </c>
      <c r="B16" s="987" t="s">
        <v>375</v>
      </c>
      <c r="C16" s="851"/>
      <c r="D16" s="150" t="s">
        <v>51</v>
      </c>
      <c r="E16" s="31" t="s">
        <v>50</v>
      </c>
      <c r="F16" s="547"/>
      <c r="G16" s="278"/>
      <c r="H16" s="386"/>
      <c r="I16" s="3" t="s">
        <v>143</v>
      </c>
      <c r="K16" s="152" t="str">
        <f>IF(F16&lt;65%,"Min. 65% coverage"," ")</f>
        <v>Min. 65% coverage</v>
      </c>
    </row>
    <row r="17" spans="1:19">
      <c r="A17" s="389">
        <v>4</v>
      </c>
      <c r="B17" s="886" t="s">
        <v>191</v>
      </c>
      <c r="C17" s="884"/>
      <c r="D17" s="147" t="s">
        <v>3</v>
      </c>
      <c r="E17" s="31" t="s">
        <v>50</v>
      </c>
      <c r="F17" s="547"/>
      <c r="G17" s="278"/>
      <c r="H17" s="386"/>
      <c r="I17" s="3" t="s">
        <v>145</v>
      </c>
      <c r="K17" s="152" t="str">
        <f>IF(F17&lt;65%,"Min. 65% coverage"," ")</f>
        <v>Min. 65% coverage</v>
      </c>
    </row>
    <row r="18" spans="1:19" s="29" customFormat="1" ht="15.6">
      <c r="A18" s="390" t="s">
        <v>127</v>
      </c>
      <c r="B18" s="180"/>
      <c r="C18" s="180"/>
      <c r="D18" s="180"/>
      <c r="E18" s="181"/>
      <c r="F18" s="182"/>
      <c r="G18" s="319"/>
      <c r="H18" s="388"/>
      <c r="K18" s="10"/>
      <c r="O18" s="45"/>
      <c r="P18" s="45"/>
    </row>
    <row r="19" spans="1:19" ht="32.25" customHeight="1">
      <c r="A19" s="391">
        <v>5</v>
      </c>
      <c r="B19" s="873" t="s">
        <v>288</v>
      </c>
      <c r="C19" s="989"/>
      <c r="D19" s="151" t="s">
        <v>3</v>
      </c>
      <c r="E19" s="536"/>
      <c r="F19" s="31">
        <f>IFERROR(E19/$F$115,0)</f>
        <v>0</v>
      </c>
      <c r="G19" s="278"/>
      <c r="H19" s="386"/>
      <c r="I19" s="3" t="s">
        <v>144</v>
      </c>
      <c r="K19" s="152" t="str">
        <f>IF($A$7=$K$2,IF(E19=0,"Please input wall length"," ")," ")</f>
        <v>Please input wall length</v>
      </c>
    </row>
    <row r="20" spans="1:19">
      <c r="A20" s="391">
        <v>6</v>
      </c>
      <c r="B20" s="987" t="s">
        <v>289</v>
      </c>
      <c r="C20" s="851"/>
      <c r="D20" s="190" t="s">
        <v>51</v>
      </c>
      <c r="E20" s="31" t="s">
        <v>50</v>
      </c>
      <c r="F20" s="30"/>
      <c r="G20" s="278"/>
      <c r="H20" s="386"/>
      <c r="I20" s="3" t="s">
        <v>144</v>
      </c>
      <c r="K20" s="152" t="str">
        <f>IF($A$7=$K$2,IF(F20&lt;65%,"Min. 65% coverage"," ")," ")</f>
        <v>Min. 65% coverage</v>
      </c>
    </row>
    <row r="21" spans="1:19">
      <c r="A21" s="391">
        <v>7</v>
      </c>
      <c r="B21" s="886" t="s">
        <v>306</v>
      </c>
      <c r="C21" s="884"/>
      <c r="D21" s="150" t="s">
        <v>51</v>
      </c>
      <c r="E21" s="31" t="s">
        <v>50</v>
      </c>
      <c r="F21" s="547"/>
      <c r="G21" s="278"/>
      <c r="H21" s="386"/>
      <c r="I21" s="3" t="s">
        <v>143</v>
      </c>
      <c r="K21" s="152" t="str">
        <f>IF($A$7=$K$2,IF(F21&lt;65%,"Min. 65% coverage"," ")," ")</f>
        <v>Min. 65% coverage</v>
      </c>
    </row>
    <row r="22" spans="1:19">
      <c r="A22" s="391" t="s">
        <v>308</v>
      </c>
      <c r="B22" s="886" t="s">
        <v>307</v>
      </c>
      <c r="C22" s="884"/>
      <c r="D22" s="150" t="s">
        <v>51</v>
      </c>
      <c r="E22" s="31" t="s">
        <v>50</v>
      </c>
      <c r="F22" s="547"/>
      <c r="G22" s="278"/>
      <c r="H22" s="386"/>
      <c r="K22" s="152"/>
    </row>
    <row r="23" spans="1:19">
      <c r="A23" s="380"/>
      <c r="B23" s="281"/>
      <c r="C23" s="281"/>
      <c r="D23" s="281"/>
      <c r="E23" s="281"/>
      <c r="F23" s="281"/>
      <c r="G23" s="282"/>
      <c r="H23" s="283"/>
      <c r="K23" s="6"/>
    </row>
    <row r="24" spans="1:19" ht="15.6">
      <c r="A24" s="392" t="s">
        <v>44</v>
      </c>
      <c r="B24" s="169"/>
      <c r="C24" s="169"/>
      <c r="D24" s="169"/>
      <c r="E24" s="169"/>
      <c r="F24" s="170" t="s">
        <v>43</v>
      </c>
      <c r="G24" s="171">
        <f>VLOOKUP($A$7,'Manpower allocation'!A4:D11,2,FALSE)*100</f>
        <v>45</v>
      </c>
      <c r="H24" s="393" t="s">
        <v>42</v>
      </c>
      <c r="J24" s="497">
        <f>VLOOKUP($A$7,'Manpower allocation'!A4:D11,2,FALSE)*100</f>
        <v>45</v>
      </c>
      <c r="K24" s="6"/>
    </row>
    <row r="25" spans="1:19" ht="15.6">
      <c r="A25" s="380"/>
      <c r="B25" s="320"/>
      <c r="C25" s="321"/>
      <c r="D25" s="281"/>
      <c r="E25" s="281"/>
      <c r="F25" s="281"/>
      <c r="G25" s="282"/>
      <c r="H25" s="283"/>
      <c r="K25" s="6"/>
    </row>
    <row r="26" spans="1:19" s="29" customFormat="1" ht="46.8">
      <c r="A26" s="394" t="s">
        <v>0</v>
      </c>
      <c r="B26" s="41"/>
      <c r="C26" s="41"/>
      <c r="D26" s="42"/>
      <c r="E26" s="43" t="s">
        <v>17</v>
      </c>
      <c r="F26" s="43" t="s">
        <v>114</v>
      </c>
      <c r="G26" s="43" t="s">
        <v>18</v>
      </c>
      <c r="H26" s="395" t="s">
        <v>53</v>
      </c>
      <c r="K26" s="44"/>
      <c r="R26" s="45"/>
      <c r="S26" s="45"/>
    </row>
    <row r="27" spans="1:19" s="29" customFormat="1" ht="15.6">
      <c r="A27" s="396" t="s">
        <v>198</v>
      </c>
      <c r="B27" s="46" t="s">
        <v>214</v>
      </c>
      <c r="C27" s="47"/>
      <c r="D27" s="47"/>
      <c r="E27" s="48"/>
      <c r="F27" s="48"/>
      <c r="G27" s="48"/>
      <c r="H27" s="397"/>
      <c r="R27" s="45"/>
      <c r="S27" s="45"/>
    </row>
    <row r="28" spans="1:19" s="29" customFormat="1" ht="15.6">
      <c r="A28" s="398">
        <v>1</v>
      </c>
      <c r="B28" s="40" t="s">
        <v>338</v>
      </c>
      <c r="C28" s="41"/>
      <c r="D28" s="49"/>
      <c r="E28" s="41"/>
      <c r="F28" s="50"/>
      <c r="G28" s="50"/>
      <c r="H28" s="399"/>
      <c r="R28" s="45"/>
      <c r="S28" s="45"/>
    </row>
    <row r="29" spans="1:19" s="29" customFormat="1">
      <c r="A29" s="980">
        <v>1.1000000000000001</v>
      </c>
      <c r="B29" s="852" t="s">
        <v>290</v>
      </c>
      <c r="C29" s="988"/>
      <c r="D29" s="988"/>
      <c r="E29" s="904">
        <f>VLOOKUP(A29,'Point Allocation'!$A$5:$J$15,MATCH(A7,'Point Allocation'!$A$5:$J$5,0),0)</f>
        <v>45</v>
      </c>
      <c r="F29" s="1014"/>
      <c r="G29" s="1015">
        <f>IFERROR(F29/$F$56,0)</f>
        <v>0</v>
      </c>
      <c r="H29" s="909">
        <f>E29*G29</f>
        <v>0</v>
      </c>
      <c r="R29" s="45"/>
      <c r="S29" s="45"/>
    </row>
    <row r="30" spans="1:19" s="29" customFormat="1" ht="15.6">
      <c r="A30" s="981"/>
      <c r="B30" s="998" t="s">
        <v>401</v>
      </c>
      <c r="C30" s="998"/>
      <c r="D30" s="998"/>
      <c r="E30" s="904"/>
      <c r="F30" s="1014"/>
      <c r="G30" s="1015">
        <f t="shared" ref="G30" si="0">IFERROR(F30/$F$56,0)</f>
        <v>0</v>
      </c>
      <c r="H30" s="909"/>
      <c r="R30" s="45"/>
      <c r="S30" s="45"/>
    </row>
    <row r="31" spans="1:19" s="29" customFormat="1" ht="15.6">
      <c r="A31" s="398">
        <v>2</v>
      </c>
      <c r="B31" s="40" t="s">
        <v>339</v>
      </c>
      <c r="C31" s="51"/>
      <c r="D31" s="49"/>
      <c r="E31" s="52"/>
      <c r="F31" s="8"/>
      <c r="G31" s="22"/>
      <c r="H31" s="400"/>
      <c r="R31" s="53"/>
      <c r="S31" s="45"/>
    </row>
    <row r="32" spans="1:19" s="29" customFormat="1">
      <c r="A32" s="401">
        <v>2.1</v>
      </c>
      <c r="B32" s="885" t="s">
        <v>203</v>
      </c>
      <c r="C32" s="886"/>
      <c r="D32" s="884"/>
      <c r="E32" s="20">
        <f>VLOOKUP(A32,'Point Allocation'!$A$5:$J$15,MATCH(A7,'Point Allocation'!$A$5:$J$5,0),0)</f>
        <v>42</v>
      </c>
      <c r="F32" s="536"/>
      <c r="G32" s="31">
        <f>IFERROR(F32/$F$56,0)</f>
        <v>0</v>
      </c>
      <c r="H32" s="405">
        <f>E32*G32</f>
        <v>0</v>
      </c>
      <c r="R32" s="53"/>
      <c r="S32" s="45"/>
    </row>
    <row r="33" spans="1:19" s="29" customFormat="1" ht="15.6">
      <c r="A33" s="398">
        <v>3</v>
      </c>
      <c r="B33" s="40" t="s">
        <v>340</v>
      </c>
      <c r="C33" s="51"/>
      <c r="D33" s="49"/>
      <c r="E33" s="52"/>
      <c r="F33" s="8"/>
      <c r="G33" s="22"/>
      <c r="H33" s="400"/>
      <c r="R33" s="53"/>
      <c r="S33" s="45"/>
    </row>
    <row r="34" spans="1:19" s="29" customFormat="1" ht="15" customHeight="1">
      <c r="A34" s="401">
        <v>3.1</v>
      </c>
      <c r="B34" s="885" t="s">
        <v>587</v>
      </c>
      <c r="C34" s="886"/>
      <c r="D34" s="884"/>
      <c r="E34" s="20">
        <f>VLOOKUP(A34,'Point Allocation'!$A$5:$J$15,MATCH(A7,'Point Allocation'!$A$5:$J$5,0),0)</f>
        <v>39</v>
      </c>
      <c r="F34" s="37"/>
      <c r="G34" s="31">
        <f>IFERROR(F34/$F$56,0)</f>
        <v>0</v>
      </c>
      <c r="H34" s="419">
        <f>E34*G34</f>
        <v>0</v>
      </c>
      <c r="R34" s="53"/>
      <c r="S34" s="45"/>
    </row>
    <row r="35" spans="1:19" s="29" customFormat="1" ht="31.5" customHeight="1">
      <c r="A35" s="967">
        <v>3.2</v>
      </c>
      <c r="B35" s="969" t="s">
        <v>330</v>
      </c>
      <c r="C35" s="970"/>
      <c r="D35" s="971"/>
      <c r="E35" s="910">
        <f>VLOOKUP(A35,'Point Allocation'!$A$5:$J$15,MATCH(A7,'Point Allocation'!$A$5:$J$5,0),0)</f>
        <v>39</v>
      </c>
      <c r="F35" s="37"/>
      <c r="G35" s="31">
        <f>IFERROR(F35/$F$56,0)</f>
        <v>0</v>
      </c>
      <c r="H35" s="945">
        <f>IF(SUM(J37:J42)&gt;=4,E35*G35,0)</f>
        <v>0</v>
      </c>
      <c r="R35" s="53"/>
      <c r="S35" s="45"/>
    </row>
    <row r="36" spans="1:19" s="29" customFormat="1" ht="31.5" customHeight="1">
      <c r="A36" s="968"/>
      <c r="B36" s="972"/>
      <c r="C36" s="973"/>
      <c r="D36" s="974"/>
      <c r="E36" s="911"/>
      <c r="F36" s="9" t="s">
        <v>130</v>
      </c>
      <c r="G36" s="54" t="s">
        <v>117</v>
      </c>
      <c r="H36" s="947"/>
      <c r="R36" s="53"/>
      <c r="S36" s="45"/>
    </row>
    <row r="37" spans="1:19" s="29" customFormat="1" ht="89.25" customHeight="1">
      <c r="A37" s="402" t="s">
        <v>192</v>
      </c>
      <c r="B37" s="1016" t="s">
        <v>359</v>
      </c>
      <c r="C37" s="1017"/>
      <c r="D37" s="1018"/>
      <c r="E37" s="958"/>
      <c r="F37" s="187" t="s">
        <v>131</v>
      </c>
      <c r="G37" s="546"/>
      <c r="H37" s="946"/>
      <c r="J37" s="55">
        <f t="shared" ref="J37:J42" si="1">IF(G37&gt;=65%,1,0)</f>
        <v>0</v>
      </c>
      <c r="R37" s="53"/>
      <c r="S37" s="45"/>
    </row>
    <row r="38" spans="1:19" s="29" customFormat="1" ht="33.75" customHeight="1">
      <c r="A38" s="402" t="s">
        <v>193</v>
      </c>
      <c r="B38" s="871" t="s">
        <v>215</v>
      </c>
      <c r="C38" s="872"/>
      <c r="D38" s="873"/>
      <c r="E38" s="958"/>
      <c r="F38" s="39" t="s">
        <v>132</v>
      </c>
      <c r="G38" s="547"/>
      <c r="H38" s="946"/>
      <c r="J38" s="55">
        <f t="shared" si="1"/>
        <v>0</v>
      </c>
      <c r="R38" s="53"/>
      <c r="S38" s="45"/>
    </row>
    <row r="39" spans="1:19" s="29" customFormat="1" ht="48.75" customHeight="1">
      <c r="A39" s="402" t="s">
        <v>201</v>
      </c>
      <c r="B39" s="871" t="s">
        <v>216</v>
      </c>
      <c r="C39" s="872"/>
      <c r="D39" s="873"/>
      <c r="E39" s="958"/>
      <c r="F39" s="39" t="s">
        <v>133</v>
      </c>
      <c r="G39" s="547"/>
      <c r="H39" s="946"/>
      <c r="J39" s="55">
        <f t="shared" si="1"/>
        <v>0</v>
      </c>
      <c r="R39" s="53"/>
      <c r="S39" s="45"/>
    </row>
    <row r="40" spans="1:19" s="29" customFormat="1" ht="45">
      <c r="A40" s="402" t="s">
        <v>194</v>
      </c>
      <c r="B40" s="871" t="s">
        <v>217</v>
      </c>
      <c r="C40" s="872"/>
      <c r="D40" s="873"/>
      <c r="E40" s="958"/>
      <c r="F40" s="39" t="s">
        <v>134</v>
      </c>
      <c r="G40" s="547"/>
      <c r="H40" s="946"/>
      <c r="J40" s="55">
        <f t="shared" si="1"/>
        <v>0</v>
      </c>
      <c r="R40" s="53"/>
      <c r="S40" s="45"/>
    </row>
    <row r="41" spans="1:19" s="29" customFormat="1" ht="48.75" customHeight="1">
      <c r="A41" s="402" t="s">
        <v>202</v>
      </c>
      <c r="B41" s="871" t="s">
        <v>218</v>
      </c>
      <c r="C41" s="872"/>
      <c r="D41" s="873"/>
      <c r="E41" s="958"/>
      <c r="F41" s="39" t="s">
        <v>135</v>
      </c>
      <c r="G41" s="547"/>
      <c r="H41" s="946"/>
      <c r="J41" s="55">
        <f t="shared" si="1"/>
        <v>0</v>
      </c>
      <c r="R41" s="53"/>
      <c r="S41" s="45"/>
    </row>
    <row r="42" spans="1:19" s="29" customFormat="1" ht="31.5" customHeight="1">
      <c r="A42" s="402" t="s">
        <v>195</v>
      </c>
      <c r="B42" s="975" t="s">
        <v>345</v>
      </c>
      <c r="C42" s="976"/>
      <c r="D42" s="977"/>
      <c r="E42" s="959"/>
      <c r="F42" s="39" t="s">
        <v>136</v>
      </c>
      <c r="G42" s="547"/>
      <c r="H42" s="947"/>
      <c r="J42" s="55">
        <f t="shared" si="1"/>
        <v>0</v>
      </c>
      <c r="R42" s="53"/>
      <c r="S42" s="45"/>
    </row>
    <row r="43" spans="1:19" s="29" customFormat="1" ht="15.6">
      <c r="A43" s="398" t="s">
        <v>196</v>
      </c>
      <c r="B43" s="40" t="s">
        <v>341</v>
      </c>
      <c r="C43" s="56"/>
      <c r="D43" s="49"/>
      <c r="E43" s="52"/>
      <c r="F43" s="36"/>
      <c r="G43" s="23"/>
      <c r="H43" s="403"/>
      <c r="R43" s="53"/>
      <c r="S43" s="45"/>
    </row>
    <row r="44" spans="1:19" s="29" customFormat="1" ht="31.5" customHeight="1">
      <c r="A44" s="404">
        <v>4.0999999999999996</v>
      </c>
      <c r="B44" s="885" t="s">
        <v>331</v>
      </c>
      <c r="C44" s="886"/>
      <c r="D44" s="884"/>
      <c r="E44" s="20">
        <f>VLOOKUP(A44,'Point Allocation'!$A$5:$J$15,MATCH(A7,'Point Allocation'!$A$5:$J$5,0),0)</f>
        <v>35</v>
      </c>
      <c r="F44" s="536"/>
      <c r="G44" s="31">
        <f>IFERROR(F44/$F$56,0)</f>
        <v>0</v>
      </c>
      <c r="H44" s="405">
        <f>E44*G44</f>
        <v>0</v>
      </c>
      <c r="R44" s="53"/>
      <c r="S44" s="45"/>
    </row>
    <row r="45" spans="1:19" s="29" customFormat="1">
      <c r="A45" s="406">
        <v>4.2</v>
      </c>
      <c r="B45" s="928" t="s">
        <v>348</v>
      </c>
      <c r="C45" s="990"/>
      <c r="D45" s="929"/>
      <c r="E45" s="20">
        <f>VLOOKUP(A45,'Point Allocation'!$A$5:$J$15,MATCH(A7,'Point Allocation'!$A$5:$J$5,0),0)</f>
        <v>35</v>
      </c>
      <c r="F45" s="536"/>
      <c r="G45" s="31">
        <f>IFERROR(F45/$F$56,0)</f>
        <v>0</v>
      </c>
      <c r="H45" s="405">
        <f>E45*G45</f>
        <v>0</v>
      </c>
      <c r="R45" s="53"/>
      <c r="S45" s="45"/>
    </row>
    <row r="46" spans="1:19" s="29" customFormat="1">
      <c r="A46" s="406">
        <v>4.3</v>
      </c>
      <c r="B46" s="960" t="s">
        <v>346</v>
      </c>
      <c r="C46" s="961"/>
      <c r="D46" s="962"/>
      <c r="E46" s="20">
        <f>VLOOKUP(A46,'Point Allocation'!$A$5:$J$15,MATCH(A7,'Point Allocation'!$A$5:$J$5,0),0)</f>
        <v>28</v>
      </c>
      <c r="F46" s="536"/>
      <c r="G46" s="31">
        <f>IFERROR(F46/$F$56,0)</f>
        <v>0</v>
      </c>
      <c r="H46" s="405">
        <f>E46*G46</f>
        <v>0</v>
      </c>
      <c r="R46" s="53"/>
      <c r="S46" s="45"/>
    </row>
    <row r="47" spans="1:19" s="29" customFormat="1">
      <c r="A47" s="404">
        <v>4.4000000000000004</v>
      </c>
      <c r="B47" s="885" t="s">
        <v>347</v>
      </c>
      <c r="C47" s="886"/>
      <c r="D47" s="884"/>
      <c r="E47" s="20">
        <f>VLOOKUP(A47,'Point Allocation'!$A$5:$J$15,MATCH(A7,'Point Allocation'!$A$5:$J$5,0),0)</f>
        <v>28</v>
      </c>
      <c r="F47" s="536"/>
      <c r="G47" s="31">
        <f>IFERROR(F47/$F$56,0)</f>
        <v>0</v>
      </c>
      <c r="H47" s="405">
        <f>E47*G47</f>
        <v>0</v>
      </c>
      <c r="R47" s="53"/>
      <c r="S47" s="45"/>
    </row>
    <row r="48" spans="1:19" s="59" customFormat="1" ht="15.6">
      <c r="A48" s="396" t="s">
        <v>197</v>
      </c>
      <c r="B48" s="46" t="s">
        <v>211</v>
      </c>
      <c r="C48" s="57"/>
      <c r="D48" s="58"/>
      <c r="E48" s="7"/>
      <c r="F48" s="7"/>
      <c r="G48" s="24"/>
      <c r="H48" s="407"/>
      <c r="J48" s="29"/>
      <c r="K48" s="29"/>
      <c r="L48" s="29"/>
      <c r="M48" s="29"/>
      <c r="N48" s="29"/>
      <c r="R48" s="60"/>
    </row>
    <row r="49" spans="1:19" s="59" customFormat="1" ht="15.6">
      <c r="A49" s="408">
        <v>5</v>
      </c>
      <c r="B49" s="40" t="s">
        <v>212</v>
      </c>
      <c r="C49" s="49"/>
      <c r="D49" s="49"/>
      <c r="E49" s="8"/>
      <c r="F49" s="8"/>
      <c r="G49" s="22"/>
      <c r="H49" s="403"/>
      <c r="J49" s="29"/>
      <c r="K49" s="29"/>
      <c r="L49" s="29"/>
      <c r="M49" s="29"/>
      <c r="N49" s="29"/>
      <c r="R49" s="60"/>
    </row>
    <row r="50" spans="1:19" s="29" customFormat="1">
      <c r="A50" s="409">
        <v>5.0999999999999996</v>
      </c>
      <c r="B50" s="844" t="s">
        <v>204</v>
      </c>
      <c r="C50" s="846"/>
      <c r="D50" s="845"/>
      <c r="E50" s="20">
        <f>VLOOKUP(A50,'Point Allocation'!$A$5:$J$15,MATCH(A7,'Point Allocation'!$A$5:$J$5,0),0)</f>
        <v>22</v>
      </c>
      <c r="F50" s="536"/>
      <c r="G50" s="31">
        <f>IFERROR(F50/$F$56,0)</f>
        <v>0</v>
      </c>
      <c r="H50" s="405">
        <f>E50*G50</f>
        <v>0</v>
      </c>
      <c r="R50" s="53"/>
      <c r="S50" s="45"/>
    </row>
    <row r="51" spans="1:19" s="29" customFormat="1">
      <c r="A51" s="409">
        <v>5.2</v>
      </c>
      <c r="B51" s="844" t="s">
        <v>151</v>
      </c>
      <c r="C51" s="846"/>
      <c r="D51" s="845"/>
      <c r="E51" s="20">
        <f>VLOOKUP(A51,'Point Allocation'!$A$5:$J$15,MATCH(A7,'Point Allocation'!$A$5:$J$5,0),0)</f>
        <v>10</v>
      </c>
      <c r="F51" s="536"/>
      <c r="G51" s="31">
        <f>IFERROR(F51/$F$56,0)</f>
        <v>0</v>
      </c>
      <c r="H51" s="405">
        <f>E51*G51</f>
        <v>0</v>
      </c>
      <c r="R51" s="53"/>
      <c r="S51" s="45"/>
    </row>
    <row r="52" spans="1:19" s="29" customFormat="1" ht="15.6">
      <c r="A52" s="410">
        <v>6</v>
      </c>
      <c r="B52" s="61" t="s">
        <v>213</v>
      </c>
      <c r="C52" s="49"/>
      <c r="D52" s="49"/>
      <c r="E52" s="8"/>
      <c r="F52" s="8"/>
      <c r="G52" s="22"/>
      <c r="H52" s="403"/>
      <c r="R52" s="53"/>
      <c r="S52" s="45"/>
    </row>
    <row r="53" spans="1:19" s="29" customFormat="1">
      <c r="A53" s="411">
        <v>6.1</v>
      </c>
      <c r="B53" s="826"/>
      <c r="C53" s="821"/>
      <c r="D53" s="847"/>
      <c r="E53" s="536"/>
      <c r="F53" s="536"/>
      <c r="G53" s="31">
        <f>IFERROR(F53/$F$56,0)</f>
        <v>0</v>
      </c>
      <c r="H53" s="405">
        <f>E53*G53</f>
        <v>0</v>
      </c>
      <c r="R53" s="53"/>
      <c r="S53" s="45"/>
    </row>
    <row r="54" spans="1:19" s="29" customFormat="1">
      <c r="A54" s="411">
        <v>6.2</v>
      </c>
      <c r="B54" s="826"/>
      <c r="C54" s="821"/>
      <c r="D54" s="847"/>
      <c r="E54" s="536"/>
      <c r="F54" s="536"/>
      <c r="G54" s="31">
        <f>IFERROR(F54/$F$56,0)</f>
        <v>0</v>
      </c>
      <c r="H54" s="405">
        <f>E54*G54</f>
        <v>0</v>
      </c>
      <c r="R54" s="53"/>
      <c r="S54" s="45"/>
    </row>
    <row r="55" spans="1:19" s="29" customFormat="1">
      <c r="A55" s="411">
        <v>6.3</v>
      </c>
      <c r="B55" s="826"/>
      <c r="C55" s="821"/>
      <c r="D55" s="847"/>
      <c r="E55" s="536"/>
      <c r="F55" s="536"/>
      <c r="G55" s="31">
        <f>IFERROR(F55/$F$56,0)</f>
        <v>0</v>
      </c>
      <c r="H55" s="405">
        <f>E55*G55</f>
        <v>0</v>
      </c>
      <c r="R55" s="53"/>
      <c r="S55" s="45"/>
    </row>
    <row r="56" spans="1:19" s="29" customFormat="1" ht="15.6">
      <c r="A56" s="412"/>
      <c r="B56" s="322"/>
      <c r="C56" s="323"/>
      <c r="D56" s="323"/>
      <c r="E56" s="324" t="s">
        <v>61</v>
      </c>
      <c r="F56" s="26">
        <f>SUM(F29,F32,F34,F35,F44,F45,F46,F47,F50,F51,F53,F54,F55)</f>
        <v>0</v>
      </c>
      <c r="G56" s="25">
        <f>SUM(G29,G32:G32,G34:G35,G44:G47,G50:G51,G53:G55)</f>
        <v>0</v>
      </c>
      <c r="H56" s="413">
        <f>IFERROR(SUM(H29:H55),0)</f>
        <v>0</v>
      </c>
      <c r="N56" s="62"/>
      <c r="R56" s="53"/>
      <c r="S56" s="45"/>
    </row>
    <row r="57" spans="1:19" s="29" customFormat="1" ht="15.6" thickBot="1">
      <c r="A57" s="491"/>
      <c r="B57" s="492"/>
      <c r="C57" s="493"/>
      <c r="D57" s="493"/>
      <c r="E57" s="493"/>
      <c r="F57" s="493"/>
      <c r="G57" s="480"/>
      <c r="H57" s="639"/>
      <c r="R57" s="53"/>
      <c r="S57" s="45"/>
    </row>
    <row r="58" spans="1:19" s="29" customFormat="1" ht="15.6">
      <c r="A58" s="954" t="s">
        <v>0</v>
      </c>
      <c r="B58" s="955"/>
      <c r="C58" s="646"/>
      <c r="D58" s="978" t="s">
        <v>4</v>
      </c>
      <c r="E58" s="952" t="s">
        <v>1</v>
      </c>
      <c r="F58" s="953"/>
      <c r="G58" s="948" t="s">
        <v>21</v>
      </c>
      <c r="H58" s="950" t="s">
        <v>63</v>
      </c>
      <c r="R58" s="53"/>
      <c r="S58" s="45"/>
    </row>
    <row r="59" spans="1:19" s="29" customFormat="1" ht="31.2">
      <c r="A59" s="956"/>
      <c r="B59" s="957"/>
      <c r="C59" s="63"/>
      <c r="D59" s="979"/>
      <c r="E59" s="43" t="s">
        <v>118</v>
      </c>
      <c r="F59" s="43" t="s">
        <v>119</v>
      </c>
      <c r="G59" s="949"/>
      <c r="H59" s="951"/>
      <c r="J59" s="64"/>
      <c r="R59" s="53"/>
      <c r="S59" s="45"/>
    </row>
    <row r="60" spans="1:19" s="29" customFormat="1" ht="15.6">
      <c r="A60" s="415" t="s">
        <v>219</v>
      </c>
      <c r="B60" s="46" t="s">
        <v>148</v>
      </c>
      <c r="C60" s="58"/>
      <c r="D60" s="65"/>
      <c r="E60" s="48"/>
      <c r="F60" s="48"/>
      <c r="G60" s="48"/>
      <c r="H60" s="416"/>
      <c r="J60" s="62"/>
      <c r="K60" s="62"/>
      <c r="L60" s="62"/>
      <c r="M60" s="62"/>
      <c r="R60" s="53"/>
      <c r="S60" s="45"/>
    </row>
    <row r="61" spans="1:19" s="29" customFormat="1" ht="15" customHeight="1">
      <c r="A61" s="417" t="s">
        <v>349</v>
      </c>
      <c r="B61" s="850" t="s">
        <v>595</v>
      </c>
      <c r="C61" s="851"/>
      <c r="D61" s="5" t="s">
        <v>51</v>
      </c>
      <c r="E61" s="9">
        <v>3</v>
      </c>
      <c r="F61" s="9">
        <v>4</v>
      </c>
      <c r="G61" s="66"/>
      <c r="H61" s="405">
        <f>IF(G61&gt;=80%,F61,IF(G61&lt;65%,0,E61))</f>
        <v>0</v>
      </c>
      <c r="R61" s="53"/>
      <c r="S61" s="45"/>
    </row>
    <row r="62" spans="1:19" s="29" customFormat="1">
      <c r="A62" s="417" t="s">
        <v>350</v>
      </c>
      <c r="B62" s="850" t="s">
        <v>596</v>
      </c>
      <c r="C62" s="851"/>
      <c r="D62" s="5" t="s">
        <v>51</v>
      </c>
      <c r="E62" s="9">
        <v>3</v>
      </c>
      <c r="F62" s="9">
        <v>4</v>
      </c>
      <c r="G62" s="66"/>
      <c r="H62" s="405">
        <f>IF(G62&gt;=80%,F62,IF(G62&lt;65%,0,E62))</f>
        <v>0</v>
      </c>
      <c r="R62" s="53"/>
      <c r="S62" s="45"/>
    </row>
    <row r="63" spans="1:19" s="29" customFormat="1">
      <c r="A63" s="418" t="s">
        <v>351</v>
      </c>
      <c r="B63" s="850" t="s">
        <v>588</v>
      </c>
      <c r="C63" s="851"/>
      <c r="D63" s="5" t="s">
        <v>51</v>
      </c>
      <c r="E63" s="9">
        <v>3</v>
      </c>
      <c r="F63" s="9">
        <v>4</v>
      </c>
      <c r="G63" s="66"/>
      <c r="H63" s="405">
        <f>IF(G63&gt;=80%,F63,IF(G63&lt;65%,0,E63))</f>
        <v>0</v>
      </c>
      <c r="R63" s="53"/>
      <c r="S63" s="45"/>
    </row>
    <row r="64" spans="1:19" s="29" customFormat="1" ht="51" customHeight="1">
      <c r="A64" s="417">
        <v>7.2</v>
      </c>
      <c r="B64" s="1019" t="s">
        <v>354</v>
      </c>
      <c r="C64" s="1019"/>
      <c r="D64" s="518" t="s">
        <v>51</v>
      </c>
      <c r="E64" s="540">
        <v>2</v>
      </c>
      <c r="F64" s="540">
        <v>2.5</v>
      </c>
      <c r="G64" s="516"/>
      <c r="H64" s="419">
        <f>IF(H35&gt;0,0,IF(G64&gt;=80%,F64,IF(G64&lt;65%,0,E64)))</f>
        <v>0</v>
      </c>
      <c r="J64" s="11"/>
      <c r="K64" s="11"/>
      <c r="L64" s="11"/>
      <c r="R64" s="53"/>
      <c r="S64" s="45"/>
    </row>
    <row r="65" spans="1:19" s="29" customFormat="1" ht="15" customHeight="1">
      <c r="A65" s="417">
        <v>7.3</v>
      </c>
      <c r="B65" s="885" t="s">
        <v>226</v>
      </c>
      <c r="C65" s="886"/>
      <c r="D65" s="375"/>
      <c r="E65" s="375"/>
      <c r="F65" s="375"/>
      <c r="G65" s="375"/>
      <c r="H65" s="420"/>
      <c r="J65" s="11"/>
      <c r="K65" s="11"/>
      <c r="L65" s="11"/>
      <c r="R65" s="53"/>
      <c r="S65" s="45"/>
    </row>
    <row r="66" spans="1:19" s="29" customFormat="1" ht="32.25" customHeight="1">
      <c r="A66" s="418" t="s">
        <v>220</v>
      </c>
      <c r="B66" s="883" t="s">
        <v>227</v>
      </c>
      <c r="C66" s="884"/>
      <c r="D66" s="856" t="s">
        <v>51</v>
      </c>
      <c r="E66" s="296">
        <v>1</v>
      </c>
      <c r="F66" s="296">
        <v>1.5</v>
      </c>
      <c r="G66" s="67"/>
      <c r="H66" s="298">
        <f>IF(H29+H35&gt;0,0.5,IF(G66&gt;=80%,F66,IF(G66&lt;65%,0,E66)))</f>
        <v>0</v>
      </c>
      <c r="K66" s="11"/>
      <c r="L66" s="11"/>
      <c r="R66" s="53"/>
      <c r="S66" s="45"/>
    </row>
    <row r="67" spans="1:19" s="29" customFormat="1" ht="47.25" customHeight="1">
      <c r="A67" s="418" t="s">
        <v>221</v>
      </c>
      <c r="B67" s="883" t="s">
        <v>228</v>
      </c>
      <c r="C67" s="884"/>
      <c r="D67" s="857"/>
      <c r="E67" s="296">
        <v>1</v>
      </c>
      <c r="F67" s="296">
        <v>1.5</v>
      </c>
      <c r="G67" s="67"/>
      <c r="H67" s="298">
        <f>IF(H29+H35&gt;0,0.5,IF(G67&gt;=80%,F67,IF(G67&lt;65%,0,E67)))</f>
        <v>0</v>
      </c>
      <c r="R67" s="53"/>
      <c r="S67" s="45"/>
    </row>
    <row r="68" spans="1:19" s="29" customFormat="1">
      <c r="A68" s="418" t="s">
        <v>235</v>
      </c>
      <c r="B68" s="883" t="s">
        <v>229</v>
      </c>
      <c r="C68" s="884"/>
      <c r="D68" s="857"/>
      <c r="E68" s="296">
        <v>1</v>
      </c>
      <c r="F68" s="296">
        <v>1.5</v>
      </c>
      <c r="G68" s="67"/>
      <c r="H68" s="298">
        <f>IF(H29+H35&gt;0,0.5,IF(G68&gt;=80%,F68,IF(G68&lt;65%,0,E68)))</f>
        <v>0</v>
      </c>
      <c r="R68" s="53"/>
      <c r="S68" s="45"/>
    </row>
    <row r="69" spans="1:19" s="29" customFormat="1" ht="46.5" customHeight="1">
      <c r="A69" s="418" t="s">
        <v>222</v>
      </c>
      <c r="B69" s="883" t="s">
        <v>230</v>
      </c>
      <c r="C69" s="884"/>
      <c r="D69" s="858"/>
      <c r="E69" s="296">
        <v>1</v>
      </c>
      <c r="F69" s="296">
        <v>1.5</v>
      </c>
      <c r="G69" s="67"/>
      <c r="H69" s="298">
        <f>IF(H29+H35&gt;0,0.5,IF(G69&gt;=80%,F69,IF(G69&lt;65%,0,E69)))</f>
        <v>0</v>
      </c>
      <c r="R69" s="53"/>
      <c r="S69" s="45"/>
    </row>
    <row r="70" spans="1:19" s="29" customFormat="1">
      <c r="A70" s="417">
        <v>7.4</v>
      </c>
      <c r="B70" s="930" t="s">
        <v>441</v>
      </c>
      <c r="C70" s="930"/>
      <c r="D70" s="350" t="s">
        <v>2</v>
      </c>
      <c r="E70" s="296">
        <v>1</v>
      </c>
      <c r="F70" s="296">
        <v>1.5</v>
      </c>
      <c r="G70" s="67"/>
      <c r="H70" s="298">
        <f>IF(G70&gt;=80%,F70,IF(G70&lt;65%,0,E70))</f>
        <v>0</v>
      </c>
      <c r="R70" s="53"/>
      <c r="S70" s="45"/>
    </row>
    <row r="71" spans="1:19" s="29" customFormat="1" ht="15" customHeight="1">
      <c r="A71" s="526">
        <v>7.5</v>
      </c>
      <c r="B71" s="932" t="s">
        <v>422</v>
      </c>
      <c r="C71" s="932"/>
      <c r="D71" s="561" t="s">
        <v>420</v>
      </c>
      <c r="E71" s="855">
        <v>2</v>
      </c>
      <c r="F71" s="855"/>
      <c r="G71" s="546"/>
      <c r="H71" s="519">
        <f>IF(G71&gt;=5%,E71,0)</f>
        <v>0</v>
      </c>
      <c r="R71" s="53"/>
      <c r="S71" s="45"/>
    </row>
    <row r="72" spans="1:19" s="29" customFormat="1" ht="15.6">
      <c r="A72" s="421" t="s">
        <v>223</v>
      </c>
      <c r="B72" s="68" t="s">
        <v>231</v>
      </c>
      <c r="C72" s="69"/>
      <c r="D72" s="70"/>
      <c r="E72" s="71"/>
      <c r="F72" s="71"/>
      <c r="G72" s="71"/>
      <c r="H72" s="422"/>
      <c r="R72" s="53"/>
      <c r="S72" s="45"/>
    </row>
    <row r="73" spans="1:19" s="29" customFormat="1">
      <c r="A73" s="417">
        <v>8.1</v>
      </c>
      <c r="B73" s="852" t="s">
        <v>232</v>
      </c>
      <c r="C73" s="852"/>
      <c r="D73" s="5" t="s">
        <v>51</v>
      </c>
      <c r="E73" s="20">
        <v>2</v>
      </c>
      <c r="F73" s="20">
        <v>2.5</v>
      </c>
      <c r="G73" s="72"/>
      <c r="H73" s="405">
        <f>IF(G73&gt;=80%,F73,IF(G73&lt;65%,0,E73))</f>
        <v>0</v>
      </c>
      <c r="J73" s="73"/>
      <c r="R73" s="53"/>
      <c r="S73" s="45"/>
    </row>
    <row r="74" spans="1:19" s="29" customFormat="1">
      <c r="A74" s="417">
        <v>8.1999999999999993</v>
      </c>
      <c r="B74" s="852" t="s">
        <v>233</v>
      </c>
      <c r="C74" s="852"/>
      <c r="D74" s="5" t="s">
        <v>51</v>
      </c>
      <c r="E74" s="20">
        <v>2</v>
      </c>
      <c r="F74" s="20">
        <v>2.5</v>
      </c>
      <c r="G74" s="72"/>
      <c r="H74" s="405">
        <f>IF(G74&gt;=80%,F74,IF(G74&lt;65%,0,E74))</f>
        <v>0</v>
      </c>
      <c r="J74" s="11"/>
      <c r="K74" s="11"/>
      <c r="L74" s="11"/>
      <c r="R74" s="53"/>
      <c r="S74" s="45"/>
    </row>
    <row r="75" spans="1:19" s="29" customFormat="1">
      <c r="A75" s="417">
        <v>8.3000000000000007</v>
      </c>
      <c r="B75" s="874" t="s">
        <v>147</v>
      </c>
      <c r="C75" s="875"/>
      <c r="D75" s="5" t="s">
        <v>2</v>
      </c>
      <c r="E75" s="20">
        <v>2</v>
      </c>
      <c r="F75" s="20">
        <v>2.5</v>
      </c>
      <c r="G75" s="66"/>
      <c r="H75" s="405">
        <f>IF(G75&gt;=80%,F75,IF(G75&lt;65%,0,E75))</f>
        <v>0</v>
      </c>
      <c r="R75" s="53"/>
      <c r="S75" s="45"/>
    </row>
    <row r="76" spans="1:19" s="29" customFormat="1" ht="15.6">
      <c r="A76" s="421" t="s">
        <v>224</v>
      </c>
      <c r="B76" s="68" t="s">
        <v>234</v>
      </c>
      <c r="C76" s="69"/>
      <c r="D76" s="70"/>
      <c r="E76" s="71"/>
      <c r="F76" s="71"/>
      <c r="G76" s="71"/>
      <c r="H76" s="422"/>
      <c r="R76" s="53"/>
      <c r="S76" s="45"/>
    </row>
    <row r="77" spans="1:19" s="29" customFormat="1" ht="31.5" customHeight="1">
      <c r="A77" s="417">
        <v>9.1</v>
      </c>
      <c r="B77" s="852" t="s">
        <v>371</v>
      </c>
      <c r="C77" s="852"/>
      <c r="D77" s="5" t="s">
        <v>51</v>
      </c>
      <c r="E77" s="20">
        <v>2</v>
      </c>
      <c r="F77" s="20">
        <v>2.5</v>
      </c>
      <c r="G77" s="72"/>
      <c r="H77" s="405">
        <f>IF(G77&gt;=80%,F77,IF(G77&lt;65%,0,E77))</f>
        <v>0</v>
      </c>
      <c r="R77" s="53"/>
      <c r="S77" s="45"/>
    </row>
    <row r="78" spans="1:19" s="29" customFormat="1" ht="15.6">
      <c r="A78" s="423" t="s">
        <v>225</v>
      </c>
      <c r="B78" s="74" t="s">
        <v>213</v>
      </c>
      <c r="C78" s="58"/>
      <c r="D78" s="58"/>
      <c r="E78" s="75"/>
      <c r="F78" s="75"/>
      <c r="G78" s="76"/>
      <c r="H78" s="424"/>
      <c r="R78" s="53"/>
      <c r="S78" s="45"/>
    </row>
    <row r="79" spans="1:19" s="29" customFormat="1">
      <c r="A79" s="417">
        <v>10.1</v>
      </c>
      <c r="B79" s="848"/>
      <c r="C79" s="848"/>
      <c r="D79" s="77"/>
      <c r="E79" s="536"/>
      <c r="F79" s="536"/>
      <c r="G79" s="547"/>
      <c r="H79" s="405">
        <f>IF(G79&gt;=80%,F79,IF(G79&lt;65%,0,E79))</f>
        <v>0</v>
      </c>
      <c r="R79" s="53"/>
      <c r="S79" s="45"/>
    </row>
    <row r="80" spans="1:19" s="29" customFormat="1">
      <c r="A80" s="417">
        <v>10.199999999999999</v>
      </c>
      <c r="B80" s="848"/>
      <c r="C80" s="848"/>
      <c r="D80" s="77"/>
      <c r="E80" s="536"/>
      <c r="F80" s="536"/>
      <c r="G80" s="547"/>
      <c r="H80" s="405">
        <f>IF(G80&gt;=80%,F80,IF(G80&lt;65%,0,E80))</f>
        <v>0</v>
      </c>
      <c r="R80" s="53"/>
      <c r="S80" s="45"/>
    </row>
    <row r="81" spans="1:19" s="29" customFormat="1">
      <c r="A81" s="417">
        <v>10.3</v>
      </c>
      <c r="B81" s="848"/>
      <c r="C81" s="848"/>
      <c r="D81" s="77"/>
      <c r="E81" s="536"/>
      <c r="F81" s="536"/>
      <c r="G81" s="547"/>
      <c r="H81" s="405">
        <f>IF(G81&gt;=80%,F81,IF(G81&lt;65%,0,E81))</f>
        <v>0</v>
      </c>
      <c r="R81" s="53"/>
      <c r="S81" s="45"/>
    </row>
    <row r="82" spans="1:19" s="29" customFormat="1" ht="15.6">
      <c r="A82" s="425"/>
      <c r="B82" s="325"/>
      <c r="C82" s="323"/>
      <c r="D82" s="323"/>
      <c r="E82" s="326"/>
      <c r="F82" s="327"/>
      <c r="G82" s="328" t="s">
        <v>418</v>
      </c>
      <c r="H82" s="426">
        <f>IFERROR((SUM(H61:H81)),0)</f>
        <v>0</v>
      </c>
      <c r="R82" s="53"/>
      <c r="S82" s="45"/>
    </row>
    <row r="83" spans="1:19" s="29" customFormat="1">
      <c r="A83" s="412"/>
      <c r="B83" s="325"/>
      <c r="C83" s="323"/>
      <c r="D83" s="323"/>
      <c r="E83" s="323"/>
      <c r="F83" s="323"/>
      <c r="G83" s="329"/>
      <c r="H83" s="388"/>
      <c r="R83" s="53"/>
      <c r="S83" s="45"/>
    </row>
    <row r="84" spans="1:19" s="29" customFormat="1" ht="15.6">
      <c r="A84" s="412"/>
      <c r="B84" s="325"/>
      <c r="C84" s="323"/>
      <c r="D84" s="323"/>
      <c r="E84" s="323"/>
      <c r="F84" s="323"/>
      <c r="G84" s="330" t="s">
        <v>129</v>
      </c>
      <c r="H84" s="427">
        <f>IFERROR(MIN(G24,H56+H82),0)</f>
        <v>0</v>
      </c>
      <c r="R84" s="53"/>
      <c r="S84" s="45"/>
    </row>
    <row r="85" spans="1:19" s="29" customFormat="1" ht="16.2" thickBot="1">
      <c r="A85" s="491"/>
      <c r="B85" s="492"/>
      <c r="C85" s="493"/>
      <c r="D85" s="493"/>
      <c r="E85" s="493"/>
      <c r="F85" s="493"/>
      <c r="G85" s="496"/>
      <c r="H85" s="495"/>
      <c r="R85" s="53"/>
      <c r="S85" s="45"/>
    </row>
    <row r="86" spans="1:19" s="29" customFormat="1" ht="15.6">
      <c r="A86" s="486" t="s">
        <v>52</v>
      </c>
      <c r="B86" s="487"/>
      <c r="C86" s="487"/>
      <c r="D86" s="487"/>
      <c r="E86" s="487"/>
      <c r="F86" s="488" t="s">
        <v>43</v>
      </c>
      <c r="G86" s="489">
        <f>VLOOKUP($A$7,'Manpower allocation'!A4:D11,3,FALSE)*100</f>
        <v>40</v>
      </c>
      <c r="H86" s="490" t="s">
        <v>42</v>
      </c>
      <c r="J86" s="79">
        <f>VLOOKUP($A$7,'Manpower allocation'!A4:D11,3,FALSE)*100</f>
        <v>40</v>
      </c>
      <c r="R86" s="53"/>
      <c r="S86" s="45"/>
    </row>
    <row r="87" spans="1:19" s="29" customFormat="1" ht="15.6">
      <c r="A87" s="412"/>
      <c r="B87" s="331"/>
      <c r="C87" s="326"/>
      <c r="D87" s="323"/>
      <c r="E87" s="323"/>
      <c r="F87" s="323"/>
      <c r="G87" s="332"/>
      <c r="H87" s="388"/>
      <c r="R87" s="53"/>
      <c r="S87" s="45"/>
    </row>
    <row r="88" spans="1:19" s="29" customFormat="1" ht="46.8">
      <c r="A88" s="549" t="s">
        <v>0</v>
      </c>
      <c r="B88" s="550"/>
      <c r="C88" s="168"/>
      <c r="D88" s="80"/>
      <c r="E88" s="81" t="s">
        <v>17</v>
      </c>
      <c r="F88" s="82" t="s">
        <v>81</v>
      </c>
      <c r="G88" s="82" t="s">
        <v>20</v>
      </c>
      <c r="H88" s="428" t="s">
        <v>53</v>
      </c>
      <c r="R88" s="53"/>
      <c r="S88" s="45"/>
    </row>
    <row r="89" spans="1:19" s="29" customFormat="1" ht="15.6">
      <c r="A89" s="429" t="s">
        <v>303</v>
      </c>
      <c r="B89" s="83" t="s">
        <v>332</v>
      </c>
      <c r="C89" s="84"/>
      <c r="D89" s="84"/>
      <c r="E89" s="85"/>
      <c r="F89" s="85"/>
      <c r="G89" s="85"/>
      <c r="H89" s="430"/>
      <c r="R89" s="53"/>
      <c r="S89" s="45"/>
    </row>
    <row r="90" spans="1:19" s="29" customFormat="1" ht="15.6">
      <c r="A90" s="431">
        <v>1</v>
      </c>
      <c r="B90" s="86" t="s">
        <v>338</v>
      </c>
      <c r="C90" s="87"/>
      <c r="D90" s="87"/>
      <c r="E90" s="88"/>
      <c r="F90" s="88"/>
      <c r="G90" s="88"/>
      <c r="H90" s="432"/>
      <c r="R90" s="53"/>
      <c r="S90" s="45"/>
    </row>
    <row r="91" spans="1:19" s="29" customFormat="1">
      <c r="A91" s="417">
        <v>1.1000000000000001</v>
      </c>
      <c r="B91" s="885" t="s">
        <v>290</v>
      </c>
      <c r="C91" s="846"/>
      <c r="D91" s="845"/>
      <c r="E91" s="89">
        <f>VLOOKUP(A91,'Point Allocation'!$A$20:$J$40,MATCH(A7,'Point Allocation'!$A$20:$J$20,0),0)</f>
        <v>30</v>
      </c>
      <c r="F91" s="90"/>
      <c r="G91" s="91">
        <f>IFERROR(F91/$F$115,0)</f>
        <v>0</v>
      </c>
      <c r="H91" s="433">
        <f>E91*G91</f>
        <v>0</v>
      </c>
      <c r="R91" s="45"/>
      <c r="S91" s="45"/>
    </row>
    <row r="92" spans="1:19" s="29" customFormat="1" ht="15.6">
      <c r="A92" s="434">
        <v>2</v>
      </c>
      <c r="B92" s="92" t="s">
        <v>339</v>
      </c>
      <c r="C92" s="93"/>
      <c r="D92" s="94"/>
      <c r="E92" s="94"/>
      <c r="F92" s="95"/>
      <c r="G92" s="96"/>
      <c r="H92" s="435"/>
      <c r="R92" s="53"/>
      <c r="S92" s="45"/>
    </row>
    <row r="93" spans="1:19" s="29" customFormat="1">
      <c r="A93" s="849">
        <v>2.1</v>
      </c>
      <c r="B93" s="844" t="s">
        <v>207</v>
      </c>
      <c r="C93" s="846"/>
      <c r="D93" s="845"/>
      <c r="E93" s="853">
        <f>VLOOKUP(A93,'Point Allocation'!$A$20:$J$40,MATCH(A7,'Point Allocation'!$A$20:$J$20,0),0)</f>
        <v>28</v>
      </c>
      <c r="F93" s="854"/>
      <c r="G93" s="914">
        <f>IFERROR(F93/$F$115,0)</f>
        <v>0</v>
      </c>
      <c r="H93" s="921">
        <f>E93*G93</f>
        <v>0</v>
      </c>
      <c r="R93" s="53"/>
      <c r="S93" s="45"/>
    </row>
    <row r="94" spans="1:19" s="29" customFormat="1" ht="15.6">
      <c r="A94" s="841"/>
      <c r="B94" s="836" t="s">
        <v>120</v>
      </c>
      <c r="C94" s="837"/>
      <c r="D94" s="838"/>
      <c r="E94" s="853"/>
      <c r="F94" s="854"/>
      <c r="G94" s="914"/>
      <c r="H94" s="921"/>
      <c r="R94" s="53"/>
      <c r="S94" s="45"/>
    </row>
    <row r="95" spans="1:19" s="29" customFormat="1">
      <c r="A95" s="849">
        <v>2.2000000000000002</v>
      </c>
      <c r="B95" s="885" t="s">
        <v>178</v>
      </c>
      <c r="C95" s="886"/>
      <c r="D95" s="884"/>
      <c r="E95" s="853">
        <f>VLOOKUP(A95,'Point Allocation'!$A$20:$J$40,MATCH(A7,'Point Allocation'!$A$20:$J$20,0),0)</f>
        <v>28</v>
      </c>
      <c r="F95" s="854"/>
      <c r="G95" s="914">
        <f>IFERROR(F95/$F$115,0)</f>
        <v>0</v>
      </c>
      <c r="H95" s="921">
        <f>E95*G95</f>
        <v>0</v>
      </c>
      <c r="R95" s="53"/>
      <c r="S95" s="45"/>
    </row>
    <row r="96" spans="1:19" s="29" customFormat="1" ht="15.6">
      <c r="A96" s="882"/>
      <c r="B96" s="836" t="s">
        <v>120</v>
      </c>
      <c r="C96" s="837"/>
      <c r="D96" s="838"/>
      <c r="E96" s="853"/>
      <c r="F96" s="854"/>
      <c r="G96" s="914"/>
      <c r="H96" s="921"/>
      <c r="R96" s="53"/>
      <c r="S96" s="45"/>
    </row>
    <row r="97" spans="1:19" s="29" customFormat="1" ht="15.6">
      <c r="A97" s="431">
        <v>3</v>
      </c>
      <c r="B97" s="86" t="s">
        <v>340</v>
      </c>
      <c r="C97" s="93"/>
      <c r="D97" s="93"/>
      <c r="E97" s="95"/>
      <c r="F97" s="95"/>
      <c r="G97" s="96"/>
      <c r="H97" s="436"/>
      <c r="R97" s="53"/>
      <c r="S97" s="45"/>
    </row>
    <row r="98" spans="1:19" s="29" customFormat="1">
      <c r="A98" s="849">
        <v>3.1</v>
      </c>
      <c r="B98" s="844" t="s">
        <v>208</v>
      </c>
      <c r="C98" s="846"/>
      <c r="D98" s="845"/>
      <c r="E98" s="853">
        <f>VLOOKUP(A98,'Point Allocation'!$A$20:$J$40,MATCH(A7,'Point Allocation'!$A$20:$J$20,0),0)</f>
        <v>27</v>
      </c>
      <c r="F98" s="854"/>
      <c r="G98" s="914">
        <f>IFERROR(F98/$F$115,0)</f>
        <v>0</v>
      </c>
      <c r="H98" s="921">
        <f>E98*G98</f>
        <v>0</v>
      </c>
      <c r="R98" s="53"/>
      <c r="S98" s="45"/>
    </row>
    <row r="99" spans="1:19" s="29" customFormat="1" ht="15.6">
      <c r="A99" s="841"/>
      <c r="B99" s="836" t="s">
        <v>286</v>
      </c>
      <c r="C99" s="837"/>
      <c r="D99" s="838"/>
      <c r="E99" s="853"/>
      <c r="F99" s="854"/>
      <c r="G99" s="914"/>
      <c r="H99" s="921"/>
      <c r="R99" s="53"/>
      <c r="S99" s="45"/>
    </row>
    <row r="100" spans="1:19" s="29" customFormat="1" ht="15.6">
      <c r="A100" s="431">
        <v>4</v>
      </c>
      <c r="B100" s="86" t="s">
        <v>341</v>
      </c>
      <c r="C100" s="93"/>
      <c r="D100" s="93"/>
      <c r="E100" s="95"/>
      <c r="F100" s="95"/>
      <c r="G100" s="96"/>
      <c r="H100" s="436"/>
      <c r="R100" s="53"/>
      <c r="S100" s="45"/>
    </row>
    <row r="101" spans="1:19" s="29" customFormat="1" ht="30" customHeight="1">
      <c r="A101" s="418" t="s">
        <v>205</v>
      </c>
      <c r="B101" s="871" t="s">
        <v>292</v>
      </c>
      <c r="C101" s="872"/>
      <c r="D101" s="873"/>
      <c r="E101" s="97">
        <f>VLOOKUP(A101,'Point Allocation'!$A$20:$J$40,MATCH(A7,'Point Allocation'!$A$20:$J$20,0),0)</f>
        <v>25</v>
      </c>
      <c r="F101" s="537"/>
      <c r="G101" s="538">
        <f>IFERROR(F101/$F$115,0)</f>
        <v>0</v>
      </c>
      <c r="H101" s="437">
        <f>E101*G101</f>
        <v>0</v>
      </c>
      <c r="R101" s="912"/>
      <c r="S101" s="45"/>
    </row>
    <row r="102" spans="1:19" s="29" customFormat="1">
      <c r="A102" s="418" t="s">
        <v>206</v>
      </c>
      <c r="B102" s="871" t="s">
        <v>293</v>
      </c>
      <c r="C102" s="872"/>
      <c r="D102" s="873"/>
      <c r="E102" s="97">
        <f>VLOOKUP(A102,'Point Allocation'!$A$20:$J$40,MATCH(A7,'Point Allocation'!$A$20:$J$20,0),0)</f>
        <v>25</v>
      </c>
      <c r="F102" s="537"/>
      <c r="G102" s="538">
        <f>IFERROR(F102/$F$115,0)</f>
        <v>0</v>
      </c>
      <c r="H102" s="437">
        <f>E102*G102</f>
        <v>0</v>
      </c>
      <c r="R102" s="912"/>
      <c r="S102" s="45"/>
    </row>
    <row r="103" spans="1:19" s="29" customFormat="1">
      <c r="A103" s="417">
        <v>4.2</v>
      </c>
      <c r="B103" s="874" t="s">
        <v>209</v>
      </c>
      <c r="C103" s="931"/>
      <c r="D103" s="875"/>
      <c r="E103" s="97">
        <f>VLOOKUP(A103,'Point Allocation'!$A$20:$J$40,MATCH(A7,'Point Allocation'!$A$20:$J$20,0),0)</f>
        <v>25</v>
      </c>
      <c r="F103" s="537"/>
      <c r="G103" s="538">
        <f>IFERROR(F103/$F$115,0)</f>
        <v>0</v>
      </c>
      <c r="H103" s="437">
        <f>E103*G103</f>
        <v>0</v>
      </c>
      <c r="R103" s="53"/>
      <c r="S103" s="45"/>
    </row>
    <row r="104" spans="1:19" s="29" customFormat="1">
      <c r="A104" s="417">
        <v>4.3</v>
      </c>
      <c r="B104" s="922" t="s">
        <v>159</v>
      </c>
      <c r="C104" s="923"/>
      <c r="D104" s="924"/>
      <c r="E104" s="97">
        <f>VLOOKUP(A104,'Point Allocation'!$A$20:$J$40,MATCH(A7,'Point Allocation'!$A$20:$J$20,0),0)</f>
        <v>25</v>
      </c>
      <c r="F104" s="537"/>
      <c r="G104" s="538">
        <f>IFERROR(F104/$F$115,0)</f>
        <v>0</v>
      </c>
      <c r="H104" s="438">
        <f>E104*G104</f>
        <v>0</v>
      </c>
      <c r="R104" s="53"/>
      <c r="S104" s="45"/>
    </row>
    <row r="105" spans="1:19" s="29" customFormat="1">
      <c r="A105" s="417">
        <v>4.4000000000000004</v>
      </c>
      <c r="B105" s="922" t="s">
        <v>355</v>
      </c>
      <c r="C105" s="923"/>
      <c r="D105" s="924"/>
      <c r="E105" s="97">
        <f>VLOOKUP(A105,'Point Allocation'!$A$20:$J$40,MATCH(A7,'Point Allocation'!$A$20:$J$20,0),0)</f>
        <v>22</v>
      </c>
      <c r="F105" s="537"/>
      <c r="G105" s="538">
        <f>IFERROR(F105/$F$115,0)</f>
        <v>0</v>
      </c>
      <c r="H105" s="438">
        <f>E105*G105</f>
        <v>0</v>
      </c>
      <c r="R105" s="53"/>
      <c r="S105" s="45"/>
    </row>
    <row r="106" spans="1:19" s="29" customFormat="1" ht="15.6">
      <c r="A106" s="439" t="s">
        <v>304</v>
      </c>
      <c r="B106" s="99" t="s">
        <v>236</v>
      </c>
      <c r="C106" s="100"/>
      <c r="D106" s="101"/>
      <c r="E106" s="102"/>
      <c r="F106" s="103"/>
      <c r="G106" s="104"/>
      <c r="H106" s="440"/>
      <c r="R106" s="53"/>
      <c r="S106" s="45"/>
    </row>
    <row r="107" spans="1:19" s="29" customFormat="1" ht="15.6">
      <c r="A107" s="431">
        <v>5</v>
      </c>
      <c r="B107" s="86" t="s">
        <v>237</v>
      </c>
      <c r="C107" s="93"/>
      <c r="D107" s="93"/>
      <c r="E107" s="95"/>
      <c r="F107" s="95"/>
      <c r="G107" s="96"/>
      <c r="H107" s="436"/>
      <c r="R107" s="53"/>
      <c r="S107" s="45"/>
    </row>
    <row r="108" spans="1:19" s="29" customFormat="1">
      <c r="A108" s="417">
        <v>5.0999999999999996</v>
      </c>
      <c r="B108" s="844" t="s">
        <v>210</v>
      </c>
      <c r="C108" s="846"/>
      <c r="D108" s="845"/>
      <c r="E108" s="105">
        <f>VLOOKUP(A108,'Point Allocation'!$A$20:$J$40,MATCH(A7,'Point Allocation'!$A$20:$J$20,0),0)</f>
        <v>16</v>
      </c>
      <c r="F108" s="156"/>
      <c r="G108" s="538">
        <f>IFERROR(F108/$F$115,0)</f>
        <v>0</v>
      </c>
      <c r="H108" s="441">
        <f>E108*G108</f>
        <v>0</v>
      </c>
      <c r="R108" s="53"/>
      <c r="S108" s="45"/>
    </row>
    <row r="109" spans="1:19" s="29" customFormat="1">
      <c r="A109" s="417">
        <v>5.2</v>
      </c>
      <c r="B109" s="844" t="s">
        <v>356</v>
      </c>
      <c r="C109" s="846"/>
      <c r="D109" s="845"/>
      <c r="E109" s="105">
        <f>VLOOKUP(A109,'Point Allocation'!$A$20:$J$40,MATCH(A7,'Point Allocation'!$A$20:$J$20,0),0)</f>
        <v>5</v>
      </c>
      <c r="F109" s="90"/>
      <c r="G109" s="538">
        <f>IFERROR(F109/$F$115,0)</f>
        <v>0</v>
      </c>
      <c r="H109" s="441">
        <f>E109*G109</f>
        <v>0</v>
      </c>
      <c r="R109" s="53"/>
      <c r="S109" s="45"/>
    </row>
    <row r="110" spans="1:19" s="29" customFormat="1">
      <c r="A110" s="417">
        <v>5.3</v>
      </c>
      <c r="B110" s="844" t="s">
        <v>357</v>
      </c>
      <c r="C110" s="846"/>
      <c r="D110" s="845"/>
      <c r="E110" s="105">
        <f>VLOOKUP(A110,'Point Allocation'!$A$20:$J$40,MATCH(A7,'Point Allocation'!$A$20:$J$20,0),0)</f>
        <v>0</v>
      </c>
      <c r="F110" s="155"/>
      <c r="G110" s="538">
        <f>IFERROR(F110/$F$115,0)</f>
        <v>0</v>
      </c>
      <c r="H110" s="442">
        <f>E110*G110</f>
        <v>0</v>
      </c>
      <c r="R110" s="53"/>
      <c r="S110" s="45"/>
    </row>
    <row r="111" spans="1:19" s="29" customFormat="1" ht="15.6">
      <c r="A111" s="443">
        <v>6</v>
      </c>
      <c r="B111" s="106" t="s">
        <v>213</v>
      </c>
      <c r="C111" s="93"/>
      <c r="D111" s="93"/>
      <c r="E111" s="95"/>
      <c r="F111" s="95"/>
      <c r="G111" s="96"/>
      <c r="H111" s="436"/>
      <c r="R111" s="53"/>
      <c r="S111" s="45"/>
    </row>
    <row r="112" spans="1:19" s="29" customFormat="1">
      <c r="A112" s="444">
        <v>6.1</v>
      </c>
      <c r="B112" s="826"/>
      <c r="C112" s="821"/>
      <c r="D112" s="847"/>
      <c r="E112" s="537"/>
      <c r="F112" s="537"/>
      <c r="G112" s="538">
        <f>IFERROR(F112/$F$115,0)</f>
        <v>0</v>
      </c>
      <c r="H112" s="442">
        <f>E112*G112</f>
        <v>0</v>
      </c>
      <c r="R112" s="53"/>
      <c r="S112" s="45"/>
    </row>
    <row r="113" spans="1:19" s="29" customFormat="1">
      <c r="A113" s="444">
        <v>6.2</v>
      </c>
      <c r="B113" s="826"/>
      <c r="C113" s="821"/>
      <c r="D113" s="847"/>
      <c r="E113" s="537"/>
      <c r="F113" s="537"/>
      <c r="G113" s="538">
        <f>IFERROR(F113/$F$115,0)</f>
        <v>0</v>
      </c>
      <c r="H113" s="442">
        <f>E113*G113</f>
        <v>0</v>
      </c>
      <c r="R113" s="53"/>
      <c r="S113" s="45"/>
    </row>
    <row r="114" spans="1:19" s="29" customFormat="1">
      <c r="A114" s="444">
        <v>6.3</v>
      </c>
      <c r="B114" s="848"/>
      <c r="C114" s="848"/>
      <c r="D114" s="848"/>
      <c r="E114" s="537"/>
      <c r="F114" s="537"/>
      <c r="G114" s="538">
        <f>IFERROR(F114/$F$115,0)</f>
        <v>0</v>
      </c>
      <c r="H114" s="442">
        <f>E114*G114</f>
        <v>0</v>
      </c>
      <c r="R114" s="53"/>
      <c r="S114" s="45"/>
    </row>
    <row r="115" spans="1:19" s="29" customFormat="1" ht="15.6">
      <c r="A115" s="425"/>
      <c r="B115" s="325"/>
      <c r="C115" s="323"/>
      <c r="D115" s="323"/>
      <c r="E115" s="330" t="s">
        <v>62</v>
      </c>
      <c r="F115" s="333">
        <f>SUM(F91:F114)+E19</f>
        <v>0</v>
      </c>
      <c r="G115" s="334">
        <f>SUM(G91:G114)+F19</f>
        <v>0</v>
      </c>
      <c r="H115" s="445">
        <f>IFERROR(SUM(H91:H114),0)</f>
        <v>0</v>
      </c>
      <c r="R115" s="53"/>
      <c r="S115" s="45"/>
    </row>
    <row r="116" spans="1:19" s="29" customFormat="1" ht="15.6" thickBot="1">
      <c r="A116" s="491"/>
      <c r="B116" s="492"/>
      <c r="C116" s="493"/>
      <c r="D116" s="493"/>
      <c r="E116" s="493"/>
      <c r="F116" s="493"/>
      <c r="G116" s="480"/>
      <c r="H116" s="639"/>
      <c r="R116" s="53"/>
      <c r="S116" s="45"/>
    </row>
    <row r="117" spans="1:19" s="29" customFormat="1" ht="31.2">
      <c r="A117" s="640" t="s">
        <v>0</v>
      </c>
      <c r="B117" s="641"/>
      <c r="C117" s="641"/>
      <c r="D117" s="642" t="s">
        <v>17</v>
      </c>
      <c r="E117" s="643" t="s">
        <v>81</v>
      </c>
      <c r="F117" s="644" t="s">
        <v>335</v>
      </c>
      <c r="G117" s="644" t="s">
        <v>336</v>
      </c>
      <c r="H117" s="645" t="s">
        <v>53</v>
      </c>
      <c r="R117" s="53"/>
      <c r="S117" s="45"/>
    </row>
    <row r="118" spans="1:19" s="29" customFormat="1" ht="15.6">
      <c r="A118" s="429" t="s">
        <v>238</v>
      </c>
      <c r="B118" s="83" t="s">
        <v>333</v>
      </c>
      <c r="C118" s="84"/>
      <c r="D118" s="85"/>
      <c r="E118" s="85"/>
      <c r="F118" s="85"/>
      <c r="G118" s="85"/>
      <c r="H118" s="430"/>
      <c r="R118" s="53"/>
      <c r="S118" s="45"/>
    </row>
    <row r="119" spans="1:19" s="29" customFormat="1" ht="15.6">
      <c r="A119" s="431">
        <v>7</v>
      </c>
      <c r="B119" s="86" t="s">
        <v>338</v>
      </c>
      <c r="C119" s="87"/>
      <c r="D119" s="88"/>
      <c r="E119" s="88"/>
      <c r="F119" s="88"/>
      <c r="G119" s="88"/>
      <c r="H119" s="432"/>
      <c r="R119" s="53"/>
      <c r="S119" s="45"/>
    </row>
    <row r="120" spans="1:19" s="29" customFormat="1" ht="15" customHeight="1">
      <c r="A120" s="404">
        <v>7.1</v>
      </c>
      <c r="B120" s="885" t="s">
        <v>290</v>
      </c>
      <c r="C120" s="884"/>
      <c r="D120" s="98">
        <f>VLOOKUP(A120,'Point Allocation'!$A$20:$J$41,MATCH(A7,'Point Allocation'!$A$20:$J$20,0),0)</f>
        <v>10</v>
      </c>
      <c r="E120" s="89">
        <f>F91</f>
        <v>0</v>
      </c>
      <c r="F120" s="89">
        <f>F29</f>
        <v>0</v>
      </c>
      <c r="G120" s="91">
        <f>IFERROR(SUM(E120:F120)/SUM($E$138:$F$138),0)</f>
        <v>0</v>
      </c>
      <c r="H120" s="433">
        <f>D120*G120</f>
        <v>0</v>
      </c>
      <c r="R120" s="53"/>
      <c r="S120" s="45"/>
    </row>
    <row r="121" spans="1:19" s="29" customFormat="1" ht="15.6">
      <c r="A121" s="434">
        <v>8</v>
      </c>
      <c r="B121" s="92" t="s">
        <v>339</v>
      </c>
      <c r="C121" s="93"/>
      <c r="D121" s="94"/>
      <c r="E121" s="95"/>
      <c r="F121" s="95"/>
      <c r="G121" s="96"/>
      <c r="H121" s="435"/>
      <c r="R121" s="53"/>
      <c r="S121" s="45"/>
    </row>
    <row r="122" spans="1:19" s="29" customFormat="1">
      <c r="A122" s="849">
        <v>8.1</v>
      </c>
      <c r="B122" s="844" t="s">
        <v>337</v>
      </c>
      <c r="C122" s="845"/>
      <c r="D122" s="925">
        <f>VLOOKUP(A122,'Point Allocation'!$A$20:$J$41,MATCH(A7,'Point Allocation'!$A$20:$J$20,0),0)</f>
        <v>8</v>
      </c>
      <c r="E122" s="927">
        <f>F93</f>
        <v>0</v>
      </c>
      <c r="F122" s="859"/>
      <c r="G122" s="860">
        <f>IFERROR(SUM(E122:F123)/SUM($E$138:$F$138),0)</f>
        <v>0</v>
      </c>
      <c r="H122" s="921">
        <f>D122*G122</f>
        <v>0</v>
      </c>
      <c r="R122" s="53"/>
      <c r="S122" s="45"/>
    </row>
    <row r="123" spans="1:19" s="29" customFormat="1" ht="15.6">
      <c r="A123" s="882"/>
      <c r="B123" s="836" t="s">
        <v>120</v>
      </c>
      <c r="C123" s="838"/>
      <c r="D123" s="926"/>
      <c r="E123" s="927"/>
      <c r="F123" s="859"/>
      <c r="G123" s="861"/>
      <c r="H123" s="921"/>
      <c r="R123" s="53"/>
      <c r="S123" s="45"/>
    </row>
    <row r="124" spans="1:19" s="29" customFormat="1">
      <c r="A124" s="404">
        <v>8.1999999999999993</v>
      </c>
      <c r="B124" s="885" t="s">
        <v>178</v>
      </c>
      <c r="C124" s="884"/>
      <c r="D124" s="98">
        <f>VLOOKUP(A124,'Point Allocation'!$A$20:$J$41,MATCH(A7,'Point Allocation'!$A$20:$J$20,0),0)</f>
        <v>8</v>
      </c>
      <c r="E124" s="189">
        <f>F95</f>
        <v>0</v>
      </c>
      <c r="F124" s="548"/>
      <c r="G124" s="91">
        <f>IFERROR(SUM(E124:F124)/SUM($E$138:$F$138),0)</f>
        <v>0</v>
      </c>
      <c r="H124" s="437">
        <f>D124*G124</f>
        <v>0</v>
      </c>
      <c r="R124" s="53"/>
      <c r="S124" s="45"/>
    </row>
    <row r="125" spans="1:19" s="29" customFormat="1" ht="15.6">
      <c r="A125" s="431">
        <v>9</v>
      </c>
      <c r="B125" s="86" t="s">
        <v>340</v>
      </c>
      <c r="C125" s="93"/>
      <c r="D125" s="95"/>
      <c r="E125" s="95"/>
      <c r="F125" s="95"/>
      <c r="G125" s="96"/>
      <c r="H125" s="436"/>
      <c r="R125" s="53"/>
      <c r="S125" s="45"/>
    </row>
    <row r="126" spans="1:19" s="29" customFormat="1">
      <c r="A126" s="849">
        <v>9.1</v>
      </c>
      <c r="B126" s="844" t="s">
        <v>381</v>
      </c>
      <c r="C126" s="845"/>
      <c r="D126" s="925">
        <f>VLOOKUP(A126,'Point Allocation'!$A$20:$J$41,MATCH(A7,'Point Allocation'!$A$20:$J$20,0),0)</f>
        <v>6</v>
      </c>
      <c r="E126" s="859"/>
      <c r="F126" s="859"/>
      <c r="G126" s="914">
        <f>IFERROR(SUM(E126:F127)/SUM($E$138:$F$138),0)</f>
        <v>0</v>
      </c>
      <c r="H126" s="921">
        <f>D126*G126</f>
        <v>0</v>
      </c>
      <c r="R126" s="53"/>
      <c r="S126" s="45"/>
    </row>
    <row r="127" spans="1:19" s="29" customFormat="1" ht="15.6">
      <c r="A127" s="882"/>
      <c r="B127" s="836" t="s">
        <v>5</v>
      </c>
      <c r="C127" s="838"/>
      <c r="D127" s="926"/>
      <c r="E127" s="859"/>
      <c r="F127" s="859"/>
      <c r="G127" s="914"/>
      <c r="H127" s="921"/>
      <c r="R127" s="53"/>
      <c r="S127" s="45"/>
    </row>
    <row r="128" spans="1:19" s="29" customFormat="1" ht="15.6">
      <c r="A128" s="431">
        <v>10</v>
      </c>
      <c r="B128" s="86" t="s">
        <v>342</v>
      </c>
      <c r="C128" s="93"/>
      <c r="D128" s="95"/>
      <c r="E128" s="95"/>
      <c r="F128" s="95"/>
      <c r="G128" s="96"/>
      <c r="H128" s="436"/>
      <c r="R128" s="53"/>
      <c r="S128" s="45"/>
    </row>
    <row r="129" spans="1:19" s="29" customFormat="1" ht="15" customHeight="1">
      <c r="A129" s="409">
        <v>10.1</v>
      </c>
      <c r="B129" s="844" t="s">
        <v>382</v>
      </c>
      <c r="C129" s="845"/>
      <c r="D129" s="98">
        <f>VLOOKUP(A129,'Point Allocation'!$A$20:$J$41,MATCH(A7,'Point Allocation'!$A$20:$J$20,0),0)</f>
        <v>4</v>
      </c>
      <c r="E129" s="548"/>
      <c r="F129" s="548"/>
      <c r="G129" s="91">
        <f>IFERROR(SUM(E129:F129)/SUM($E$138:$F$138),0)</f>
        <v>0</v>
      </c>
      <c r="H129" s="437">
        <f>D129*G129</f>
        <v>0</v>
      </c>
      <c r="R129" s="53"/>
      <c r="S129" s="45"/>
    </row>
    <row r="130" spans="1:19" s="29" customFormat="1" ht="32.25" customHeight="1">
      <c r="A130" s="406">
        <v>10.199999999999999</v>
      </c>
      <c r="B130" s="928" t="s">
        <v>353</v>
      </c>
      <c r="C130" s="929"/>
      <c r="D130" s="98">
        <f>VLOOKUP(A130,'Point Allocation'!$A$20:$J$41,MATCH(A7,'Point Allocation'!$A$20:$J$20,0),0)</f>
        <v>4</v>
      </c>
      <c r="E130" s="188"/>
      <c r="F130" s="548"/>
      <c r="G130" s="538">
        <f>IFERROR(SUM(E130:F130)/SUM($E$138:$F$138),0)</f>
        <v>0</v>
      </c>
      <c r="H130" s="437">
        <f>D130*G130</f>
        <v>0</v>
      </c>
      <c r="R130" s="53"/>
      <c r="S130" s="45"/>
    </row>
    <row r="131" spans="1:19" s="29" customFormat="1" ht="15.6">
      <c r="A131" s="439" t="s">
        <v>239</v>
      </c>
      <c r="B131" s="99" t="s">
        <v>262</v>
      </c>
      <c r="C131" s="100"/>
      <c r="D131" s="102"/>
      <c r="E131" s="103"/>
      <c r="F131" s="103"/>
      <c r="G131" s="104"/>
      <c r="H131" s="440"/>
      <c r="R131" s="53"/>
      <c r="S131" s="45"/>
    </row>
    <row r="132" spans="1:19" s="29" customFormat="1" ht="15.6">
      <c r="A132" s="431">
        <v>11</v>
      </c>
      <c r="B132" s="86" t="s">
        <v>263</v>
      </c>
      <c r="C132" s="93"/>
      <c r="D132" s="95"/>
      <c r="E132" s="95"/>
      <c r="F132" s="95"/>
      <c r="G132" s="96"/>
      <c r="H132" s="436"/>
      <c r="R132" s="53"/>
      <c r="S132" s="45"/>
    </row>
    <row r="133" spans="1:19" s="29" customFormat="1">
      <c r="A133" s="409">
        <v>11.1</v>
      </c>
      <c r="B133" s="844" t="s">
        <v>593</v>
      </c>
      <c r="C133" s="845"/>
      <c r="D133" s="98">
        <f>VLOOKUP(A133,'Point Allocation'!$A$20:$J$41,MATCH(A7,'Point Allocation'!$A$20:$J$20,0),0)</f>
        <v>2</v>
      </c>
      <c r="E133" s="548"/>
      <c r="F133" s="548"/>
      <c r="G133" s="538">
        <f>IFERROR(SUM(E133:F133)/SUM($E$138:$F$138),0)</f>
        <v>0</v>
      </c>
      <c r="H133" s="437">
        <f t="shared" ref="H133:H137" si="2">D133*G133</f>
        <v>0</v>
      </c>
      <c r="R133" s="53"/>
      <c r="S133" s="45"/>
    </row>
    <row r="134" spans="1:19" s="29" customFormat="1">
      <c r="A134" s="446">
        <v>11.2</v>
      </c>
      <c r="B134" s="874" t="s">
        <v>344</v>
      </c>
      <c r="C134" s="875"/>
      <c r="D134" s="189">
        <f>VLOOKUP(A133,'Point Allocation'!$A$20:$J$41,MATCH(A7,'Point Allocation'!$A$20:$J$20,0),0)</f>
        <v>2</v>
      </c>
      <c r="E134" s="548"/>
      <c r="F134" s="548"/>
      <c r="G134" s="538">
        <f>IFERROR(SUM(E134:F134)/SUM($E$138:$F$138),0)</f>
        <v>0</v>
      </c>
      <c r="H134" s="437">
        <f t="shared" si="2"/>
        <v>0</v>
      </c>
      <c r="R134" s="53"/>
      <c r="S134" s="45"/>
    </row>
    <row r="135" spans="1:19" s="29" customFormat="1">
      <c r="A135" s="409">
        <v>11.3</v>
      </c>
      <c r="B135" s="874" t="s">
        <v>352</v>
      </c>
      <c r="C135" s="875"/>
      <c r="D135" s="98">
        <f>VLOOKUP(A135,'Point Allocation'!$A$20:$J$41,MATCH(A7,'Point Allocation'!$A$20:$J$20,0),0)</f>
        <v>0</v>
      </c>
      <c r="E135" s="548"/>
      <c r="F135" s="548"/>
      <c r="G135" s="538">
        <f>IFERROR(SUM(E135:F135)/SUM($E$138:$F$138),0)</f>
        <v>0</v>
      </c>
      <c r="H135" s="437">
        <f t="shared" si="2"/>
        <v>0</v>
      </c>
      <c r="R135" s="53"/>
      <c r="S135" s="45"/>
    </row>
    <row r="136" spans="1:19" s="29" customFormat="1">
      <c r="A136" s="447">
        <v>11.4</v>
      </c>
      <c r="B136" s="866"/>
      <c r="C136" s="867"/>
      <c r="D136" s="537"/>
      <c r="E136" s="548"/>
      <c r="F136" s="548"/>
      <c r="G136" s="538">
        <f>IFERROR(SUM(E136:F136)/SUM($E$138:$F$138),0)</f>
        <v>0</v>
      </c>
      <c r="H136" s="437">
        <f t="shared" si="2"/>
        <v>0</v>
      </c>
      <c r="R136" s="53"/>
      <c r="S136" s="45"/>
    </row>
    <row r="137" spans="1:19" s="29" customFormat="1">
      <c r="A137" s="447">
        <v>11.5</v>
      </c>
      <c r="B137" s="866"/>
      <c r="C137" s="867"/>
      <c r="D137" s="537"/>
      <c r="E137" s="548"/>
      <c r="F137" s="548"/>
      <c r="G137" s="538">
        <f>IFERROR(SUM(E137:F137)/SUM($E$138:$F$138),0)</f>
        <v>0</v>
      </c>
      <c r="H137" s="437">
        <f t="shared" si="2"/>
        <v>0</v>
      </c>
      <c r="R137" s="53"/>
      <c r="S137" s="45"/>
    </row>
    <row r="138" spans="1:19" s="29" customFormat="1" ht="15.6">
      <c r="A138" s="412"/>
      <c r="B138" s="325"/>
      <c r="C138" s="323"/>
      <c r="D138" s="330" t="s">
        <v>140</v>
      </c>
      <c r="E138" s="333">
        <f>SUM(E120:E137)</f>
        <v>0</v>
      </c>
      <c r="F138" s="335">
        <f>SUM(F120:F137)</f>
        <v>0</v>
      </c>
      <c r="G138" s="336">
        <f>SUM(G120:G137)</f>
        <v>0</v>
      </c>
      <c r="H138" s="448">
        <f>IFERROR(SUM(H120:H137),0)</f>
        <v>0</v>
      </c>
      <c r="R138" s="53"/>
      <c r="S138" s="45"/>
    </row>
    <row r="139" spans="1:19" s="29" customFormat="1">
      <c r="A139" s="414"/>
      <c r="B139" s="325"/>
      <c r="C139" s="323"/>
      <c r="D139" s="323"/>
      <c r="E139" s="323"/>
      <c r="F139" s="323"/>
      <c r="G139" s="332"/>
      <c r="H139" s="388"/>
      <c r="R139" s="53"/>
      <c r="S139" s="45"/>
    </row>
    <row r="140" spans="1:19" s="29" customFormat="1" ht="46.8">
      <c r="A140" s="868" t="s">
        <v>0</v>
      </c>
      <c r="B140" s="869"/>
      <c r="C140" s="176"/>
      <c r="D140" s="545" t="s">
        <v>58</v>
      </c>
      <c r="E140" s="545" t="s">
        <v>59</v>
      </c>
      <c r="F140" s="870" t="s">
        <v>60</v>
      </c>
      <c r="G140" s="870"/>
      <c r="H140" s="449" t="s">
        <v>63</v>
      </c>
      <c r="K140" s="107" t="s">
        <v>72</v>
      </c>
      <c r="L140" s="107">
        <v>1</v>
      </c>
      <c r="M140" s="107">
        <v>2</v>
      </c>
      <c r="N140" s="107">
        <v>3</v>
      </c>
      <c r="O140" s="107">
        <v>4</v>
      </c>
      <c r="P140" s="107">
        <v>5</v>
      </c>
      <c r="Q140" s="107">
        <v>6</v>
      </c>
      <c r="R140" s="53"/>
      <c r="S140" s="45"/>
    </row>
    <row r="141" spans="1:19" s="29" customFormat="1" ht="15.6">
      <c r="A141" s="450" t="s">
        <v>240</v>
      </c>
      <c r="B141" s="130" t="s">
        <v>148</v>
      </c>
      <c r="C141" s="175"/>
      <c r="D141" s="57"/>
      <c r="E141" s="57"/>
      <c r="F141" s="58"/>
      <c r="G141" s="108"/>
      <c r="H141" s="451"/>
      <c r="K141" s="107" t="s">
        <v>74</v>
      </c>
      <c r="L141" s="107" t="s">
        <v>73</v>
      </c>
      <c r="M141" s="107">
        <v>1</v>
      </c>
      <c r="N141" s="107">
        <v>2</v>
      </c>
      <c r="O141" s="107">
        <v>3</v>
      </c>
      <c r="P141" s="107">
        <v>4</v>
      </c>
      <c r="Q141" s="107">
        <v>4</v>
      </c>
      <c r="R141" s="53"/>
      <c r="S141" s="45"/>
    </row>
    <row r="142" spans="1:19" s="29" customFormat="1">
      <c r="A142" s="391" t="s">
        <v>241</v>
      </c>
      <c r="B142" s="520" t="s">
        <v>442</v>
      </c>
      <c r="C142" s="177" t="s">
        <v>56</v>
      </c>
      <c r="D142" s="854"/>
      <c r="E142" s="854"/>
      <c r="F142" s="892" t="str">
        <f>IF(D142&gt;9,D142/E142," ")</f>
        <v xml:space="preserve"> </v>
      </c>
      <c r="G142" s="892"/>
      <c r="H142" s="437">
        <f>IF(D142="",0,IF(D142&lt;9,2,IF((D142/E142)=0,2,IF((D142/E142)&lt;10%,1.5,IF((D142/E142)&lt;15%,1,IF((D142/E142)&lt;20%,0.5,0))))))</f>
        <v>0</v>
      </c>
      <c r="K142" s="107" t="s">
        <v>75</v>
      </c>
      <c r="L142" s="107" t="s">
        <v>73</v>
      </c>
      <c r="M142" s="107">
        <v>5</v>
      </c>
      <c r="N142" s="107">
        <v>15</v>
      </c>
      <c r="O142" s="107">
        <v>25</v>
      </c>
      <c r="P142" s="107">
        <v>35</v>
      </c>
      <c r="Q142" s="107">
        <v>35</v>
      </c>
      <c r="R142" s="53"/>
      <c r="S142" s="45"/>
    </row>
    <row r="143" spans="1:19" s="29" customFormat="1">
      <c r="A143" s="391" t="s">
        <v>242</v>
      </c>
      <c r="B143" s="520" t="s">
        <v>443</v>
      </c>
      <c r="C143" s="177" t="s">
        <v>57</v>
      </c>
      <c r="D143" s="854"/>
      <c r="E143" s="854"/>
      <c r="F143" s="893"/>
      <c r="G143" s="893"/>
      <c r="H143" s="437">
        <f>IF(E142="",0,IF(E142&lt;15,HLOOKUP(F143,K140:Q147,4,FALSE),IF(E142&lt;45,HLOOKUP(F143,K140:Q147,5,FALSE),IF(E142&lt;90,HLOOKUP(F143,K140:Q147,6,FALSE),IF(E142&lt;135,HLOOKUP(F143,K140:Q147,7,FALSE),IF(E142&gt;=135,HLOOKUP(F143,K140:Q147,8,FALSE),3))))))</f>
        <v>0</v>
      </c>
      <c r="J143" s="55"/>
      <c r="K143" s="107" t="s">
        <v>76</v>
      </c>
      <c r="L143" s="107">
        <v>3</v>
      </c>
      <c r="M143" s="107">
        <v>3</v>
      </c>
      <c r="N143" s="107">
        <v>3</v>
      </c>
      <c r="O143" s="107">
        <v>2.5</v>
      </c>
      <c r="P143" s="107">
        <v>1.5</v>
      </c>
      <c r="Q143" s="107">
        <v>0</v>
      </c>
      <c r="R143" s="53"/>
      <c r="S143" s="45"/>
    </row>
    <row r="144" spans="1:19" s="29" customFormat="1">
      <c r="A144" s="412"/>
      <c r="B144" s="325"/>
      <c r="C144" s="332"/>
      <c r="D144" s="337"/>
      <c r="E144" s="337"/>
      <c r="F144" s="337"/>
      <c r="G144" s="337"/>
      <c r="H144" s="452"/>
      <c r="J144" s="55"/>
      <c r="K144" s="107" t="s">
        <v>77</v>
      </c>
      <c r="L144" s="107">
        <v>3</v>
      </c>
      <c r="M144" s="107">
        <v>3</v>
      </c>
      <c r="N144" s="107">
        <v>2.5</v>
      </c>
      <c r="O144" s="107">
        <v>1.5</v>
      </c>
      <c r="P144" s="107">
        <v>1</v>
      </c>
      <c r="Q144" s="107">
        <v>0</v>
      </c>
      <c r="R144" s="53"/>
      <c r="S144" s="45"/>
    </row>
    <row r="145" spans="1:19" s="29" customFormat="1" ht="15.6">
      <c r="A145" s="412"/>
      <c r="B145" s="338"/>
      <c r="C145" s="332"/>
      <c r="D145" s="332"/>
      <c r="E145" s="332"/>
      <c r="F145" s="323"/>
      <c r="G145" s="339"/>
      <c r="H145" s="453"/>
      <c r="J145" s="55"/>
      <c r="K145" s="107" t="s">
        <v>78</v>
      </c>
      <c r="L145" s="107">
        <v>3</v>
      </c>
      <c r="M145" s="107">
        <v>2.5</v>
      </c>
      <c r="N145" s="107">
        <v>1.5</v>
      </c>
      <c r="O145" s="107">
        <v>1</v>
      </c>
      <c r="P145" s="107">
        <v>0</v>
      </c>
      <c r="Q145" s="107">
        <v>0</v>
      </c>
      <c r="R145" s="53"/>
      <c r="S145" s="45"/>
    </row>
    <row r="146" spans="1:19" s="29" customFormat="1" ht="15.75" customHeight="1">
      <c r="A146" s="876" t="s">
        <v>0</v>
      </c>
      <c r="B146" s="877"/>
      <c r="C146" s="991"/>
      <c r="D146" s="880" t="s">
        <v>4</v>
      </c>
      <c r="E146" s="895" t="s">
        <v>1</v>
      </c>
      <c r="F146" s="881"/>
      <c r="G146" s="896" t="s">
        <v>21</v>
      </c>
      <c r="H146" s="890" t="s">
        <v>63</v>
      </c>
      <c r="J146" s="55"/>
      <c r="K146" s="107" t="s">
        <v>79</v>
      </c>
      <c r="L146" s="107">
        <v>3</v>
      </c>
      <c r="M146" s="107">
        <v>1.5</v>
      </c>
      <c r="N146" s="107">
        <v>1</v>
      </c>
      <c r="O146" s="107">
        <v>0</v>
      </c>
      <c r="P146" s="107">
        <v>0</v>
      </c>
      <c r="Q146" s="107">
        <v>0</v>
      </c>
      <c r="R146" s="53"/>
      <c r="S146" s="45"/>
    </row>
    <row r="147" spans="1:19" s="29" customFormat="1" ht="30" customHeight="1">
      <c r="A147" s="878"/>
      <c r="B147" s="879"/>
      <c r="C147" s="992"/>
      <c r="D147" s="881"/>
      <c r="E147" s="545" t="s">
        <v>65</v>
      </c>
      <c r="F147" s="545" t="s">
        <v>66</v>
      </c>
      <c r="G147" s="897"/>
      <c r="H147" s="891"/>
      <c r="J147" s="55"/>
      <c r="K147" s="107" t="s">
        <v>80</v>
      </c>
      <c r="L147" s="107">
        <v>3</v>
      </c>
      <c r="M147" s="107">
        <v>1</v>
      </c>
      <c r="N147" s="107">
        <v>0</v>
      </c>
      <c r="O147" s="107">
        <v>0</v>
      </c>
      <c r="P147" s="107">
        <v>0</v>
      </c>
      <c r="Q147" s="107">
        <v>0</v>
      </c>
      <c r="R147" s="53"/>
      <c r="S147" s="45"/>
    </row>
    <row r="148" spans="1:19" s="29" customFormat="1" ht="15.6">
      <c r="A148" s="454" t="s">
        <v>243</v>
      </c>
      <c r="B148" s="109" t="s">
        <v>264</v>
      </c>
      <c r="C148" s="110"/>
      <c r="D148" s="110"/>
      <c r="E148" s="110"/>
      <c r="F148" s="114"/>
      <c r="G148" s="115"/>
      <c r="H148" s="455"/>
      <c r="K148" s="107" t="s">
        <v>74</v>
      </c>
      <c r="L148" s="107" t="s">
        <v>73</v>
      </c>
      <c r="M148" s="107">
        <v>1</v>
      </c>
      <c r="N148" s="107">
        <v>2</v>
      </c>
      <c r="O148" s="107">
        <v>3</v>
      </c>
      <c r="P148" s="107">
        <v>4</v>
      </c>
      <c r="Q148" s="107">
        <v>4</v>
      </c>
      <c r="R148" s="53"/>
      <c r="S148" s="45"/>
    </row>
    <row r="149" spans="1:19" s="29" customFormat="1" ht="15.6">
      <c r="A149" s="456" t="s">
        <v>244</v>
      </c>
      <c r="B149" s="158" t="s">
        <v>231</v>
      </c>
      <c r="C149" s="159"/>
      <c r="D149" s="160"/>
      <c r="E149" s="161"/>
      <c r="F149" s="161"/>
      <c r="G149" s="162"/>
      <c r="H149" s="457"/>
      <c r="J149" s="55"/>
      <c r="R149" s="53"/>
      <c r="S149" s="45"/>
    </row>
    <row r="150" spans="1:19" s="29" customFormat="1">
      <c r="A150" s="418" t="s">
        <v>245</v>
      </c>
      <c r="B150" s="885" t="s">
        <v>424</v>
      </c>
      <c r="C150" s="884"/>
      <c r="D150" s="163" t="s">
        <v>51</v>
      </c>
      <c r="E150" s="541">
        <v>2</v>
      </c>
      <c r="F150" s="541">
        <v>3</v>
      </c>
      <c r="G150" s="27"/>
      <c r="H150" s="405">
        <f t="shared" ref="H150:H159" si="3">IF(G150&gt;=80%,F150,IF(G150&lt;65%,0,E150))</f>
        <v>0</v>
      </c>
      <c r="R150" s="53"/>
      <c r="S150" s="45"/>
    </row>
    <row r="151" spans="1:19" s="29" customFormat="1">
      <c r="A151" s="418" t="s">
        <v>246</v>
      </c>
      <c r="B151" s="844" t="s">
        <v>423</v>
      </c>
      <c r="C151" s="845"/>
      <c r="D151" s="164" t="s">
        <v>51</v>
      </c>
      <c r="E151" s="20">
        <v>2</v>
      </c>
      <c r="F151" s="20">
        <v>3</v>
      </c>
      <c r="G151" s="547"/>
      <c r="H151" s="405">
        <f>IF(G151&gt;=80%,F151,IF(G151&lt;65%,0,E151))</f>
        <v>0</v>
      </c>
      <c r="R151" s="53"/>
      <c r="S151" s="45"/>
    </row>
    <row r="152" spans="1:19" s="29" customFormat="1" ht="30">
      <c r="A152" s="839" t="s">
        <v>247</v>
      </c>
      <c r="B152" s="915" t="s">
        <v>448</v>
      </c>
      <c r="C152" s="916"/>
      <c r="D152" s="521" t="s">
        <v>446</v>
      </c>
      <c r="E152" s="907">
        <v>2.5</v>
      </c>
      <c r="F152" s="908"/>
      <c r="G152" s="940"/>
      <c r="H152" s="938">
        <f>IF(G152&gt;=35,E153,IF(G152&gt;=30,E152,0))</f>
        <v>0</v>
      </c>
      <c r="R152" s="53"/>
      <c r="S152" s="45"/>
    </row>
    <row r="153" spans="1:19" s="29" customFormat="1" ht="30">
      <c r="A153" s="841"/>
      <c r="B153" s="917"/>
      <c r="C153" s="918"/>
      <c r="D153" s="521" t="s">
        <v>447</v>
      </c>
      <c r="E153" s="907">
        <v>3</v>
      </c>
      <c r="F153" s="908"/>
      <c r="G153" s="941"/>
      <c r="H153" s="939"/>
      <c r="R153" s="53"/>
      <c r="S153" s="45"/>
    </row>
    <row r="154" spans="1:19" s="29" customFormat="1" ht="31.5" customHeight="1">
      <c r="A154" s="839" t="s">
        <v>248</v>
      </c>
      <c r="B154" s="915" t="s">
        <v>449</v>
      </c>
      <c r="C154" s="933"/>
      <c r="D154" s="165" t="s">
        <v>372</v>
      </c>
      <c r="E154" s="864">
        <v>4</v>
      </c>
      <c r="F154" s="865"/>
      <c r="G154" s="942"/>
      <c r="H154" s="945">
        <f>IF(G154&gt;=80,E154,IF(G154&gt;=70,E155,IF(G154&gt;=60,E156,IF(G154&gt;=50,E157,0))))</f>
        <v>0</v>
      </c>
      <c r="I154" s="913"/>
      <c r="R154" s="53"/>
      <c r="S154" s="45"/>
    </row>
    <row r="155" spans="1:19" s="29" customFormat="1" ht="31.5" customHeight="1">
      <c r="A155" s="840"/>
      <c r="B155" s="934"/>
      <c r="C155" s="935"/>
      <c r="D155" s="165" t="s">
        <v>373</v>
      </c>
      <c r="E155" s="864">
        <v>3</v>
      </c>
      <c r="F155" s="865"/>
      <c r="G155" s="943"/>
      <c r="H155" s="946"/>
      <c r="I155" s="913"/>
      <c r="R155" s="53"/>
      <c r="S155" s="45"/>
    </row>
    <row r="156" spans="1:19" s="29" customFormat="1" ht="31.5" customHeight="1">
      <c r="A156" s="840"/>
      <c r="B156" s="934"/>
      <c r="C156" s="935"/>
      <c r="D156" s="165" t="s">
        <v>411</v>
      </c>
      <c r="E156" s="864">
        <v>2</v>
      </c>
      <c r="F156" s="865"/>
      <c r="G156" s="943"/>
      <c r="H156" s="946"/>
      <c r="I156" s="913"/>
      <c r="R156" s="53"/>
      <c r="S156" s="45"/>
    </row>
    <row r="157" spans="1:19" s="29" customFormat="1" ht="31.5" customHeight="1">
      <c r="A157" s="841"/>
      <c r="B157" s="936"/>
      <c r="C157" s="937"/>
      <c r="D157" s="165" t="s">
        <v>412</v>
      </c>
      <c r="E157" s="864">
        <v>1</v>
      </c>
      <c r="F157" s="865"/>
      <c r="G157" s="944"/>
      <c r="H157" s="947"/>
      <c r="I157" s="913"/>
      <c r="R157" s="53"/>
      <c r="S157" s="45"/>
    </row>
    <row r="158" spans="1:19" s="29" customFormat="1" ht="31.5" customHeight="1">
      <c r="A158" s="839" t="s">
        <v>414</v>
      </c>
      <c r="B158" s="915" t="s">
        <v>444</v>
      </c>
      <c r="C158" s="933"/>
      <c r="D158" s="165" t="s">
        <v>67</v>
      </c>
      <c r="E158" s="376">
        <v>3.5</v>
      </c>
      <c r="F158" s="376">
        <v>4</v>
      </c>
      <c r="G158" s="27"/>
      <c r="H158" s="405">
        <f t="shared" si="3"/>
        <v>0</v>
      </c>
      <c r="I158" s="913"/>
      <c r="R158" s="53"/>
      <c r="S158" s="45"/>
    </row>
    <row r="159" spans="1:19" s="29" customFormat="1" ht="30">
      <c r="A159" s="841"/>
      <c r="B159" s="936"/>
      <c r="C159" s="937"/>
      <c r="D159" s="165" t="s">
        <v>68</v>
      </c>
      <c r="E159" s="376">
        <v>2.5</v>
      </c>
      <c r="F159" s="376">
        <v>3</v>
      </c>
      <c r="G159" s="27"/>
      <c r="H159" s="405">
        <f t="shared" si="3"/>
        <v>0</v>
      </c>
      <c r="R159" s="53"/>
      <c r="S159" s="45"/>
    </row>
    <row r="160" spans="1:19" s="29" customFormat="1">
      <c r="A160" s="522" t="s">
        <v>594</v>
      </c>
      <c r="B160" s="999" t="s">
        <v>421</v>
      </c>
      <c r="C160" s="1000"/>
      <c r="D160" s="523" t="s">
        <v>51</v>
      </c>
      <c r="E160" s="551">
        <v>2</v>
      </c>
      <c r="F160" s="551">
        <v>2.5</v>
      </c>
      <c r="G160" s="27"/>
      <c r="H160" s="298">
        <f>IF(G160&gt;=80%,F160,IF(G160&lt;65%,0,E160))</f>
        <v>0</v>
      </c>
      <c r="R160" s="53"/>
      <c r="S160" s="45"/>
    </row>
    <row r="161" spans="1:19" s="29" customFormat="1" ht="15.6">
      <c r="A161" s="431" t="s">
        <v>249</v>
      </c>
      <c r="B161" s="86" t="s">
        <v>299</v>
      </c>
      <c r="C161" s="93"/>
      <c r="D161" s="160"/>
      <c r="E161" s="161"/>
      <c r="F161" s="161"/>
      <c r="G161" s="162"/>
      <c r="H161" s="457"/>
      <c r="I161" s="172"/>
      <c r="R161" s="53"/>
      <c r="S161" s="45"/>
    </row>
    <row r="162" spans="1:19" s="29" customFormat="1" ht="32.25" customHeight="1">
      <c r="A162" s="418" t="s">
        <v>250</v>
      </c>
      <c r="B162" s="936" t="s">
        <v>597</v>
      </c>
      <c r="C162" s="937"/>
      <c r="D162" s="543" t="s">
        <v>51</v>
      </c>
      <c r="E162" s="541">
        <v>2</v>
      </c>
      <c r="F162" s="541">
        <v>2.5</v>
      </c>
      <c r="G162" s="27"/>
      <c r="H162" s="405">
        <f>IF(G162&gt;=80%,F162,IF(G162&lt;65%,0,E162))</f>
        <v>0</v>
      </c>
      <c r="R162" s="53"/>
      <c r="S162" s="45"/>
    </row>
    <row r="163" spans="1:19" s="29" customFormat="1" ht="29.25" customHeight="1">
      <c r="A163" s="418" t="s">
        <v>251</v>
      </c>
      <c r="B163" s="999" t="s">
        <v>445</v>
      </c>
      <c r="C163" s="1000"/>
      <c r="D163" s="543" t="s">
        <v>51</v>
      </c>
      <c r="E163" s="541">
        <v>2</v>
      </c>
      <c r="F163" s="541">
        <v>2.5</v>
      </c>
      <c r="G163" s="27"/>
      <c r="H163" s="405">
        <f>IF(G163&gt;=80%,F163,IF(G163&lt;65%,0,E163))</f>
        <v>0</v>
      </c>
      <c r="R163" s="53"/>
      <c r="S163" s="45"/>
    </row>
    <row r="164" spans="1:19" s="29" customFormat="1" ht="15.6">
      <c r="A164" s="431">
        <v>15</v>
      </c>
      <c r="B164" s="86" t="s">
        <v>278</v>
      </c>
      <c r="C164" s="93"/>
      <c r="D164" s="160"/>
      <c r="E164" s="161"/>
      <c r="F164" s="161"/>
      <c r="G164" s="162"/>
      <c r="H164" s="457"/>
      <c r="I164" s="172"/>
      <c r="R164" s="53"/>
      <c r="S164" s="45"/>
    </row>
    <row r="165" spans="1:19" s="29" customFormat="1">
      <c r="A165" s="839" t="s">
        <v>252</v>
      </c>
      <c r="B165" s="936" t="s">
        <v>297</v>
      </c>
      <c r="C165" s="937"/>
      <c r="D165" s="919" t="s">
        <v>51</v>
      </c>
      <c r="E165" s="910">
        <v>2.5</v>
      </c>
      <c r="F165" s="910">
        <v>4</v>
      </c>
      <c r="G165" s="899"/>
      <c r="H165" s="945">
        <f>IF(G165&gt;=80%,F165,IF(G165&lt;65%,0,E165))</f>
        <v>0</v>
      </c>
      <c r="I165" s="172"/>
      <c r="R165" s="53"/>
      <c r="S165" s="45"/>
    </row>
    <row r="166" spans="1:19" s="29" customFormat="1" ht="15.6">
      <c r="A166" s="841"/>
      <c r="B166" s="998" t="s">
        <v>298</v>
      </c>
      <c r="C166" s="998"/>
      <c r="D166" s="920"/>
      <c r="E166" s="911"/>
      <c r="F166" s="911"/>
      <c r="G166" s="900"/>
      <c r="H166" s="947"/>
      <c r="I166" s="172"/>
      <c r="R166" s="53"/>
      <c r="S166" s="45"/>
    </row>
    <row r="167" spans="1:19" s="29" customFormat="1">
      <c r="A167" s="839" t="s">
        <v>253</v>
      </c>
      <c r="B167" s="885" t="s">
        <v>146</v>
      </c>
      <c r="C167" s="884"/>
      <c r="D167" s="769" t="s">
        <v>51</v>
      </c>
      <c r="E167" s="906">
        <v>2.5</v>
      </c>
      <c r="F167" s="906">
        <v>4</v>
      </c>
      <c r="G167" s="905"/>
      <c r="H167" s="909">
        <f>IF(G167&gt;=80%,F167,IF(G167&lt;65%,0,E167))</f>
        <v>0</v>
      </c>
      <c r="I167" s="172"/>
      <c r="R167" s="53"/>
      <c r="S167" s="45"/>
    </row>
    <row r="168" spans="1:19" s="29" customFormat="1" ht="15.6">
      <c r="A168" s="841"/>
      <c r="B168" s="998" t="s">
        <v>120</v>
      </c>
      <c r="C168" s="998"/>
      <c r="D168" s="769"/>
      <c r="E168" s="906"/>
      <c r="F168" s="906"/>
      <c r="G168" s="905"/>
      <c r="H168" s="909"/>
      <c r="I168" s="172"/>
      <c r="R168" s="53"/>
      <c r="S168" s="45"/>
    </row>
    <row r="169" spans="1:19" s="29" customFormat="1" ht="15.6">
      <c r="A169" s="443">
        <v>16</v>
      </c>
      <c r="B169" s="106" t="s">
        <v>213</v>
      </c>
      <c r="C169" s="93"/>
      <c r="D169" s="93"/>
      <c r="E169" s="95"/>
      <c r="F169" s="95"/>
      <c r="G169" s="96"/>
      <c r="H169" s="436"/>
      <c r="R169" s="60"/>
      <c r="S169" s="45"/>
    </row>
    <row r="170" spans="1:19" s="29" customFormat="1">
      <c r="A170" s="418" t="s">
        <v>255</v>
      </c>
      <c r="B170" s="826"/>
      <c r="C170" s="821"/>
      <c r="D170" s="111"/>
      <c r="E170" s="537"/>
      <c r="F170" s="537"/>
      <c r="G170" s="67"/>
      <c r="H170" s="542">
        <f>IF(G170&gt;=80%,F170,IF(G170&lt;65%,0,E170))</f>
        <v>0</v>
      </c>
      <c r="R170" s="53"/>
      <c r="S170" s="45"/>
    </row>
    <row r="171" spans="1:19" s="29" customFormat="1">
      <c r="A171" s="418" t="s">
        <v>256</v>
      </c>
      <c r="B171" s="826"/>
      <c r="C171" s="821"/>
      <c r="D171" s="111"/>
      <c r="E171" s="537"/>
      <c r="F171" s="537"/>
      <c r="G171" s="67"/>
      <c r="H171" s="542">
        <f>IF(G171&gt;=80%,F171,IF(G171&lt;65%,0,E171))</f>
        <v>0</v>
      </c>
      <c r="R171" s="53"/>
      <c r="S171" s="45"/>
    </row>
    <row r="172" spans="1:19" s="29" customFormat="1">
      <c r="A172" s="418" t="s">
        <v>257</v>
      </c>
      <c r="B172" s="826"/>
      <c r="C172" s="821"/>
      <c r="D172" s="111"/>
      <c r="E172" s="537"/>
      <c r="F172" s="537"/>
      <c r="G172" s="67"/>
      <c r="H172" s="542">
        <f>IF(G172&gt;=80%,F172,IF(G172&lt;65%,0,E172))</f>
        <v>0</v>
      </c>
      <c r="R172" s="53"/>
      <c r="S172" s="45"/>
    </row>
    <row r="173" spans="1:19" s="29" customFormat="1" ht="15.6">
      <c r="A173" s="425"/>
      <c r="B173" s="325"/>
      <c r="C173" s="323"/>
      <c r="D173" s="323"/>
      <c r="E173" s="323"/>
      <c r="F173" s="327"/>
      <c r="G173" s="328" t="s">
        <v>419</v>
      </c>
      <c r="H173" s="458">
        <f>IFERROR((SUM(H142:H172)),0)</f>
        <v>0</v>
      </c>
      <c r="R173" s="53"/>
      <c r="S173" s="45"/>
    </row>
    <row r="174" spans="1:19" s="29" customFormat="1" ht="15.6" thickBot="1">
      <c r="A174" s="491"/>
      <c r="B174" s="492"/>
      <c r="C174" s="493"/>
      <c r="D174" s="493"/>
      <c r="E174" s="493"/>
      <c r="F174" s="493"/>
      <c r="G174" s="480"/>
      <c r="H174" s="639"/>
      <c r="R174" s="53"/>
      <c r="S174" s="45"/>
    </row>
    <row r="175" spans="1:19" s="29" customFormat="1" ht="30.75" customHeight="1">
      <c r="A175" s="995" t="s">
        <v>0</v>
      </c>
      <c r="B175" s="996"/>
      <c r="C175" s="997"/>
      <c r="D175" s="1011" t="s">
        <v>4</v>
      </c>
      <c r="E175" s="902" t="s">
        <v>1</v>
      </c>
      <c r="F175" s="903"/>
      <c r="G175" s="898" t="s">
        <v>21</v>
      </c>
      <c r="H175" s="888" t="s">
        <v>63</v>
      </c>
      <c r="R175" s="53"/>
      <c r="S175" s="45"/>
    </row>
    <row r="176" spans="1:19" s="29" customFormat="1" ht="15.6">
      <c r="A176" s="878"/>
      <c r="B176" s="879"/>
      <c r="C176" s="992"/>
      <c r="D176" s="1012"/>
      <c r="E176" s="545" t="s">
        <v>121</v>
      </c>
      <c r="F176" s="545" t="s">
        <v>122</v>
      </c>
      <c r="G176" s="870"/>
      <c r="H176" s="889"/>
      <c r="R176" s="53"/>
      <c r="S176" s="45"/>
    </row>
    <row r="177" spans="1:19" s="29" customFormat="1" ht="15.6">
      <c r="A177" s="450" t="s">
        <v>254</v>
      </c>
      <c r="B177" s="109" t="s">
        <v>258</v>
      </c>
      <c r="C177" s="110"/>
      <c r="D177" s="110"/>
      <c r="E177" s="110"/>
      <c r="F177" s="114"/>
      <c r="G177" s="115"/>
      <c r="H177" s="455"/>
      <c r="R177" s="53"/>
      <c r="S177" s="45"/>
    </row>
    <row r="178" spans="1:19" s="29" customFormat="1">
      <c r="A178" s="391" t="s">
        <v>300</v>
      </c>
      <c r="B178" s="885" t="s">
        <v>259</v>
      </c>
      <c r="C178" s="886"/>
      <c r="D178" s="5" t="s">
        <v>51</v>
      </c>
      <c r="E178" s="20">
        <v>-1</v>
      </c>
      <c r="F178" s="20">
        <v>-2</v>
      </c>
      <c r="G178" s="28"/>
      <c r="H178" s="405">
        <f>IF(G178&gt;=30%,F178,IF(G178=0%,0,E178))</f>
        <v>0</v>
      </c>
      <c r="R178" s="53"/>
      <c r="S178" s="45"/>
    </row>
    <row r="179" spans="1:19" s="29" customFormat="1">
      <c r="A179" s="391" t="s">
        <v>301</v>
      </c>
      <c r="B179" s="885" t="s">
        <v>260</v>
      </c>
      <c r="C179" s="886"/>
      <c r="D179" s="5" t="s">
        <v>51</v>
      </c>
      <c r="E179" s="20">
        <v>-1</v>
      </c>
      <c r="F179" s="20">
        <v>-1.5</v>
      </c>
      <c r="G179" s="28"/>
      <c r="H179" s="405">
        <f>IF(G179&gt;=30%,F179,IF(G179=0%,0,E179))</f>
        <v>0</v>
      </c>
      <c r="R179" s="53"/>
      <c r="S179" s="45"/>
    </row>
    <row r="180" spans="1:19" s="29" customFormat="1">
      <c r="A180" s="391" t="s">
        <v>302</v>
      </c>
      <c r="B180" s="885" t="s">
        <v>261</v>
      </c>
      <c r="C180" s="886"/>
      <c r="D180" s="5" t="s">
        <v>51</v>
      </c>
      <c r="E180" s="904">
        <v>-1</v>
      </c>
      <c r="F180" s="904"/>
      <c r="G180" s="547"/>
      <c r="H180" s="405">
        <f>IF(G180&gt;0%,E180,0)</f>
        <v>0</v>
      </c>
      <c r="R180" s="53"/>
      <c r="S180" s="45"/>
    </row>
    <row r="181" spans="1:19" s="29" customFormat="1" ht="15.6">
      <c r="A181" s="425"/>
      <c r="B181" s="325"/>
      <c r="C181" s="323"/>
      <c r="D181" s="323"/>
      <c r="E181" s="323"/>
      <c r="F181" s="327"/>
      <c r="G181" s="328" t="s">
        <v>142</v>
      </c>
      <c r="H181" s="458">
        <f>IFERROR(MAX(SUM(H178:H180),-4),0)</f>
        <v>0</v>
      </c>
      <c r="R181" s="45"/>
      <c r="S181" s="45"/>
    </row>
    <row r="182" spans="1:19" s="29" customFormat="1">
      <c r="A182" s="412"/>
      <c r="B182" s="325"/>
      <c r="C182" s="323"/>
      <c r="D182" s="323"/>
      <c r="E182" s="323"/>
      <c r="F182" s="323"/>
      <c r="G182" s="332"/>
      <c r="H182" s="388"/>
      <c r="R182" s="53"/>
      <c r="S182" s="45"/>
    </row>
    <row r="183" spans="1:19" s="29" customFormat="1" ht="15.6">
      <c r="A183" s="412"/>
      <c r="B183" s="325"/>
      <c r="C183" s="323"/>
      <c r="D183" s="323"/>
      <c r="E183" s="323"/>
      <c r="F183" s="323"/>
      <c r="G183" s="330" t="s">
        <v>141</v>
      </c>
      <c r="H183" s="459">
        <f>IFERROR(MIN(SUM(H115+H138+H173+H181),G86),0)</f>
        <v>0</v>
      </c>
      <c r="R183" s="53"/>
      <c r="S183" s="45"/>
    </row>
    <row r="184" spans="1:19" s="29" customFormat="1" ht="16.2" thickBot="1">
      <c r="A184" s="491"/>
      <c r="B184" s="492"/>
      <c r="C184" s="493"/>
      <c r="D184" s="493"/>
      <c r="E184" s="493"/>
      <c r="F184" s="493"/>
      <c r="G184" s="494"/>
      <c r="H184" s="495"/>
      <c r="R184" s="53"/>
      <c r="S184" s="45"/>
    </row>
    <row r="185" spans="1:19" s="29" customFormat="1" ht="15.6">
      <c r="A185" s="481" t="s">
        <v>64</v>
      </c>
      <c r="B185" s="482"/>
      <c r="C185" s="482"/>
      <c r="D185" s="482"/>
      <c r="E185" s="482"/>
      <c r="F185" s="483" t="s">
        <v>43</v>
      </c>
      <c r="G185" s="484">
        <f>VLOOKUP($A$7,'Manpower allocation'!A4:D11,4,FALSE)*100</f>
        <v>15</v>
      </c>
      <c r="H185" s="485" t="s">
        <v>42</v>
      </c>
      <c r="J185" s="112">
        <f>VLOOKUP($A$7,'Manpower allocation'!A4:D11,4,FALSE)*100</f>
        <v>15</v>
      </c>
      <c r="R185" s="53"/>
      <c r="S185" s="45"/>
    </row>
    <row r="186" spans="1:19" s="29" customFormat="1" ht="15.6">
      <c r="A186" s="412"/>
      <c r="B186" s="331"/>
      <c r="C186" s="323"/>
      <c r="D186" s="323"/>
      <c r="E186" s="323"/>
      <c r="F186" s="323"/>
      <c r="G186" s="332"/>
      <c r="H186" s="388"/>
      <c r="R186" s="53"/>
      <c r="S186" s="45"/>
    </row>
    <row r="187" spans="1:19" s="29" customFormat="1" ht="46.8">
      <c r="A187" s="993" t="s">
        <v>0</v>
      </c>
      <c r="B187" s="994"/>
      <c r="C187" s="113"/>
      <c r="D187" s="539" t="s">
        <v>17</v>
      </c>
      <c r="E187" s="539" t="s">
        <v>125</v>
      </c>
      <c r="F187" s="539" t="s">
        <v>109</v>
      </c>
      <c r="G187" s="539" t="s">
        <v>18</v>
      </c>
      <c r="H187" s="544" t="s">
        <v>63</v>
      </c>
      <c r="R187" s="53"/>
      <c r="S187" s="45"/>
    </row>
    <row r="188" spans="1:19" s="29" customFormat="1" ht="15.6">
      <c r="A188" s="454" t="s">
        <v>265</v>
      </c>
      <c r="B188" s="109" t="s">
        <v>358</v>
      </c>
      <c r="C188" s="110"/>
      <c r="D188" s="110"/>
      <c r="E188" s="110"/>
      <c r="F188" s="114"/>
      <c r="G188" s="115"/>
      <c r="H188" s="455"/>
      <c r="R188" s="53"/>
      <c r="S188" s="45"/>
    </row>
    <row r="189" spans="1:19" s="29" customFormat="1" ht="15.6">
      <c r="A189" s="460">
        <v>1</v>
      </c>
      <c r="B189" s="116" t="s">
        <v>338</v>
      </c>
      <c r="C189" s="117"/>
      <c r="D189" s="118"/>
      <c r="E189" s="118"/>
      <c r="F189" s="118"/>
      <c r="G189" s="118"/>
      <c r="H189" s="461"/>
      <c r="R189" s="53"/>
      <c r="S189" s="45"/>
    </row>
    <row r="190" spans="1:19" s="29" customFormat="1">
      <c r="A190" s="409">
        <v>1.1000000000000001</v>
      </c>
      <c r="B190" s="844" t="s">
        <v>290</v>
      </c>
      <c r="C190" s="845"/>
      <c r="D190" s="20">
        <f>VLOOKUP(A190,'Point Allocation'!$A$46:$J$55,MATCH(A7,'Point Allocation'!$A$46:$J$46,0),0)</f>
        <v>15</v>
      </c>
      <c r="E190" s="38"/>
      <c r="F190" s="38"/>
      <c r="G190" s="31">
        <f>MIN(IFERROR(F190/E190,0),100%)</f>
        <v>0</v>
      </c>
      <c r="H190" s="405">
        <f>D190*G190</f>
        <v>0</v>
      </c>
      <c r="R190" s="53"/>
      <c r="S190" s="45"/>
    </row>
    <row r="191" spans="1:19" s="29" customFormat="1" ht="15.6">
      <c r="A191" s="462">
        <v>2</v>
      </c>
      <c r="B191" s="119" t="s">
        <v>339</v>
      </c>
      <c r="C191" s="120"/>
      <c r="D191" s="32"/>
      <c r="E191" s="33"/>
      <c r="F191" s="33"/>
      <c r="G191" s="34"/>
      <c r="H191" s="463"/>
      <c r="R191" s="53"/>
      <c r="S191" s="45"/>
    </row>
    <row r="192" spans="1:19" s="29" customFormat="1" ht="33" customHeight="1">
      <c r="A192" s="464">
        <v>2.1</v>
      </c>
      <c r="B192" s="969" t="s">
        <v>266</v>
      </c>
      <c r="C192" s="971"/>
      <c r="D192" s="20">
        <f>VLOOKUP(A192,'Point Allocation'!$A$46:$J$55,MATCH(A7,'Point Allocation'!$A$46:$J$46,0),0)</f>
        <v>12</v>
      </c>
      <c r="E192" s="38"/>
      <c r="F192" s="38"/>
      <c r="G192" s="31">
        <f>MIN(IFERROR(F192/E192,0),100%)</f>
        <v>0</v>
      </c>
      <c r="H192" s="405">
        <f>D192*G192</f>
        <v>0</v>
      </c>
      <c r="R192" s="53"/>
      <c r="S192" s="45"/>
    </row>
    <row r="193" spans="1:19" s="29" customFormat="1" ht="15.6">
      <c r="A193" s="460">
        <v>3</v>
      </c>
      <c r="B193" s="116" t="s">
        <v>343</v>
      </c>
      <c r="C193" s="121"/>
      <c r="D193" s="35"/>
      <c r="E193" s="35"/>
      <c r="F193" s="35"/>
      <c r="G193" s="34"/>
      <c r="H193" s="465"/>
      <c r="R193" s="53"/>
      <c r="S193" s="45"/>
    </row>
    <row r="194" spans="1:19" s="29" customFormat="1">
      <c r="A194" s="466">
        <v>3.1</v>
      </c>
      <c r="B194" s="850" t="s">
        <v>451</v>
      </c>
      <c r="C194" s="851"/>
      <c r="D194" s="20">
        <f>VLOOKUP(A194,'Point Allocation'!$A$46:$J$55,MATCH(A7,'Point Allocation'!$A$46:$J$46,0),0)</f>
        <v>4</v>
      </c>
      <c r="E194" s="38"/>
      <c r="F194" s="38"/>
      <c r="G194" s="31">
        <f>MIN(IFERROR(F194/E194,0),100%)</f>
        <v>0</v>
      </c>
      <c r="H194" s="405">
        <f>D194*G194</f>
        <v>0</v>
      </c>
      <c r="R194" s="53"/>
      <c r="S194" s="45"/>
    </row>
    <row r="195" spans="1:19" s="29" customFormat="1" ht="32.25" customHeight="1">
      <c r="A195" s="466">
        <v>3.2</v>
      </c>
      <c r="B195" s="850" t="s">
        <v>452</v>
      </c>
      <c r="C195" s="851"/>
      <c r="D195" s="20">
        <f>VLOOKUP(A195,'Point Allocation'!$A$46:$J$55,MATCH(A7,'Point Allocation'!$A$46:$J$46,0),0)</f>
        <v>4</v>
      </c>
      <c r="E195" s="178"/>
      <c r="F195" s="38"/>
      <c r="G195" s="31">
        <f>MIN(IFERROR(F195/E195,0),100%)</f>
        <v>0</v>
      </c>
      <c r="H195" s="405">
        <f>D195*G195</f>
        <v>0</v>
      </c>
      <c r="R195" s="53"/>
      <c r="S195" s="45"/>
    </row>
    <row r="196" spans="1:19" s="29" customFormat="1" ht="32.25" customHeight="1">
      <c r="A196" s="404">
        <v>3.3</v>
      </c>
      <c r="B196" s="885" t="s">
        <v>170</v>
      </c>
      <c r="C196" s="886"/>
      <c r="D196" s="20">
        <f>VLOOKUP(A196,'Point Allocation'!$A$46:$J$55,MATCH(A7,'Point Allocation'!$A$46:$J$46,0),0)</f>
        <v>4</v>
      </c>
      <c r="E196" s="179"/>
      <c r="F196" s="536"/>
      <c r="G196" s="31">
        <f>MIN(IFERROR(F196/E196,0),100%)</f>
        <v>0</v>
      </c>
      <c r="H196" s="405">
        <f>D196*G196</f>
        <v>0</v>
      </c>
      <c r="R196" s="53"/>
      <c r="S196" s="45"/>
    </row>
    <row r="197" spans="1:19" s="29" customFormat="1" ht="15.6">
      <c r="A197" s="412"/>
      <c r="B197" s="325"/>
      <c r="C197" s="323"/>
      <c r="D197" s="324" t="s">
        <v>6</v>
      </c>
      <c r="E197" s="300">
        <f>MAX(SUM(E190:E196),F197)</f>
        <v>0</v>
      </c>
      <c r="F197" s="300">
        <f>SUM(F190:F196)</f>
        <v>0</v>
      </c>
      <c r="G197" s="340">
        <f>IFERROR(MIN(F197/E197,100%),0)</f>
        <v>0</v>
      </c>
      <c r="H197" s="413">
        <f>IFERROR(SUM(H190:H196),0)</f>
        <v>0</v>
      </c>
      <c r="R197" s="53"/>
      <c r="S197" s="45"/>
    </row>
    <row r="198" spans="1:19" s="29" customFormat="1" ht="15.6">
      <c r="A198" s="412"/>
      <c r="B198" s="338"/>
      <c r="C198" s="341"/>
      <c r="D198" s="342"/>
      <c r="E198" s="341"/>
      <c r="F198" s="341"/>
      <c r="G198" s="343"/>
      <c r="H198" s="467"/>
      <c r="R198" s="53"/>
      <c r="S198" s="45"/>
    </row>
    <row r="199" spans="1:19" s="29" customFormat="1" ht="15.6">
      <c r="A199" s="993" t="s">
        <v>0</v>
      </c>
      <c r="B199" s="994"/>
      <c r="C199" s="982"/>
      <c r="D199" s="901" t="s">
        <v>4</v>
      </c>
      <c r="E199" s="901" t="s">
        <v>1</v>
      </c>
      <c r="F199" s="901"/>
      <c r="G199" s="894" t="s">
        <v>21</v>
      </c>
      <c r="H199" s="887" t="s">
        <v>63</v>
      </c>
      <c r="R199" s="53"/>
      <c r="S199" s="45"/>
    </row>
    <row r="200" spans="1:19" s="29" customFormat="1" ht="30.75" customHeight="1">
      <c r="A200" s="1007"/>
      <c r="B200" s="1008"/>
      <c r="C200" s="983"/>
      <c r="D200" s="901"/>
      <c r="E200" s="539" t="s">
        <v>65</v>
      </c>
      <c r="F200" s="539" t="s">
        <v>66</v>
      </c>
      <c r="G200" s="894"/>
      <c r="H200" s="887"/>
      <c r="R200" s="53"/>
      <c r="S200" s="45"/>
    </row>
    <row r="201" spans="1:19" s="29" customFormat="1" ht="15.6">
      <c r="A201" s="415" t="s">
        <v>271</v>
      </c>
      <c r="B201" s="46" t="s">
        <v>272</v>
      </c>
      <c r="C201" s="57"/>
      <c r="D201" s="57"/>
      <c r="E201" s="57"/>
      <c r="F201" s="58"/>
      <c r="G201" s="108"/>
      <c r="H201" s="451"/>
      <c r="R201" s="53"/>
      <c r="S201" s="45"/>
    </row>
    <row r="202" spans="1:19" s="29" customFormat="1" ht="15.6">
      <c r="A202" s="468">
        <v>4</v>
      </c>
      <c r="B202" s="122" t="s">
        <v>341</v>
      </c>
      <c r="C202" s="120"/>
      <c r="D202" s="123"/>
      <c r="E202" s="124"/>
      <c r="F202" s="124"/>
      <c r="G202" s="125"/>
      <c r="H202" s="469"/>
      <c r="R202" s="53"/>
      <c r="S202" s="45"/>
    </row>
    <row r="203" spans="1:19" s="29" customFormat="1">
      <c r="A203" s="409">
        <v>4.0999999999999996</v>
      </c>
      <c r="B203" s="844" t="s">
        <v>164</v>
      </c>
      <c r="C203" s="845"/>
      <c r="D203" s="5" t="s">
        <v>51</v>
      </c>
      <c r="E203" s="20" t="s">
        <v>50</v>
      </c>
      <c r="F203" s="20">
        <f>VLOOKUP(A203,'Point Allocation'!$A$46:$J$55,MATCH(A7,'Point Allocation'!$A$46:$J$46,0),0)</f>
        <v>1.5</v>
      </c>
      <c r="G203" s="547"/>
      <c r="H203" s="405">
        <f>IF(G203&gt;=80%,F203,0)</f>
        <v>0</v>
      </c>
      <c r="R203" s="53"/>
      <c r="S203" s="45"/>
    </row>
    <row r="204" spans="1:19" s="29" customFormat="1">
      <c r="A204" s="409">
        <v>4.2</v>
      </c>
      <c r="B204" s="844" t="s">
        <v>161</v>
      </c>
      <c r="C204" s="845"/>
      <c r="D204" s="5" t="s">
        <v>51</v>
      </c>
      <c r="E204" s="20" t="s">
        <v>50</v>
      </c>
      <c r="F204" s="20">
        <f>VLOOKUP(A204,'Point Allocation'!$A$46:$J$55,MATCH(A7,'Point Allocation'!$A$46:$J$46,0),0)</f>
        <v>1.5</v>
      </c>
      <c r="G204" s="547"/>
      <c r="H204" s="405">
        <f>IF(G204&gt;=80%,F204,0)</f>
        <v>0</v>
      </c>
      <c r="R204" s="53"/>
      <c r="S204" s="45"/>
    </row>
    <row r="205" spans="1:19" s="29" customFormat="1">
      <c r="A205" s="409">
        <v>4.3</v>
      </c>
      <c r="B205" s="844" t="s">
        <v>155</v>
      </c>
      <c r="C205" s="845"/>
      <c r="D205" s="5" t="s">
        <v>3</v>
      </c>
      <c r="E205" s="20" t="s">
        <v>50</v>
      </c>
      <c r="F205" s="20">
        <f>VLOOKUP(A205,'Point Allocation'!$A$46:$J$55,MATCH(A7,'Point Allocation'!$A$46:$J$46,0),0)</f>
        <v>1.5</v>
      </c>
      <c r="G205" s="547"/>
      <c r="H205" s="405">
        <f>IF(G205&gt;=80%,F205,0)</f>
        <v>0</v>
      </c>
      <c r="R205" s="53"/>
      <c r="S205" s="45"/>
    </row>
    <row r="206" spans="1:19" s="29" customFormat="1">
      <c r="A206" s="470">
        <v>4.4000000000000004</v>
      </c>
      <c r="B206" s="874" t="s">
        <v>270</v>
      </c>
      <c r="C206" s="875"/>
      <c r="D206" s="5" t="s">
        <v>3</v>
      </c>
      <c r="E206" s="20" t="s">
        <v>50</v>
      </c>
      <c r="F206" s="20">
        <f>VLOOKUP(A206,'Point Allocation'!$A$46:$J$55,MATCH(A7,'Point Allocation'!$A$46:$J$46,0),0)</f>
        <v>1.5</v>
      </c>
      <c r="G206" s="547"/>
      <c r="H206" s="405">
        <f>IF(G206&gt;=80%,F206,0)</f>
        <v>0</v>
      </c>
      <c r="R206" s="53"/>
      <c r="S206" s="45"/>
    </row>
    <row r="207" spans="1:19" s="29" customFormat="1" ht="15.6">
      <c r="A207" s="468">
        <v>5</v>
      </c>
      <c r="B207" s="122" t="s">
        <v>213</v>
      </c>
      <c r="C207" s="120"/>
      <c r="D207" s="126"/>
      <c r="E207" s="127"/>
      <c r="F207" s="127"/>
      <c r="G207" s="128"/>
      <c r="H207" s="471"/>
      <c r="R207" s="53"/>
      <c r="S207" s="45"/>
    </row>
    <row r="208" spans="1:19" s="29" customFormat="1">
      <c r="A208" s="411">
        <v>5.0999999999999996</v>
      </c>
      <c r="B208" s="826"/>
      <c r="C208" s="847"/>
      <c r="D208" s="530"/>
      <c r="E208" s="536"/>
      <c r="F208" s="536"/>
      <c r="G208" s="547"/>
      <c r="H208" s="542">
        <f>IF(G208&gt;=80%,F208,IF(G208&lt;65%,0,E208))</f>
        <v>0</v>
      </c>
      <c r="R208" s="53"/>
      <c r="S208" s="45"/>
    </row>
    <row r="209" spans="1:19" s="29" customFormat="1">
      <c r="A209" s="411">
        <v>5.2</v>
      </c>
      <c r="B209" s="826"/>
      <c r="C209" s="847"/>
      <c r="D209" s="530"/>
      <c r="E209" s="536"/>
      <c r="F209" s="536"/>
      <c r="G209" s="547"/>
      <c r="H209" s="542">
        <f>IF(G209&gt;=80%,F209,IF(G209&lt;65%,0,E209))</f>
        <v>0</v>
      </c>
      <c r="R209" s="53"/>
      <c r="S209" s="45"/>
    </row>
    <row r="210" spans="1:19" s="29" customFormat="1">
      <c r="A210" s="411">
        <v>5.3</v>
      </c>
      <c r="B210" s="826"/>
      <c r="C210" s="847"/>
      <c r="D210" s="530"/>
      <c r="E210" s="536"/>
      <c r="F210" s="536"/>
      <c r="G210" s="547"/>
      <c r="H210" s="542">
        <f>IF(G210&gt;=80%,F210,IF(G210&lt;65%,0,E210))</f>
        <v>0</v>
      </c>
      <c r="R210" s="53"/>
      <c r="S210" s="45"/>
    </row>
    <row r="211" spans="1:19" s="29" customFormat="1" ht="15.6">
      <c r="A211" s="412"/>
      <c r="B211" s="344"/>
      <c r="C211" s="344"/>
      <c r="D211" s="332"/>
      <c r="E211" s="332"/>
      <c r="F211" s="332"/>
      <c r="G211" s="330" t="s">
        <v>7</v>
      </c>
      <c r="H211" s="445">
        <f>IFERROR(SUM(H203:H206,H208:H210),0)</f>
        <v>0</v>
      </c>
      <c r="R211" s="53"/>
      <c r="S211" s="45"/>
    </row>
    <row r="212" spans="1:19" s="29" customFormat="1">
      <c r="A212" s="412"/>
      <c r="B212" s="325"/>
      <c r="C212" s="323"/>
      <c r="D212" s="323"/>
      <c r="E212" s="323"/>
      <c r="F212" s="323"/>
      <c r="G212" s="332"/>
      <c r="H212" s="388"/>
      <c r="R212" s="53"/>
      <c r="S212" s="45"/>
    </row>
    <row r="213" spans="1:19" s="29" customFormat="1" ht="15.6">
      <c r="A213" s="993" t="s">
        <v>0</v>
      </c>
      <c r="B213" s="994"/>
      <c r="C213" s="982"/>
      <c r="D213" s="894" t="s">
        <v>4</v>
      </c>
      <c r="E213" s="901" t="s">
        <v>1</v>
      </c>
      <c r="F213" s="901"/>
      <c r="G213" s="894" t="s">
        <v>21</v>
      </c>
      <c r="H213" s="887" t="s">
        <v>63</v>
      </c>
      <c r="R213" s="53"/>
      <c r="S213" s="45"/>
    </row>
    <row r="214" spans="1:19" s="29" customFormat="1" ht="31.2">
      <c r="A214" s="1007"/>
      <c r="B214" s="1008"/>
      <c r="C214" s="983"/>
      <c r="D214" s="901"/>
      <c r="E214" s="539" t="s">
        <v>65</v>
      </c>
      <c r="F214" s="539" t="s">
        <v>66</v>
      </c>
      <c r="G214" s="894"/>
      <c r="H214" s="887"/>
      <c r="R214" s="53"/>
      <c r="S214" s="45"/>
    </row>
    <row r="215" spans="1:19" s="29" customFormat="1" ht="15.6">
      <c r="A215" s="454" t="s">
        <v>273</v>
      </c>
      <c r="B215" s="109" t="s">
        <v>234</v>
      </c>
      <c r="C215" s="129"/>
      <c r="D215" s="130"/>
      <c r="E215" s="130"/>
      <c r="F215" s="131"/>
      <c r="G215" s="132"/>
      <c r="H215" s="472"/>
      <c r="R215" s="53"/>
      <c r="S215" s="45"/>
    </row>
    <row r="216" spans="1:19" s="29" customFormat="1" ht="15.6">
      <c r="A216" s="391" t="s">
        <v>199</v>
      </c>
      <c r="B216" s="844" t="s">
        <v>274</v>
      </c>
      <c r="C216" s="845"/>
      <c r="D216" s="98" t="s">
        <v>2</v>
      </c>
      <c r="E216" s="98">
        <v>1</v>
      </c>
      <c r="F216" s="98">
        <v>2</v>
      </c>
      <c r="G216" s="67"/>
      <c r="H216" s="437">
        <f>IF(G216&gt;=80%,F216,IF(G216&lt;65%,0,E216))</f>
        <v>0</v>
      </c>
      <c r="K216" s="135"/>
      <c r="R216" s="53"/>
      <c r="S216" s="45"/>
    </row>
    <row r="217" spans="1:19" s="29" customFormat="1" ht="31.5" customHeight="1">
      <c r="A217" s="473" t="s">
        <v>200</v>
      </c>
      <c r="B217" s="960" t="s">
        <v>275</v>
      </c>
      <c r="C217" s="962"/>
      <c r="D217" s="98" t="s">
        <v>51</v>
      </c>
      <c r="E217" s="98">
        <v>0.5</v>
      </c>
      <c r="F217" s="98">
        <v>1</v>
      </c>
      <c r="G217" s="67"/>
      <c r="H217" s="437">
        <f>IF(G217&gt;=80%,F217,IF(G217&lt;65%,0,E217))</f>
        <v>0</v>
      </c>
      <c r="R217" s="53"/>
      <c r="S217" s="45"/>
    </row>
    <row r="218" spans="1:19" s="29" customFormat="1" ht="15.6">
      <c r="A218" s="412"/>
      <c r="B218" s="325"/>
      <c r="C218" s="323"/>
      <c r="D218" s="323"/>
      <c r="E218" s="323"/>
      <c r="F218" s="326"/>
      <c r="G218" s="330" t="s">
        <v>110</v>
      </c>
      <c r="H218" s="474">
        <f>IFERROR(SUM(H216:H217),0)</f>
        <v>0</v>
      </c>
      <c r="R218" s="53"/>
      <c r="S218" s="45"/>
    </row>
    <row r="219" spans="1:19" s="29" customFormat="1">
      <c r="A219" s="412"/>
      <c r="B219" s="325"/>
      <c r="C219" s="323"/>
      <c r="D219" s="323"/>
      <c r="E219" s="323"/>
      <c r="F219" s="323"/>
      <c r="G219" s="332"/>
      <c r="H219" s="388"/>
      <c r="R219" s="53"/>
      <c r="S219" s="45"/>
    </row>
    <row r="220" spans="1:19" s="29" customFormat="1" ht="15.6">
      <c r="A220" s="412"/>
      <c r="B220" s="325"/>
      <c r="C220" s="323"/>
      <c r="D220" s="323"/>
      <c r="E220" s="323"/>
      <c r="F220" s="323"/>
      <c r="G220" s="330" t="s">
        <v>111</v>
      </c>
      <c r="H220" s="474">
        <f>IFERROR(MIN(SUM(H197+H211+H218),G185),0)</f>
        <v>0</v>
      </c>
      <c r="R220" s="53"/>
      <c r="S220" s="45"/>
    </row>
    <row r="221" spans="1:19" s="29" customFormat="1" ht="16.2" thickBot="1">
      <c r="A221" s="491"/>
      <c r="B221" s="492"/>
      <c r="C221" s="493"/>
      <c r="D221" s="493"/>
      <c r="E221" s="493"/>
      <c r="F221" s="493"/>
      <c r="G221" s="496"/>
      <c r="H221" s="495"/>
      <c r="R221" s="53"/>
      <c r="S221" s="45"/>
    </row>
    <row r="222" spans="1:19" s="29" customFormat="1" ht="15.6">
      <c r="A222" s="633" t="s">
        <v>137</v>
      </c>
      <c r="B222" s="634"/>
      <c r="C222" s="634"/>
      <c r="D222" s="634"/>
      <c r="E222" s="634"/>
      <c r="F222" s="635" t="s">
        <v>43</v>
      </c>
      <c r="G222" s="636">
        <v>20</v>
      </c>
      <c r="H222" s="637" t="s">
        <v>42</v>
      </c>
      <c r="R222" s="53"/>
      <c r="S222" s="45"/>
    </row>
    <row r="223" spans="1:19" s="29" customFormat="1" ht="15.6">
      <c r="A223" s="412"/>
      <c r="B223" s="347"/>
      <c r="C223" s="323"/>
      <c r="D223" s="323"/>
      <c r="E223" s="323"/>
      <c r="F223" s="323"/>
      <c r="G223" s="332"/>
      <c r="H223" s="388"/>
      <c r="R223" s="53"/>
      <c r="S223" s="45"/>
    </row>
    <row r="224" spans="1:19" s="29" customFormat="1" ht="33" customHeight="1">
      <c r="A224" s="1009" t="s">
        <v>0</v>
      </c>
      <c r="B224" s="1010"/>
      <c r="C224" s="136"/>
      <c r="D224" s="136"/>
      <c r="E224" s="137" t="s">
        <v>4</v>
      </c>
      <c r="F224" s="137" t="s">
        <v>70</v>
      </c>
      <c r="G224" s="138" t="s">
        <v>21</v>
      </c>
      <c r="H224" s="475" t="s">
        <v>63</v>
      </c>
      <c r="R224" s="53"/>
      <c r="S224" s="45"/>
    </row>
    <row r="225" spans="1:19" s="29" customFormat="1" ht="15.6">
      <c r="A225" s="454" t="s">
        <v>276</v>
      </c>
      <c r="B225" s="109" t="s">
        <v>277</v>
      </c>
      <c r="C225" s="110"/>
      <c r="D225" s="110"/>
      <c r="E225" s="110"/>
      <c r="F225" s="58"/>
      <c r="G225" s="139"/>
      <c r="H225" s="476"/>
      <c r="J225" s="134"/>
      <c r="R225" s="53"/>
      <c r="S225" s="45"/>
    </row>
    <row r="226" spans="1:19" s="29" customFormat="1" ht="15.6">
      <c r="A226" s="411">
        <v>1.1000000000000001</v>
      </c>
      <c r="B226" s="836" t="s">
        <v>123</v>
      </c>
      <c r="C226" s="837"/>
      <c r="D226" s="838"/>
      <c r="E226" s="167"/>
      <c r="F226" s="140"/>
      <c r="G226" s="141"/>
      <c r="H226" s="441">
        <f t="shared" ref="H226:H231" si="4">F226*G226</f>
        <v>0</v>
      </c>
      <c r="R226" s="53"/>
      <c r="S226" s="45"/>
    </row>
    <row r="227" spans="1:19" s="29" customFormat="1" ht="15.6">
      <c r="A227" s="406">
        <v>1.2</v>
      </c>
      <c r="B227" s="1004" t="s">
        <v>124</v>
      </c>
      <c r="C227" s="1005"/>
      <c r="D227" s="1006"/>
      <c r="E227" s="167"/>
      <c r="F227" s="140"/>
      <c r="G227" s="141"/>
      <c r="H227" s="441">
        <f t="shared" si="4"/>
        <v>0</v>
      </c>
      <c r="R227" s="53"/>
      <c r="S227" s="45"/>
    </row>
    <row r="228" spans="1:19" s="29" customFormat="1" ht="15.6">
      <c r="A228" s="411">
        <v>1.3</v>
      </c>
      <c r="B228" s="836" t="s">
        <v>115</v>
      </c>
      <c r="C228" s="837"/>
      <c r="D228" s="838"/>
      <c r="E228" s="167"/>
      <c r="F228" s="140"/>
      <c r="G228" s="141"/>
      <c r="H228" s="441">
        <f t="shared" si="4"/>
        <v>0</v>
      </c>
      <c r="R228" s="53"/>
      <c r="S228" s="45"/>
    </row>
    <row r="229" spans="1:19" s="29" customFormat="1" ht="15.6">
      <c r="A229" s="411">
        <v>1.4</v>
      </c>
      <c r="B229" s="836" t="s">
        <v>305</v>
      </c>
      <c r="C229" s="837"/>
      <c r="D229" s="838"/>
      <c r="E229" s="167"/>
      <c r="F229" s="140"/>
      <c r="G229" s="141"/>
      <c r="H229" s="441">
        <f t="shared" si="4"/>
        <v>0</v>
      </c>
      <c r="R229" s="53"/>
      <c r="S229" s="45"/>
    </row>
    <row r="230" spans="1:19" s="29" customFormat="1" ht="15.6">
      <c r="A230" s="411">
        <v>1.5</v>
      </c>
      <c r="B230" s="836"/>
      <c r="C230" s="837"/>
      <c r="D230" s="838"/>
      <c r="E230" s="167"/>
      <c r="F230" s="140"/>
      <c r="G230" s="141"/>
      <c r="H230" s="441">
        <f t="shared" si="4"/>
        <v>0</v>
      </c>
      <c r="R230" s="53"/>
      <c r="S230" s="45"/>
    </row>
    <row r="231" spans="1:19" s="29" customFormat="1" ht="15.6">
      <c r="A231" s="411">
        <v>1.6</v>
      </c>
      <c r="B231" s="836"/>
      <c r="C231" s="837"/>
      <c r="D231" s="838"/>
      <c r="E231" s="111"/>
      <c r="F231" s="142"/>
      <c r="G231" s="67"/>
      <c r="H231" s="441">
        <f t="shared" si="4"/>
        <v>0</v>
      </c>
      <c r="R231" s="53"/>
      <c r="S231" s="45"/>
    </row>
    <row r="232" spans="1:19" s="29" customFormat="1" ht="15.6">
      <c r="A232" s="454" t="s">
        <v>279</v>
      </c>
      <c r="B232" s="109" t="s">
        <v>278</v>
      </c>
      <c r="C232" s="110"/>
      <c r="D232" s="110"/>
      <c r="E232" s="110"/>
      <c r="F232" s="58"/>
      <c r="G232" s="139"/>
      <c r="H232" s="476"/>
      <c r="R232" s="53"/>
      <c r="S232" s="45"/>
    </row>
    <row r="233" spans="1:19" s="29" customFormat="1">
      <c r="A233" s="411">
        <v>2.1</v>
      </c>
      <c r="B233" s="1001" t="s">
        <v>138</v>
      </c>
      <c r="C233" s="1002"/>
      <c r="D233" s="1003"/>
      <c r="E233" s="157" t="s">
        <v>410</v>
      </c>
      <c r="F233" s="527">
        <v>2</v>
      </c>
      <c r="G233" s="528"/>
      <c r="H233" s="441">
        <f>IFERROR(VLOOKUP(E233,K234:L237,2,FALSE),0)</f>
        <v>0</v>
      </c>
      <c r="K233" s="29" t="s">
        <v>410</v>
      </c>
      <c r="L233" s="29">
        <v>0</v>
      </c>
      <c r="R233" s="53"/>
      <c r="S233" s="45"/>
    </row>
    <row r="234" spans="1:19" s="29" customFormat="1" ht="15.6">
      <c r="A234" s="412"/>
      <c r="B234" s="322"/>
      <c r="C234" s="323"/>
      <c r="D234" s="323"/>
      <c r="E234" s="323"/>
      <c r="F234" s="323"/>
      <c r="G234" s="330" t="s">
        <v>139</v>
      </c>
      <c r="H234" s="477">
        <f>IFERROR(MIN(SUM(H226:H233),G222),0)</f>
        <v>0</v>
      </c>
      <c r="K234" s="29" t="s">
        <v>406</v>
      </c>
      <c r="L234" s="29">
        <v>2</v>
      </c>
      <c r="R234" s="45"/>
      <c r="S234" s="45"/>
    </row>
    <row r="235" spans="1:19" s="29" customFormat="1">
      <c r="A235" s="412"/>
      <c r="B235" s="325"/>
      <c r="C235" s="323"/>
      <c r="D235" s="323"/>
      <c r="E235" s="323"/>
      <c r="F235" s="323"/>
      <c r="G235" s="332"/>
      <c r="H235" s="388"/>
      <c r="K235" s="29" t="s">
        <v>407</v>
      </c>
      <c r="L235" s="29">
        <v>2</v>
      </c>
      <c r="R235" s="45"/>
      <c r="S235" s="45"/>
    </row>
    <row r="236" spans="1:19" s="29" customFormat="1" ht="15.6">
      <c r="A236" s="412"/>
      <c r="B236" s="325"/>
      <c r="C236" s="323"/>
      <c r="D236" s="323"/>
      <c r="E236" s="323"/>
      <c r="F236" s="323"/>
      <c r="G236" s="330" t="s">
        <v>69</v>
      </c>
      <c r="H236" s="445">
        <f>IFERROR(H84+H183+H220+H234,0)</f>
        <v>0</v>
      </c>
      <c r="K236" s="29" t="s">
        <v>408</v>
      </c>
      <c r="L236" s="29">
        <v>2</v>
      </c>
      <c r="R236" s="45"/>
      <c r="S236" s="45"/>
    </row>
    <row r="237" spans="1:19" s="29" customFormat="1">
      <c r="A237" s="412"/>
      <c r="B237" s="325"/>
      <c r="C237" s="323"/>
      <c r="D237" s="323"/>
      <c r="E237" s="323"/>
      <c r="F237" s="323"/>
      <c r="G237" s="332"/>
      <c r="H237" s="388"/>
      <c r="K237" s="29" t="s">
        <v>409</v>
      </c>
      <c r="L237" s="29">
        <v>2</v>
      </c>
      <c r="R237" s="53"/>
      <c r="S237" s="45"/>
    </row>
    <row r="238" spans="1:19" s="29" customFormat="1" ht="15.75" customHeight="1">
      <c r="A238" s="412"/>
      <c r="B238" s="345" t="s">
        <v>37</v>
      </c>
      <c r="C238" s="332"/>
      <c r="D238" s="1013" t="s">
        <v>415</v>
      </c>
      <c r="E238" s="1013"/>
      <c r="F238" s="1013"/>
      <c r="G238" s="332"/>
      <c r="H238" s="478"/>
      <c r="R238" s="53"/>
      <c r="S238" s="45"/>
    </row>
    <row r="239" spans="1:19" s="29" customFormat="1" ht="15.6">
      <c r="A239" s="412"/>
      <c r="B239" s="346"/>
      <c r="C239" s="332"/>
      <c r="D239" s="1013"/>
      <c r="E239" s="1013"/>
      <c r="F239" s="1013"/>
      <c r="G239" s="332"/>
      <c r="H239" s="478"/>
      <c r="R239" s="53"/>
      <c r="S239" s="45"/>
    </row>
    <row r="240" spans="1:19" s="29" customFormat="1" ht="15.6">
      <c r="A240" s="479" t="s">
        <v>280</v>
      </c>
      <c r="B240" s="346" t="s">
        <v>100</v>
      </c>
      <c r="C240" s="369">
        <f>IFERROR(SUM(G29+G32+G34+G35+G44+G47),0)</f>
        <v>0</v>
      </c>
      <c r="D240" s="332" t="s">
        <v>284</v>
      </c>
      <c r="E240" s="141"/>
      <c r="F240" s="332" t="s">
        <v>285</v>
      </c>
      <c r="G240" s="144">
        <f>MIN(IFERROR(SUM(C240+E240),0),100%)</f>
        <v>0</v>
      </c>
      <c r="H240" s="388"/>
      <c r="M240" s="53"/>
      <c r="N240" s="45"/>
    </row>
    <row r="241" spans="1:19" s="29" customFormat="1" ht="15.6">
      <c r="A241" s="479" t="s">
        <v>281</v>
      </c>
      <c r="B241" s="346" t="s">
        <v>101</v>
      </c>
      <c r="C241" s="369">
        <f>IFERROR(SUM(F19+G91+G93+G95+G98+G101+G102+G103+G104+G105),0)</f>
        <v>0</v>
      </c>
      <c r="D241" s="332" t="s">
        <v>284</v>
      </c>
      <c r="E241" s="141"/>
      <c r="F241" s="332" t="s">
        <v>285</v>
      </c>
      <c r="G241" s="144">
        <f t="shared" ref="G241:G242" si="5">MIN(IFERROR(SUM(C241+E241),0),100%)</f>
        <v>0</v>
      </c>
      <c r="H241" s="388"/>
      <c r="M241" s="53"/>
      <c r="N241" s="45"/>
    </row>
    <row r="242" spans="1:19" s="29" customFormat="1" ht="15.6">
      <c r="A242" s="479" t="s">
        <v>282</v>
      </c>
      <c r="B242" s="346" t="s">
        <v>102</v>
      </c>
      <c r="C242" s="369">
        <f>IFERROR(G197,0)</f>
        <v>0</v>
      </c>
      <c r="D242" s="332" t="s">
        <v>284</v>
      </c>
      <c r="E242" s="141"/>
      <c r="F242" s="303" t="s">
        <v>285</v>
      </c>
      <c r="G242" s="144">
        <f t="shared" si="5"/>
        <v>0</v>
      </c>
      <c r="H242" s="283"/>
      <c r="I242" s="3"/>
      <c r="J242" s="3"/>
      <c r="K242" s="3"/>
      <c r="L242" s="3"/>
      <c r="M242" s="53"/>
      <c r="N242" s="45"/>
    </row>
    <row r="243" spans="1:19" s="29" customFormat="1" ht="15.6" thickBot="1">
      <c r="A243" s="491"/>
      <c r="B243" s="492"/>
      <c r="C243" s="493"/>
      <c r="D243" s="493"/>
      <c r="E243" s="493"/>
      <c r="F243" s="493"/>
      <c r="G243" s="638"/>
      <c r="H243" s="639"/>
      <c r="K243" s="3"/>
      <c r="L243" s="3"/>
      <c r="M243" s="3"/>
      <c r="N243" s="3"/>
      <c r="O243" s="3"/>
      <c r="P243" s="3"/>
      <c r="Q243" s="3"/>
      <c r="R243" s="53"/>
      <c r="S243" s="45"/>
    </row>
    <row r="244" spans="1:19" s="29" customFormat="1">
      <c r="A244" s="174"/>
      <c r="B244" s="3"/>
      <c r="C244" s="3"/>
      <c r="D244" s="3"/>
      <c r="E244" s="3"/>
      <c r="F244" s="3"/>
      <c r="G244" s="10"/>
      <c r="H244" s="3"/>
      <c r="K244" s="3"/>
      <c r="L244" s="3"/>
      <c r="M244" s="3"/>
      <c r="N244" s="3"/>
      <c r="O244" s="3"/>
      <c r="P244" s="3"/>
      <c r="Q244" s="3"/>
      <c r="R244" s="53"/>
      <c r="S244" s="45"/>
    </row>
    <row r="245" spans="1:19" s="29" customFormat="1">
      <c r="A245" s="174"/>
      <c r="B245" s="3"/>
      <c r="C245" s="3"/>
      <c r="D245" s="3"/>
      <c r="E245" s="3"/>
      <c r="F245" s="3"/>
      <c r="G245" s="10"/>
      <c r="H245" s="3"/>
      <c r="K245" s="3"/>
      <c r="L245" s="3"/>
      <c r="M245" s="3"/>
      <c r="N245" s="3"/>
      <c r="O245" s="3"/>
      <c r="P245" s="3"/>
      <c r="Q245" s="3"/>
      <c r="R245" s="53"/>
      <c r="S245" s="45"/>
    </row>
    <row r="246" spans="1:19" s="29" customFormat="1">
      <c r="A246" s="174"/>
      <c r="B246" s="3"/>
      <c r="C246" s="3"/>
      <c r="D246" s="3"/>
      <c r="E246" s="3"/>
      <c r="F246" s="3"/>
      <c r="G246" s="10"/>
      <c r="H246" s="3"/>
      <c r="K246" s="3"/>
      <c r="L246" s="3"/>
      <c r="M246" s="3"/>
      <c r="N246" s="3"/>
      <c r="O246" s="3"/>
      <c r="P246" s="3"/>
      <c r="Q246" s="3"/>
      <c r="R246" s="53"/>
      <c r="S246" s="45"/>
    </row>
    <row r="247" spans="1:19" s="29" customFormat="1">
      <c r="A247" s="174"/>
      <c r="B247" s="3"/>
      <c r="C247" s="3"/>
      <c r="D247" s="3"/>
      <c r="E247" s="3"/>
      <c r="F247" s="3"/>
      <c r="G247" s="10"/>
      <c r="H247" s="3"/>
      <c r="K247" s="3"/>
      <c r="L247" s="3"/>
      <c r="M247" s="3"/>
      <c r="N247" s="3"/>
      <c r="O247" s="3"/>
      <c r="P247" s="3"/>
      <c r="Q247" s="3"/>
      <c r="R247" s="45"/>
      <c r="S247" s="45"/>
    </row>
    <row r="248" spans="1:19" s="29" customFormat="1">
      <c r="A248" s="174"/>
      <c r="B248" s="3"/>
      <c r="C248" s="3"/>
      <c r="D248" s="3"/>
      <c r="E248" s="3"/>
      <c r="F248" s="3"/>
      <c r="G248" s="10"/>
      <c r="H248" s="3"/>
      <c r="K248" s="3"/>
      <c r="L248" s="3"/>
      <c r="M248" s="3"/>
      <c r="N248" s="3"/>
      <c r="O248" s="3"/>
      <c r="P248" s="3"/>
      <c r="Q248" s="3"/>
      <c r="R248" s="45"/>
      <c r="S248" s="45"/>
    </row>
    <row r="249" spans="1:19" s="29" customFormat="1">
      <c r="A249" s="174"/>
      <c r="B249" s="3"/>
      <c r="C249" s="3"/>
      <c r="D249" s="3"/>
      <c r="E249" s="3"/>
      <c r="F249" s="3"/>
      <c r="G249" s="10"/>
      <c r="H249" s="3"/>
      <c r="K249" s="3"/>
      <c r="L249" s="3"/>
      <c r="M249" s="3"/>
      <c r="N249" s="3"/>
      <c r="O249" s="3"/>
      <c r="P249" s="3"/>
      <c r="Q249" s="3"/>
      <c r="R249" s="45"/>
      <c r="S249" s="45"/>
    </row>
    <row r="250" spans="1:19" s="29" customFormat="1">
      <c r="A250" s="174"/>
      <c r="B250" s="3"/>
      <c r="C250" s="3"/>
      <c r="D250" s="3"/>
      <c r="E250" s="3"/>
      <c r="F250" s="3"/>
      <c r="G250" s="10"/>
      <c r="H250" s="3"/>
      <c r="K250" s="3"/>
      <c r="L250" s="3"/>
      <c r="M250" s="3"/>
      <c r="N250" s="3"/>
      <c r="O250" s="3"/>
      <c r="P250" s="3"/>
      <c r="Q250" s="3"/>
      <c r="R250" s="45"/>
      <c r="S250" s="45"/>
    </row>
  </sheetData>
  <sheetProtection algorithmName="SHA-512" hashValue="WZWYa5C/YlW9ddzerhE/R/pae7KrGH8QOZqBikLGN/wiM/B8gPVfIRvJ+Gi1w8iSjb12LsRovwcO1R0xypz4Mg==" saltValue="zY3Tp8lH+BC2Nf4KbgcoOw==" spinCount="100000" sheet="1" selectLockedCells="1"/>
  <mergeCells count="228">
    <mergeCell ref="B208:C208"/>
    <mergeCell ref="A213:B214"/>
    <mergeCell ref="C213:C214"/>
    <mergeCell ref="D213:D214"/>
    <mergeCell ref="E213:F213"/>
    <mergeCell ref="G213:G214"/>
    <mergeCell ref="H213:H214"/>
    <mergeCell ref="B216:C216"/>
    <mergeCell ref="A224:B224"/>
    <mergeCell ref="A175:B176"/>
    <mergeCell ref="C175:C176"/>
    <mergeCell ref="D175:D176"/>
    <mergeCell ref="E175:F175"/>
    <mergeCell ref="G175:G176"/>
    <mergeCell ref="H175:H176"/>
    <mergeCell ref="B178:C178"/>
    <mergeCell ref="E180:F180"/>
    <mergeCell ref="B172:C172"/>
    <mergeCell ref="A126:A127"/>
    <mergeCell ref="B126:C126"/>
    <mergeCell ref="D126:D127"/>
    <mergeCell ref="E126:E127"/>
    <mergeCell ref="F126:F127"/>
    <mergeCell ref="B129:C129"/>
    <mergeCell ref="B133:C133"/>
    <mergeCell ref="A140:B140"/>
    <mergeCell ref="F140:G140"/>
    <mergeCell ref="D165:D166"/>
    <mergeCell ref="E165:E166"/>
    <mergeCell ref="F165:F166"/>
    <mergeCell ref="G165:G166"/>
    <mergeCell ref="H165:H166"/>
    <mergeCell ref="F142:G142"/>
    <mergeCell ref="A146:B147"/>
    <mergeCell ref="C146:C147"/>
    <mergeCell ref="D146:D147"/>
    <mergeCell ref="G93:G94"/>
    <mergeCell ref="H93:H94"/>
    <mergeCell ref="A95:A96"/>
    <mergeCell ref="E95:E96"/>
    <mergeCell ref="F95:F96"/>
    <mergeCell ref="G95:G96"/>
    <mergeCell ref="H95:H96"/>
    <mergeCell ref="F122:F123"/>
    <mergeCell ref="G122:G123"/>
    <mergeCell ref="H122:H123"/>
    <mergeCell ref="A98:A99"/>
    <mergeCell ref="B98:D98"/>
    <mergeCell ref="E98:E99"/>
    <mergeCell ref="F98:F99"/>
    <mergeCell ref="B101:D101"/>
    <mergeCell ref="B108:D108"/>
    <mergeCell ref="B112:D112"/>
    <mergeCell ref="B120:C120"/>
    <mergeCell ref="A122:A123"/>
    <mergeCell ref="B122:C122"/>
    <mergeCell ref="D122:D123"/>
    <mergeCell ref="G98:G99"/>
    <mergeCell ref="H98:H99"/>
    <mergeCell ref="B105:D105"/>
    <mergeCell ref="H58:H59"/>
    <mergeCell ref="H37:H42"/>
    <mergeCell ref="B42:D42"/>
    <mergeCell ref="B47:D47"/>
    <mergeCell ref="B51:D51"/>
    <mergeCell ref="B205:C205"/>
    <mergeCell ref="B206:C206"/>
    <mergeCell ref="B195:C195"/>
    <mergeCell ref="B196:C196"/>
    <mergeCell ref="A187:B187"/>
    <mergeCell ref="B190:C190"/>
    <mergeCell ref="B192:C192"/>
    <mergeCell ref="B194:C194"/>
    <mergeCell ref="A199:B200"/>
    <mergeCell ref="C199:C200"/>
    <mergeCell ref="D199:D200"/>
    <mergeCell ref="B203:C203"/>
    <mergeCell ref="B179:C179"/>
    <mergeCell ref="B180:C180"/>
    <mergeCell ref="B91:D91"/>
    <mergeCell ref="A93:A94"/>
    <mergeCell ref="B93:D93"/>
    <mergeCell ref="E93:E94"/>
    <mergeCell ref="F93:F94"/>
    <mergeCell ref="H29:H30"/>
    <mergeCell ref="B30:D30"/>
    <mergeCell ref="B32:D32"/>
    <mergeCell ref="B34:D34"/>
    <mergeCell ref="A35:A36"/>
    <mergeCell ref="B35:D36"/>
    <mergeCell ref="E35:E36"/>
    <mergeCell ref="H35:H36"/>
    <mergeCell ref="B50:D50"/>
    <mergeCell ref="B38:D38"/>
    <mergeCell ref="B39:D39"/>
    <mergeCell ref="B40:D40"/>
    <mergeCell ref="B80:C80"/>
    <mergeCell ref="B65:C65"/>
    <mergeCell ref="B103:D103"/>
    <mergeCell ref="B104:D104"/>
    <mergeCell ref="D58:D59"/>
    <mergeCell ref="B95:D95"/>
    <mergeCell ref="B102:D102"/>
    <mergeCell ref="D66:D69"/>
    <mergeCell ref="B94:D94"/>
    <mergeCell ref="B64:C64"/>
    <mergeCell ref="B96:D96"/>
    <mergeCell ref="B99:D99"/>
    <mergeCell ref="B63:C63"/>
    <mergeCell ref="B68:C68"/>
    <mergeCell ref="B81:C81"/>
    <mergeCell ref="B70:C70"/>
    <mergeCell ref="B71:C71"/>
    <mergeCell ref="B73:C73"/>
    <mergeCell ref="B77:C77"/>
    <mergeCell ref="B79:C79"/>
    <mergeCell ref="B74:C74"/>
    <mergeCell ref="E71:F71"/>
    <mergeCell ref="B75:C75"/>
    <mergeCell ref="B46:D46"/>
    <mergeCell ref="B45:D45"/>
    <mergeCell ref="B53:D53"/>
    <mergeCell ref="B37:D37"/>
    <mergeCell ref="B41:D41"/>
    <mergeCell ref="B55:D55"/>
    <mergeCell ref="A58:B59"/>
    <mergeCell ref="B61:C61"/>
    <mergeCell ref="B67:C67"/>
    <mergeCell ref="B69:C69"/>
    <mergeCell ref="B66:C66"/>
    <mergeCell ref="E58:F58"/>
    <mergeCell ref="B54:D54"/>
    <mergeCell ref="B22:C22"/>
    <mergeCell ref="B62:C62"/>
    <mergeCell ref="B29:D29"/>
    <mergeCell ref="A4:B4"/>
    <mergeCell ref="D7:G7"/>
    <mergeCell ref="A7:B7"/>
    <mergeCell ref="D11:D12"/>
    <mergeCell ref="E11:E12"/>
    <mergeCell ref="F11:F12"/>
    <mergeCell ref="B14:C14"/>
    <mergeCell ref="B15:C15"/>
    <mergeCell ref="B16:C16"/>
    <mergeCell ref="A11:B12"/>
    <mergeCell ref="B44:D44"/>
    <mergeCell ref="B17:C17"/>
    <mergeCell ref="B19:C19"/>
    <mergeCell ref="B20:C20"/>
    <mergeCell ref="B21:C21"/>
    <mergeCell ref="E37:E42"/>
    <mergeCell ref="G58:G59"/>
    <mergeCell ref="A29:A30"/>
    <mergeCell ref="E29:E30"/>
    <mergeCell ref="F29:F30"/>
    <mergeCell ref="G29:G30"/>
    <mergeCell ref="R101:R102"/>
    <mergeCell ref="E122:E123"/>
    <mergeCell ref="B130:C130"/>
    <mergeCell ref="B137:C137"/>
    <mergeCell ref="F143:G143"/>
    <mergeCell ref="B134:C134"/>
    <mergeCell ref="B135:C135"/>
    <mergeCell ref="B136:C136"/>
    <mergeCell ref="B151:C151"/>
    <mergeCell ref="H146:H147"/>
    <mergeCell ref="B150:C150"/>
    <mergeCell ref="B110:D110"/>
    <mergeCell ref="B114:D114"/>
    <mergeCell ref="B124:C124"/>
    <mergeCell ref="B123:C123"/>
    <mergeCell ref="B113:D113"/>
    <mergeCell ref="B109:D109"/>
    <mergeCell ref="B127:C127"/>
    <mergeCell ref="G126:G127"/>
    <mergeCell ref="H126:H127"/>
    <mergeCell ref="E146:F146"/>
    <mergeCell ref="G146:G147"/>
    <mergeCell ref="D142:D143"/>
    <mergeCell ref="E142:E143"/>
    <mergeCell ref="B171:C171"/>
    <mergeCell ref="A152:A153"/>
    <mergeCell ref="B152:C153"/>
    <mergeCell ref="E152:F152"/>
    <mergeCell ref="G152:G153"/>
    <mergeCell ref="H152:H153"/>
    <mergeCell ref="A154:A157"/>
    <mergeCell ref="B154:C157"/>
    <mergeCell ref="G154:G157"/>
    <mergeCell ref="E156:F156"/>
    <mergeCell ref="E157:F157"/>
    <mergeCell ref="E155:F155"/>
    <mergeCell ref="H154:H157"/>
    <mergeCell ref="E153:F153"/>
    <mergeCell ref="E154:F154"/>
    <mergeCell ref="B160:C160"/>
    <mergeCell ref="A167:A168"/>
    <mergeCell ref="D167:D168"/>
    <mergeCell ref="E167:E168"/>
    <mergeCell ref="F167:F168"/>
    <mergeCell ref="G167:G168"/>
    <mergeCell ref="H167:H168"/>
    <mergeCell ref="B170:C170"/>
    <mergeCell ref="B165:C165"/>
    <mergeCell ref="B226:D226"/>
    <mergeCell ref="B233:D233"/>
    <mergeCell ref="D238:F239"/>
    <mergeCell ref="I154:I158"/>
    <mergeCell ref="A158:A159"/>
    <mergeCell ref="B158:C159"/>
    <mergeCell ref="B162:C162"/>
    <mergeCell ref="A165:A166"/>
    <mergeCell ref="B217:C217"/>
    <mergeCell ref="B228:D228"/>
    <mergeCell ref="B230:D230"/>
    <mergeCell ref="B231:D231"/>
    <mergeCell ref="B229:D229"/>
    <mergeCell ref="B227:D227"/>
    <mergeCell ref="E199:F199"/>
    <mergeCell ref="G199:G200"/>
    <mergeCell ref="H199:H200"/>
    <mergeCell ref="B163:C163"/>
    <mergeCell ref="B204:C204"/>
    <mergeCell ref="B209:C209"/>
    <mergeCell ref="B210:C210"/>
    <mergeCell ref="B167:C167"/>
    <mergeCell ref="B168:C168"/>
    <mergeCell ref="B166:C166"/>
  </mergeCells>
  <dataValidations count="3">
    <dataValidation type="list" allowBlank="1" showInputMessage="1" showErrorMessage="1" sqref="E233" xr:uid="{65E0B0F2-538B-438D-915C-536A13BA27CA}">
      <formula1>$K$233:$K$237</formula1>
    </dataValidation>
    <dataValidation type="list" allowBlank="1" showInputMessage="1" showErrorMessage="1" sqref="F143:G143" xr:uid="{91AA2A7B-8135-4945-A753-69C92DFD789E}">
      <formula1>$L$140:$Q$140</formula1>
    </dataValidation>
    <dataValidation type="list" allowBlank="1" showInputMessage="1" showErrorMessage="1" sqref="A7:B7" xr:uid="{47F5F0B7-76D6-4637-B811-345D6B6489AC}">
      <formula1>$K$1:$K$6</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81"/>
  <sheetViews>
    <sheetView topLeftCell="F37" zoomScale="70" zoomScaleNormal="70" workbookViewId="0">
      <selection activeCell="M52" sqref="M52"/>
    </sheetView>
  </sheetViews>
  <sheetFormatPr defaultColWidth="9.109375" defaultRowHeight="15"/>
  <cols>
    <col min="1" max="1" width="7" style="194" customWidth="1"/>
    <col min="2" max="2" width="56.6640625" style="192" customWidth="1"/>
    <col min="3" max="3" width="14.33203125" style="193" customWidth="1"/>
    <col min="4" max="4" width="19.44140625" style="193" customWidth="1"/>
    <col min="5" max="6" width="19.5546875" style="193" customWidth="1"/>
    <col min="7" max="7" width="42.33203125" style="193" customWidth="1"/>
    <col min="8" max="10" width="17.109375" style="193" customWidth="1"/>
    <col min="11" max="11" width="16.88671875" style="193" customWidth="1"/>
    <col min="12" max="12" width="42.5546875" style="194" bestFit="1" customWidth="1"/>
    <col min="13" max="15" width="14.44140625" style="193" customWidth="1"/>
    <col min="16" max="16" width="16.44140625" style="193" customWidth="1"/>
    <col min="17" max="17" width="50.88671875" style="194" bestFit="1" customWidth="1"/>
    <col min="18" max="18" width="14.44140625" style="192" customWidth="1"/>
    <col min="19" max="20" width="14.44140625" style="194" customWidth="1"/>
    <col min="21" max="21" width="17.109375" style="194" customWidth="1"/>
    <col min="22" max="22" width="15.33203125" style="194" customWidth="1"/>
    <col min="23" max="23" width="48.5546875" style="194" bestFit="1" customWidth="1"/>
    <col min="24" max="24" width="22" style="196" bestFit="1" customWidth="1"/>
    <col min="25" max="16384" width="9.109375" style="194"/>
  </cols>
  <sheetData>
    <row r="1" spans="1:24" ht="21">
      <c r="A1" s="191" t="s">
        <v>190</v>
      </c>
      <c r="K1" s="194"/>
      <c r="L1" s="193"/>
      <c r="P1" s="194"/>
      <c r="R1" s="194"/>
      <c r="X1" s="194"/>
    </row>
    <row r="2" spans="1:24">
      <c r="K2" s="148"/>
      <c r="L2" s="193"/>
      <c r="P2" s="194"/>
      <c r="Q2" s="192"/>
      <c r="R2" s="194"/>
      <c r="V2" s="195"/>
      <c r="W2" s="196"/>
      <c r="X2" s="194"/>
    </row>
    <row r="3" spans="1:24" ht="15.6">
      <c r="A3" s="197" t="s">
        <v>44</v>
      </c>
      <c r="B3" s="198"/>
      <c r="C3" s="198"/>
      <c r="D3" s="198"/>
      <c r="E3" s="199"/>
      <c r="F3" s="200"/>
      <c r="G3" s="200"/>
      <c r="H3" s="200"/>
      <c r="I3" s="200"/>
      <c r="J3" s="200"/>
      <c r="K3" s="148"/>
      <c r="L3" s="193"/>
      <c r="P3" s="194"/>
      <c r="Q3" s="192"/>
      <c r="R3" s="194"/>
      <c r="V3" s="195"/>
      <c r="W3" s="196"/>
      <c r="X3" s="194"/>
    </row>
    <row r="4" spans="1:24" ht="15.6">
      <c r="B4" s="201"/>
      <c r="C4" s="202"/>
      <c r="D4" s="194"/>
      <c r="E4" s="194"/>
      <c r="G4" s="203"/>
      <c r="K4" s="148"/>
      <c r="L4" s="193"/>
      <c r="P4" s="194"/>
      <c r="Q4" s="192"/>
      <c r="R4" s="194"/>
      <c r="V4" s="195"/>
      <c r="W4" s="196"/>
      <c r="X4" s="194"/>
    </row>
    <row r="5" spans="1:24" ht="52.2">
      <c r="A5" s="204" t="s">
        <v>0</v>
      </c>
      <c r="B5" s="205"/>
      <c r="C5" s="205"/>
      <c r="D5" s="206"/>
      <c r="E5" s="207" t="s">
        <v>45</v>
      </c>
      <c r="F5" s="207" t="s">
        <v>428</v>
      </c>
      <c r="G5" s="207" t="s">
        <v>15</v>
      </c>
      <c r="H5" s="207" t="s">
        <v>16</v>
      </c>
      <c r="I5" s="207" t="s">
        <v>427</v>
      </c>
      <c r="J5" s="207" t="s">
        <v>426</v>
      </c>
      <c r="K5" s="148"/>
      <c r="L5" s="208"/>
      <c r="M5" s="209"/>
      <c r="N5" s="210"/>
      <c r="O5" s="210"/>
      <c r="P5" s="194"/>
      <c r="Q5" s="192"/>
      <c r="R5" s="194"/>
      <c r="V5" s="195"/>
      <c r="W5" s="196"/>
      <c r="X5" s="194"/>
    </row>
    <row r="6" spans="1:24" ht="15.75" customHeight="1">
      <c r="A6" s="211">
        <v>1.1000000000000001</v>
      </c>
      <c r="B6" s="690" t="s">
        <v>290</v>
      </c>
      <c r="C6" s="688"/>
      <c r="D6" s="689"/>
      <c r="E6" s="212">
        <f>C62</f>
        <v>35</v>
      </c>
      <c r="F6" s="212">
        <f>D62</f>
        <v>45</v>
      </c>
      <c r="G6" s="212">
        <f>E62</f>
        <v>50</v>
      </c>
      <c r="H6" s="212">
        <f>F62</f>
        <v>35</v>
      </c>
      <c r="I6" s="212">
        <f>F62</f>
        <v>35</v>
      </c>
      <c r="J6" s="212">
        <f>E62</f>
        <v>50</v>
      </c>
      <c r="K6" s="148"/>
      <c r="L6" s="208"/>
      <c r="M6" s="209"/>
      <c r="N6" s="210"/>
      <c r="O6" s="213"/>
      <c r="P6" s="194"/>
      <c r="Q6" s="192"/>
      <c r="R6" s="194"/>
      <c r="V6" s="195"/>
      <c r="W6" s="196"/>
      <c r="X6" s="194"/>
    </row>
    <row r="7" spans="1:24" ht="15" customHeight="1">
      <c r="A7" s="211">
        <v>2.1</v>
      </c>
      <c r="B7" s="690" t="s">
        <v>203</v>
      </c>
      <c r="C7" s="691"/>
      <c r="D7" s="692"/>
      <c r="E7" s="212">
        <f>C65</f>
        <v>33</v>
      </c>
      <c r="F7" s="212">
        <f>D65</f>
        <v>42</v>
      </c>
      <c r="G7" s="212">
        <f>E65</f>
        <v>48</v>
      </c>
      <c r="H7" s="212">
        <f>F65</f>
        <v>34</v>
      </c>
      <c r="I7" s="212">
        <f>F65</f>
        <v>34</v>
      </c>
      <c r="J7" s="212">
        <f>E65</f>
        <v>48</v>
      </c>
      <c r="K7" s="29"/>
      <c r="L7" s="214"/>
      <c r="M7" s="215"/>
      <c r="N7" s="215"/>
      <c r="O7" s="215"/>
      <c r="P7" s="194"/>
      <c r="Q7" s="192"/>
      <c r="R7" s="194"/>
      <c r="V7" s="195"/>
      <c r="W7" s="196"/>
      <c r="X7" s="194"/>
    </row>
    <row r="8" spans="1:24" ht="15.75" customHeight="1">
      <c r="A8" s="211">
        <v>3.1</v>
      </c>
      <c r="B8" s="690" t="s">
        <v>291</v>
      </c>
      <c r="C8" s="691"/>
      <c r="D8" s="692"/>
      <c r="E8" s="212">
        <f>C68</f>
        <v>32</v>
      </c>
      <c r="F8" s="212">
        <f>D68</f>
        <v>39</v>
      </c>
      <c r="G8" s="212">
        <f>E68</f>
        <v>46</v>
      </c>
      <c r="H8" s="212">
        <f>F68</f>
        <v>33</v>
      </c>
      <c r="I8" s="212">
        <f>F68</f>
        <v>33</v>
      </c>
      <c r="J8" s="212">
        <f>E68</f>
        <v>46</v>
      </c>
      <c r="K8" s="194"/>
      <c r="L8" s="208"/>
      <c r="M8" s="209"/>
      <c r="N8" s="216"/>
      <c r="O8" s="213"/>
      <c r="P8" s="194"/>
      <c r="Q8" s="192"/>
      <c r="R8" s="194"/>
      <c r="V8" s="195"/>
      <c r="W8" s="196"/>
      <c r="X8" s="194"/>
    </row>
    <row r="9" spans="1:24" ht="15" customHeight="1">
      <c r="A9" s="211">
        <v>3.2</v>
      </c>
      <c r="B9" s="693" t="s">
        <v>329</v>
      </c>
      <c r="C9" s="694"/>
      <c r="D9" s="695"/>
      <c r="E9" s="212">
        <f>C68</f>
        <v>32</v>
      </c>
      <c r="F9" s="212">
        <f>D68</f>
        <v>39</v>
      </c>
      <c r="G9" s="212">
        <f>E68</f>
        <v>46</v>
      </c>
      <c r="H9" s="212">
        <f>F68</f>
        <v>33</v>
      </c>
      <c r="I9" s="212">
        <f>F68</f>
        <v>33</v>
      </c>
      <c r="J9" s="212">
        <f>E68</f>
        <v>46</v>
      </c>
      <c r="K9" s="194"/>
      <c r="L9" s="214"/>
      <c r="M9" s="215"/>
      <c r="N9" s="215"/>
      <c r="O9" s="215"/>
      <c r="P9" s="194"/>
      <c r="Q9" s="192"/>
      <c r="R9" s="194"/>
      <c r="V9" s="195"/>
      <c r="W9" s="196"/>
      <c r="X9" s="194"/>
    </row>
    <row r="10" spans="1:24" ht="15.75" customHeight="1">
      <c r="A10" s="211">
        <v>4.0999999999999996</v>
      </c>
      <c r="B10" s="690" t="s">
        <v>331</v>
      </c>
      <c r="C10" s="691"/>
      <c r="D10" s="692"/>
      <c r="E10" s="212">
        <f>C72</f>
        <v>29</v>
      </c>
      <c r="F10" s="212">
        <f>D72</f>
        <v>35</v>
      </c>
      <c r="G10" s="212">
        <f>E72</f>
        <v>41</v>
      </c>
      <c r="H10" s="212">
        <f>F72</f>
        <v>32</v>
      </c>
      <c r="I10" s="212">
        <f>F72</f>
        <v>32</v>
      </c>
      <c r="J10" s="212">
        <f>E72</f>
        <v>41</v>
      </c>
      <c r="K10" s="194"/>
      <c r="L10" s="208"/>
      <c r="M10" s="209"/>
      <c r="N10" s="216"/>
      <c r="O10" s="213"/>
      <c r="P10" s="194"/>
      <c r="Q10" s="192"/>
      <c r="R10" s="194"/>
      <c r="V10" s="195"/>
      <c r="W10" s="196"/>
      <c r="X10" s="194"/>
    </row>
    <row r="11" spans="1:24" ht="15" customHeight="1">
      <c r="A11" s="211">
        <v>4.2</v>
      </c>
      <c r="B11" s="696" t="s">
        <v>348</v>
      </c>
      <c r="C11" s="697"/>
      <c r="D11" s="698"/>
      <c r="E11" s="212">
        <f>C72</f>
        <v>29</v>
      </c>
      <c r="F11" s="212">
        <f>D72</f>
        <v>35</v>
      </c>
      <c r="G11" s="212">
        <f>E72</f>
        <v>41</v>
      </c>
      <c r="H11" s="212">
        <f>F72</f>
        <v>32</v>
      </c>
      <c r="I11" s="212">
        <f>F72</f>
        <v>32</v>
      </c>
      <c r="J11" s="212">
        <f>E72</f>
        <v>41</v>
      </c>
      <c r="K11" s="194"/>
      <c r="L11" s="214"/>
      <c r="M11" s="215"/>
      <c r="N11" s="215"/>
      <c r="O11" s="215"/>
      <c r="P11" s="194"/>
      <c r="Q11" s="192"/>
      <c r="R11" s="194"/>
      <c r="V11" s="195"/>
      <c r="W11" s="196"/>
      <c r="X11" s="194"/>
    </row>
    <row r="12" spans="1:24" ht="15" customHeight="1">
      <c r="A12" s="211">
        <v>4.3</v>
      </c>
      <c r="B12" s="217" t="s">
        <v>346</v>
      </c>
      <c r="C12" s="218"/>
      <c r="D12" s="219"/>
      <c r="E12" s="212">
        <f>C74</f>
        <v>23</v>
      </c>
      <c r="F12" s="212">
        <f>D74</f>
        <v>28</v>
      </c>
      <c r="G12" s="212">
        <f>E74</f>
        <v>34</v>
      </c>
      <c r="H12" s="212">
        <f>F74</f>
        <v>26</v>
      </c>
      <c r="I12" s="212">
        <f>F74</f>
        <v>26</v>
      </c>
      <c r="J12" s="212">
        <f>E74</f>
        <v>34</v>
      </c>
      <c r="K12" s="194"/>
      <c r="L12" s="220"/>
      <c r="M12" s="221"/>
      <c r="N12" s="221"/>
      <c r="O12" s="221"/>
      <c r="P12" s="194"/>
      <c r="Q12" s="192"/>
      <c r="R12" s="194"/>
      <c r="V12" s="195"/>
      <c r="W12" s="196"/>
      <c r="X12" s="194"/>
    </row>
    <row r="13" spans="1:24" ht="15" customHeight="1">
      <c r="A13" s="211">
        <v>4.4000000000000004</v>
      </c>
      <c r="B13" s="690" t="s">
        <v>347</v>
      </c>
      <c r="C13" s="691"/>
      <c r="D13" s="692"/>
      <c r="E13" s="212">
        <f>C74</f>
        <v>23</v>
      </c>
      <c r="F13" s="212">
        <f>D74</f>
        <v>28</v>
      </c>
      <c r="G13" s="212">
        <f>E74</f>
        <v>34</v>
      </c>
      <c r="H13" s="212">
        <f>F74</f>
        <v>26</v>
      </c>
      <c r="I13" s="212">
        <f>F74</f>
        <v>26</v>
      </c>
      <c r="J13" s="212">
        <f>E74</f>
        <v>34</v>
      </c>
      <c r="K13" s="194"/>
      <c r="L13" s="220"/>
      <c r="M13" s="221"/>
      <c r="N13" s="221"/>
      <c r="O13" s="221"/>
      <c r="P13" s="194"/>
      <c r="Q13" s="192"/>
      <c r="R13" s="194"/>
      <c r="V13" s="195"/>
      <c r="W13" s="196"/>
      <c r="X13" s="194"/>
    </row>
    <row r="14" spans="1:24" ht="15" customHeight="1">
      <c r="A14" s="211">
        <v>5.0999999999999996</v>
      </c>
      <c r="B14" s="687" t="s">
        <v>204</v>
      </c>
      <c r="C14" s="688"/>
      <c r="D14" s="689"/>
      <c r="E14" s="212">
        <f>C77</f>
        <v>20</v>
      </c>
      <c r="F14" s="212">
        <f>D77</f>
        <v>22</v>
      </c>
      <c r="G14" s="212">
        <f>E77</f>
        <v>28</v>
      </c>
      <c r="H14" s="212">
        <f>F77</f>
        <v>24</v>
      </c>
      <c r="I14" s="212">
        <f>F77</f>
        <v>24</v>
      </c>
      <c r="J14" s="212">
        <f>E77</f>
        <v>28</v>
      </c>
      <c r="K14" s="194"/>
      <c r="L14" s="222"/>
      <c r="M14" s="223"/>
      <c r="N14" s="223"/>
      <c r="O14" s="223"/>
      <c r="P14" s="194"/>
      <c r="Q14" s="192"/>
      <c r="R14" s="194"/>
      <c r="V14" s="195"/>
      <c r="W14" s="196"/>
      <c r="X14" s="194"/>
    </row>
    <row r="15" spans="1:24" ht="15" customHeight="1">
      <c r="A15" s="211">
        <v>5.2</v>
      </c>
      <c r="B15" s="687" t="s">
        <v>151</v>
      </c>
      <c r="C15" s="688"/>
      <c r="D15" s="689"/>
      <c r="E15" s="212">
        <f>C79</f>
        <v>10</v>
      </c>
      <c r="F15" s="212">
        <f>D79</f>
        <v>10</v>
      </c>
      <c r="G15" s="212">
        <f>E79</f>
        <v>15</v>
      </c>
      <c r="H15" s="212">
        <f>F79</f>
        <v>11</v>
      </c>
      <c r="I15" s="212">
        <f>F79</f>
        <v>11</v>
      </c>
      <c r="J15" s="212">
        <f>E79</f>
        <v>15</v>
      </c>
      <c r="K15" s="194"/>
      <c r="L15" s="222"/>
      <c r="M15" s="223"/>
      <c r="N15" s="223"/>
      <c r="O15" s="223"/>
      <c r="P15" s="194"/>
      <c r="Q15" s="192"/>
      <c r="R15" s="194"/>
      <c r="V15" s="195"/>
      <c r="W15" s="196"/>
      <c r="X15" s="194"/>
    </row>
    <row r="16" spans="1:24" ht="15" customHeight="1">
      <c r="K16" s="194"/>
      <c r="L16" s="222"/>
      <c r="M16" s="223"/>
      <c r="N16" s="223"/>
      <c r="O16" s="223"/>
      <c r="P16" s="194"/>
      <c r="Q16" s="192"/>
      <c r="R16" s="194"/>
      <c r="V16" s="195"/>
      <c r="W16" s="196"/>
      <c r="X16" s="194"/>
    </row>
    <row r="17" spans="1:24" ht="15" customHeight="1">
      <c r="K17" s="194"/>
      <c r="L17" s="222"/>
      <c r="M17" s="223"/>
      <c r="N17" s="223"/>
      <c r="O17" s="223"/>
      <c r="P17" s="194"/>
      <c r="Q17" s="192"/>
      <c r="R17" s="194"/>
      <c r="V17" s="195"/>
      <c r="W17" s="196"/>
      <c r="X17" s="194"/>
    </row>
    <row r="18" spans="1:24" ht="15.75" customHeight="1">
      <c r="A18" s="224" t="s">
        <v>52</v>
      </c>
      <c r="B18" s="225"/>
      <c r="C18" s="225"/>
      <c r="D18" s="225"/>
      <c r="E18" s="226"/>
      <c r="F18" s="227"/>
      <c r="G18" s="227"/>
      <c r="H18" s="227"/>
      <c r="I18" s="227"/>
      <c r="J18" s="227"/>
      <c r="K18" s="194"/>
      <c r="L18" s="222"/>
      <c r="M18" s="223"/>
      <c r="N18" s="223"/>
      <c r="O18" s="223"/>
      <c r="P18" s="194"/>
      <c r="Q18" s="192"/>
      <c r="R18" s="194"/>
      <c r="V18" s="195"/>
      <c r="W18" s="196"/>
      <c r="X18" s="194"/>
    </row>
    <row r="19" spans="1:24" ht="15.75" customHeight="1">
      <c r="B19" s="228"/>
      <c r="C19" s="210"/>
      <c r="D19" s="213"/>
      <c r="E19" s="213"/>
      <c r="F19" s="229"/>
      <c r="G19" s="230"/>
      <c r="K19" s="194"/>
      <c r="L19" s="222"/>
      <c r="M19" s="223"/>
      <c r="N19" s="223"/>
      <c r="O19" s="223"/>
      <c r="P19" s="194"/>
      <c r="Q19" s="192"/>
      <c r="R19" s="194"/>
      <c r="V19" s="195"/>
      <c r="W19" s="196"/>
      <c r="X19" s="194"/>
    </row>
    <row r="20" spans="1:24" ht="52.2">
      <c r="A20" s="231" t="s">
        <v>0</v>
      </c>
      <c r="B20" s="232"/>
      <c r="C20" s="232"/>
      <c r="D20" s="233"/>
      <c r="E20" s="234" t="s">
        <v>45</v>
      </c>
      <c r="F20" s="234" t="s">
        <v>428</v>
      </c>
      <c r="G20" s="234" t="s">
        <v>15</v>
      </c>
      <c r="H20" s="234" t="s">
        <v>16</v>
      </c>
      <c r="I20" s="234" t="s">
        <v>427</v>
      </c>
      <c r="J20" s="234" t="s">
        <v>426</v>
      </c>
      <c r="K20" s="194"/>
      <c r="L20" s="235"/>
      <c r="M20" s="215"/>
      <c r="N20" s="213"/>
      <c r="O20" s="213"/>
      <c r="P20" s="236"/>
      <c r="Q20" s="192"/>
      <c r="R20" s="194"/>
      <c r="V20" s="195"/>
      <c r="W20" s="196"/>
      <c r="X20" s="194"/>
    </row>
    <row r="21" spans="1:24" ht="15.75" customHeight="1">
      <c r="A21" s="237">
        <v>1.1000000000000001</v>
      </c>
      <c r="B21" s="690" t="s">
        <v>290</v>
      </c>
      <c r="C21" s="688"/>
      <c r="D21" s="689"/>
      <c r="E21" s="238">
        <f>H62</f>
        <v>30</v>
      </c>
      <c r="F21" s="238">
        <f t="shared" ref="F21:H21" si="0">I62</f>
        <v>30</v>
      </c>
      <c r="G21" s="238">
        <f t="shared" si="0"/>
        <v>20</v>
      </c>
      <c r="H21" s="238">
        <f t="shared" si="0"/>
        <v>20</v>
      </c>
      <c r="I21" s="238">
        <f>K62</f>
        <v>20</v>
      </c>
      <c r="J21" s="238">
        <f>J62</f>
        <v>20</v>
      </c>
      <c r="K21" s="194"/>
      <c r="L21" s="239"/>
      <c r="M21" s="239"/>
      <c r="N21" s="213"/>
      <c r="O21" s="240"/>
      <c r="P21" s="240"/>
      <c r="Q21" s="192"/>
      <c r="R21" s="194"/>
      <c r="V21" s="195"/>
      <c r="W21" s="196"/>
      <c r="X21" s="194"/>
    </row>
    <row r="22" spans="1:24" ht="15" customHeight="1">
      <c r="A22" s="237">
        <v>2.1</v>
      </c>
      <c r="B22" s="687" t="s">
        <v>207</v>
      </c>
      <c r="C22" s="688"/>
      <c r="D22" s="689"/>
      <c r="E22" s="241">
        <f>H65</f>
        <v>29</v>
      </c>
      <c r="F22" s="241">
        <f t="shared" ref="F22:H22" si="1">I65</f>
        <v>28</v>
      </c>
      <c r="G22" s="241">
        <f t="shared" si="1"/>
        <v>18</v>
      </c>
      <c r="H22" s="241">
        <f t="shared" si="1"/>
        <v>19</v>
      </c>
      <c r="I22" s="241">
        <f>K65</f>
        <v>19</v>
      </c>
      <c r="J22" s="241">
        <f>J65</f>
        <v>18</v>
      </c>
      <c r="K22" s="194"/>
      <c r="L22" s="213"/>
      <c r="M22" s="213"/>
      <c r="N22" s="213"/>
      <c r="O22" s="213"/>
      <c r="P22" s="240"/>
      <c r="Q22" s="192"/>
      <c r="R22" s="194"/>
      <c r="V22" s="195"/>
      <c r="W22" s="196"/>
      <c r="X22" s="194"/>
    </row>
    <row r="23" spans="1:24" ht="15" customHeight="1">
      <c r="A23" s="237">
        <v>2.2000000000000002</v>
      </c>
      <c r="B23" s="690" t="s">
        <v>178</v>
      </c>
      <c r="C23" s="691"/>
      <c r="D23" s="692"/>
      <c r="E23" s="241">
        <f>H65</f>
        <v>29</v>
      </c>
      <c r="F23" s="241">
        <f t="shared" ref="F23:H23" si="2">I65</f>
        <v>28</v>
      </c>
      <c r="G23" s="241">
        <f t="shared" si="2"/>
        <v>18</v>
      </c>
      <c r="H23" s="241">
        <f t="shared" si="2"/>
        <v>19</v>
      </c>
      <c r="I23" s="241">
        <f>K65</f>
        <v>19</v>
      </c>
      <c r="J23" s="241">
        <f>J65</f>
        <v>18</v>
      </c>
      <c r="K23" s="194"/>
      <c r="L23" s="213"/>
      <c r="M23" s="242"/>
      <c r="N23" s="242"/>
      <c r="O23" s="242"/>
      <c r="P23" s="240"/>
      <c r="Q23" s="192"/>
      <c r="R23" s="194"/>
      <c r="V23" s="195"/>
      <c r="W23" s="196"/>
      <c r="X23" s="194"/>
    </row>
    <row r="24" spans="1:24" ht="15" customHeight="1">
      <c r="A24" s="237">
        <v>3.1</v>
      </c>
      <c r="B24" s="687" t="s">
        <v>208</v>
      </c>
      <c r="C24" s="688"/>
      <c r="D24" s="689"/>
      <c r="E24" s="241">
        <f>H68</f>
        <v>27</v>
      </c>
      <c r="F24" s="241">
        <f t="shared" ref="F24:H24" si="3">I68</f>
        <v>27</v>
      </c>
      <c r="G24" s="241">
        <f t="shared" si="3"/>
        <v>17</v>
      </c>
      <c r="H24" s="241">
        <f t="shared" si="3"/>
        <v>18</v>
      </c>
      <c r="I24" s="241">
        <f>K68</f>
        <v>18</v>
      </c>
      <c r="J24" s="241">
        <f>J68</f>
        <v>17</v>
      </c>
      <c r="K24" s="194"/>
      <c r="L24" s="235"/>
      <c r="M24" s="215"/>
      <c r="N24" s="215"/>
      <c r="O24" s="215"/>
      <c r="P24" s="236"/>
      <c r="Q24" s="192"/>
      <c r="R24" s="194"/>
      <c r="V24" s="195"/>
      <c r="W24" s="196"/>
      <c r="X24" s="194"/>
    </row>
    <row r="25" spans="1:24" ht="15.75" customHeight="1">
      <c r="A25" s="237" t="s">
        <v>205</v>
      </c>
      <c r="B25" s="699" t="s">
        <v>292</v>
      </c>
      <c r="C25" s="700"/>
      <c r="D25" s="701"/>
      <c r="E25" s="241">
        <f>H72</f>
        <v>26</v>
      </c>
      <c r="F25" s="241">
        <f t="shared" ref="F25:H25" si="4">I72</f>
        <v>25</v>
      </c>
      <c r="G25" s="241">
        <f t="shared" si="4"/>
        <v>16</v>
      </c>
      <c r="H25" s="241">
        <f t="shared" si="4"/>
        <v>17</v>
      </c>
      <c r="I25" s="241">
        <f>K72</f>
        <v>17</v>
      </c>
      <c r="J25" s="241">
        <f>J72</f>
        <v>16</v>
      </c>
      <c r="K25" s="194"/>
      <c r="L25" s="209"/>
      <c r="M25" s="209"/>
      <c r="N25" s="213"/>
      <c r="O25" s="213"/>
      <c r="P25" s="236"/>
      <c r="Q25" s="192"/>
      <c r="R25" s="194"/>
      <c r="V25" s="195"/>
      <c r="W25" s="196"/>
      <c r="X25" s="194"/>
    </row>
    <row r="26" spans="1:24">
      <c r="A26" s="237" t="s">
        <v>206</v>
      </c>
      <c r="B26" s="699" t="s">
        <v>293</v>
      </c>
      <c r="C26" s="700"/>
      <c r="D26" s="701"/>
      <c r="E26" s="241">
        <f>H72</f>
        <v>26</v>
      </c>
      <c r="F26" s="241">
        <f t="shared" ref="F26:H26" si="5">I72</f>
        <v>25</v>
      </c>
      <c r="G26" s="241">
        <f t="shared" si="5"/>
        <v>16</v>
      </c>
      <c r="H26" s="241">
        <f t="shared" si="5"/>
        <v>17</v>
      </c>
      <c r="I26" s="241">
        <f>K72</f>
        <v>17</v>
      </c>
      <c r="J26" s="241">
        <f>J72</f>
        <v>16</v>
      </c>
      <c r="K26" s="194"/>
      <c r="L26" s="213"/>
      <c r="M26" s="213"/>
      <c r="N26" s="213"/>
      <c r="O26" s="213"/>
      <c r="P26" s="240"/>
      <c r="Q26" s="192"/>
      <c r="R26" s="194"/>
      <c r="V26" s="195"/>
      <c r="W26" s="196"/>
      <c r="X26" s="194"/>
    </row>
    <row r="27" spans="1:24" ht="15.6">
      <c r="A27" s="237">
        <v>4.2</v>
      </c>
      <c r="B27" s="702" t="s">
        <v>209</v>
      </c>
      <c r="C27" s="703"/>
      <c r="D27" s="704"/>
      <c r="E27" s="241">
        <f>H72</f>
        <v>26</v>
      </c>
      <c r="F27" s="241">
        <f t="shared" ref="F27:H27" si="6">I72</f>
        <v>25</v>
      </c>
      <c r="G27" s="241">
        <f t="shared" si="6"/>
        <v>16</v>
      </c>
      <c r="H27" s="241">
        <f t="shared" si="6"/>
        <v>17</v>
      </c>
      <c r="I27" s="241">
        <f>K72</f>
        <v>17</v>
      </c>
      <c r="J27" s="241">
        <f>J72</f>
        <v>16</v>
      </c>
      <c r="K27" s="194"/>
      <c r="L27" s="213"/>
      <c r="M27" s="242"/>
      <c r="N27" s="242"/>
      <c r="O27" s="242"/>
      <c r="P27" s="240"/>
      <c r="Q27" s="192"/>
      <c r="R27" s="194"/>
      <c r="V27" s="195"/>
      <c r="W27" s="196"/>
      <c r="X27" s="194"/>
    </row>
    <row r="28" spans="1:24" ht="15.6">
      <c r="A28" s="237">
        <v>4.3</v>
      </c>
      <c r="B28" s="684" t="s">
        <v>159</v>
      </c>
      <c r="C28" s="685"/>
      <c r="D28" s="686"/>
      <c r="E28" s="241">
        <f>H72</f>
        <v>26</v>
      </c>
      <c r="F28" s="241">
        <f t="shared" ref="F28:H28" si="7">I72</f>
        <v>25</v>
      </c>
      <c r="G28" s="241">
        <f t="shared" si="7"/>
        <v>16</v>
      </c>
      <c r="H28" s="241">
        <f t="shared" si="7"/>
        <v>17</v>
      </c>
      <c r="I28" s="241">
        <f>K72</f>
        <v>17</v>
      </c>
      <c r="J28" s="241">
        <f>J72</f>
        <v>16</v>
      </c>
      <c r="K28" s="194"/>
      <c r="L28" s="209"/>
      <c r="M28" s="209"/>
      <c r="N28" s="213"/>
      <c r="O28" s="213"/>
      <c r="P28" s="236"/>
      <c r="Q28" s="192"/>
      <c r="R28" s="194"/>
      <c r="V28" s="195"/>
      <c r="W28" s="196"/>
      <c r="X28" s="194"/>
    </row>
    <row r="29" spans="1:24">
      <c r="A29" s="237">
        <v>4.4000000000000004</v>
      </c>
      <c r="B29" s="684" t="s">
        <v>296</v>
      </c>
      <c r="C29" s="685"/>
      <c r="D29" s="686"/>
      <c r="E29" s="241">
        <f>H75</f>
        <v>22</v>
      </c>
      <c r="F29" s="241">
        <f t="shared" ref="F29:H29" si="8">I75</f>
        <v>22</v>
      </c>
      <c r="G29" s="241">
        <f t="shared" si="8"/>
        <v>13</v>
      </c>
      <c r="H29" s="241">
        <f t="shared" si="8"/>
        <v>13</v>
      </c>
      <c r="I29" s="241">
        <f>K75</f>
        <v>13</v>
      </c>
      <c r="J29" s="241">
        <f>J75</f>
        <v>13</v>
      </c>
      <c r="K29" s="194"/>
      <c r="L29" s="243"/>
      <c r="M29" s="213"/>
      <c r="N29" s="213"/>
      <c r="O29" s="213"/>
      <c r="P29" s="236"/>
      <c r="Q29" s="192"/>
      <c r="R29" s="194"/>
      <c r="V29" s="195"/>
      <c r="W29" s="196"/>
      <c r="X29" s="194"/>
    </row>
    <row r="30" spans="1:24">
      <c r="A30" s="237">
        <v>5.0999999999999996</v>
      </c>
      <c r="B30" s="687" t="s">
        <v>210</v>
      </c>
      <c r="C30" s="688"/>
      <c r="D30" s="689"/>
      <c r="E30" s="241">
        <f>H77</f>
        <v>16</v>
      </c>
      <c r="F30" s="241">
        <f t="shared" ref="F30:H30" si="9">I77</f>
        <v>16</v>
      </c>
      <c r="G30" s="241">
        <f t="shared" si="9"/>
        <v>10</v>
      </c>
      <c r="H30" s="241">
        <f t="shared" si="9"/>
        <v>12</v>
      </c>
      <c r="I30" s="241">
        <f>K77</f>
        <v>12</v>
      </c>
      <c r="J30" s="241">
        <f>J77</f>
        <v>10</v>
      </c>
      <c r="K30" s="194"/>
      <c r="L30" s="235"/>
      <c r="M30" s="215"/>
      <c r="N30" s="215"/>
      <c r="O30" s="215"/>
      <c r="P30" s="236"/>
      <c r="Q30" s="192"/>
      <c r="R30" s="194"/>
      <c r="V30" s="195"/>
      <c r="W30" s="196"/>
      <c r="X30" s="194"/>
    </row>
    <row r="31" spans="1:24" ht="15.6">
      <c r="A31" s="237">
        <v>5.2</v>
      </c>
      <c r="B31" s="687" t="s">
        <v>294</v>
      </c>
      <c r="C31" s="688"/>
      <c r="D31" s="689"/>
      <c r="E31" s="241">
        <f>H79</f>
        <v>5</v>
      </c>
      <c r="F31" s="241">
        <f t="shared" ref="F31:H31" si="10">I79</f>
        <v>5</v>
      </c>
      <c r="G31" s="241">
        <f t="shared" si="10"/>
        <v>5</v>
      </c>
      <c r="H31" s="241">
        <f t="shared" si="10"/>
        <v>4</v>
      </c>
      <c r="I31" s="241">
        <f>K79</f>
        <v>4</v>
      </c>
      <c r="J31" s="241">
        <f>J79</f>
        <v>5</v>
      </c>
      <c r="K31" s="194"/>
      <c r="L31" s="209"/>
      <c r="M31" s="209"/>
      <c r="N31" s="209"/>
      <c r="O31" s="213"/>
      <c r="P31" s="236"/>
      <c r="Q31" s="192"/>
      <c r="R31" s="194"/>
      <c r="V31" s="195"/>
      <c r="W31" s="196"/>
      <c r="X31" s="194"/>
    </row>
    <row r="32" spans="1:24" ht="15.6">
      <c r="A32" s="237">
        <v>5.3</v>
      </c>
      <c r="B32" s="687" t="s">
        <v>295</v>
      </c>
      <c r="C32" s="688"/>
      <c r="D32" s="689"/>
      <c r="E32" s="241">
        <f>H81</f>
        <v>0</v>
      </c>
      <c r="F32" s="241">
        <f t="shared" ref="F32:H32" si="11">I81</f>
        <v>0</v>
      </c>
      <c r="G32" s="241">
        <f t="shared" si="11"/>
        <v>0</v>
      </c>
      <c r="H32" s="241">
        <f t="shared" si="11"/>
        <v>0</v>
      </c>
      <c r="I32" s="241">
        <f>K81</f>
        <v>0</v>
      </c>
      <c r="J32" s="241">
        <f>J81</f>
        <v>0</v>
      </c>
      <c r="K32" s="194"/>
      <c r="L32" s="209"/>
      <c r="M32" s="209"/>
      <c r="N32" s="213"/>
      <c r="O32" s="213"/>
      <c r="P32" s="236"/>
      <c r="Q32" s="192"/>
      <c r="R32" s="194"/>
      <c r="V32" s="195"/>
      <c r="W32" s="196"/>
      <c r="X32" s="194"/>
    </row>
    <row r="33" spans="1:24" ht="15" customHeight="1">
      <c r="A33" s="237">
        <v>7.1</v>
      </c>
      <c r="B33" s="690" t="s">
        <v>290</v>
      </c>
      <c r="C33" s="688"/>
      <c r="D33" s="689"/>
      <c r="E33" s="241">
        <f>M62</f>
        <v>15</v>
      </c>
      <c r="F33" s="241">
        <f>N62</f>
        <v>10</v>
      </c>
      <c r="G33" s="241">
        <f>O62</f>
        <v>5</v>
      </c>
      <c r="H33" s="241">
        <f>P62</f>
        <v>10</v>
      </c>
      <c r="I33" s="241">
        <f>P62</f>
        <v>10</v>
      </c>
      <c r="J33" s="241">
        <f>O62</f>
        <v>5</v>
      </c>
      <c r="K33" s="194"/>
      <c r="L33" s="235"/>
      <c r="M33" s="215"/>
      <c r="N33" s="215"/>
      <c r="O33" s="213"/>
      <c r="P33" s="236"/>
      <c r="Q33" s="192"/>
      <c r="R33" s="194"/>
      <c r="V33" s="195"/>
      <c r="W33" s="196"/>
      <c r="X33" s="194"/>
    </row>
    <row r="34" spans="1:24" ht="15.6">
      <c r="A34" s="237">
        <v>8.1</v>
      </c>
      <c r="B34" s="687" t="s">
        <v>337</v>
      </c>
      <c r="C34" s="688"/>
      <c r="D34" s="689"/>
      <c r="E34" s="241">
        <f>M65</f>
        <v>12</v>
      </c>
      <c r="F34" s="241">
        <f>N65</f>
        <v>8</v>
      </c>
      <c r="G34" s="241">
        <f>O65</f>
        <v>4</v>
      </c>
      <c r="H34" s="241">
        <f>P65</f>
        <v>9</v>
      </c>
      <c r="I34" s="241">
        <f>P65</f>
        <v>9</v>
      </c>
      <c r="J34" s="241">
        <f>O65</f>
        <v>4</v>
      </c>
      <c r="K34" s="194"/>
      <c r="L34" s="239"/>
      <c r="M34" s="239"/>
      <c r="N34" s="213"/>
      <c r="O34" s="213"/>
      <c r="P34" s="244"/>
      <c r="Q34" s="192"/>
      <c r="R34" s="194"/>
      <c r="V34" s="195"/>
      <c r="W34" s="196"/>
      <c r="X34" s="194"/>
    </row>
    <row r="35" spans="1:24">
      <c r="A35" s="237">
        <v>8.1999999999999993</v>
      </c>
      <c r="B35" s="690" t="s">
        <v>178</v>
      </c>
      <c r="C35" s="691"/>
      <c r="D35" s="692"/>
      <c r="E35" s="241">
        <f>M65</f>
        <v>12</v>
      </c>
      <c r="F35" s="241">
        <f>N65</f>
        <v>8</v>
      </c>
      <c r="G35" s="241">
        <f>O65</f>
        <v>4</v>
      </c>
      <c r="H35" s="241">
        <f>P65</f>
        <v>9</v>
      </c>
      <c r="I35" s="241">
        <f>P65</f>
        <v>9</v>
      </c>
      <c r="J35" s="241">
        <f>O65</f>
        <v>4</v>
      </c>
      <c r="K35" s="194"/>
      <c r="L35" s="213"/>
      <c r="M35" s="213"/>
      <c r="N35" s="213"/>
      <c r="O35" s="213"/>
      <c r="P35" s="236"/>
      <c r="Q35" s="192"/>
      <c r="R35" s="194"/>
      <c r="V35" s="195"/>
      <c r="W35" s="196"/>
      <c r="X35" s="194"/>
    </row>
    <row r="36" spans="1:24" ht="15.6">
      <c r="A36" s="237">
        <v>9.1</v>
      </c>
      <c r="B36" s="687" t="s">
        <v>334</v>
      </c>
      <c r="C36" s="688"/>
      <c r="D36" s="689"/>
      <c r="E36" s="241">
        <f>M68</f>
        <v>9</v>
      </c>
      <c r="F36" s="241">
        <f>N68</f>
        <v>6</v>
      </c>
      <c r="G36" s="241">
        <f>O68</f>
        <v>3</v>
      </c>
      <c r="H36" s="241">
        <f>P68</f>
        <v>7</v>
      </c>
      <c r="I36" s="241">
        <f>P68</f>
        <v>7</v>
      </c>
      <c r="J36" s="241">
        <f>O68</f>
        <v>3</v>
      </c>
      <c r="K36" s="194"/>
      <c r="L36" s="213"/>
      <c r="M36" s="242"/>
      <c r="N36" s="242"/>
      <c r="O36" s="213"/>
      <c r="P36" s="236"/>
      <c r="Q36" s="192"/>
      <c r="R36" s="194"/>
      <c r="V36" s="195"/>
      <c r="W36" s="196"/>
      <c r="X36" s="194"/>
    </row>
    <row r="37" spans="1:24">
      <c r="A37" s="245">
        <v>10.1</v>
      </c>
      <c r="B37" s="687" t="s">
        <v>165</v>
      </c>
      <c r="C37" s="688"/>
      <c r="D37" s="689"/>
      <c r="E37" s="241">
        <f>M72</f>
        <v>7</v>
      </c>
      <c r="F37" s="241">
        <f>N72</f>
        <v>4</v>
      </c>
      <c r="G37" s="241">
        <f>O72</f>
        <v>3</v>
      </c>
      <c r="H37" s="241">
        <f>P72</f>
        <v>5</v>
      </c>
      <c r="I37" s="241">
        <f>P72</f>
        <v>5</v>
      </c>
      <c r="J37" s="241">
        <f>O72</f>
        <v>3</v>
      </c>
      <c r="K37" s="194"/>
      <c r="L37" s="235"/>
      <c r="M37" s="215"/>
      <c r="N37" s="215"/>
      <c r="O37" s="213"/>
      <c r="P37" s="236"/>
      <c r="Q37" s="192"/>
      <c r="R37" s="194"/>
      <c r="V37" s="195"/>
      <c r="W37" s="196"/>
      <c r="X37" s="194"/>
    </row>
    <row r="38" spans="1:24" ht="15" customHeight="1">
      <c r="A38" s="245">
        <v>10.199999999999999</v>
      </c>
      <c r="B38" s="690" t="s">
        <v>353</v>
      </c>
      <c r="C38" s="691"/>
      <c r="D38" s="692"/>
      <c r="E38" s="241">
        <f>M72</f>
        <v>7</v>
      </c>
      <c r="F38" s="241">
        <f>N72</f>
        <v>4</v>
      </c>
      <c r="G38" s="241">
        <f>O72</f>
        <v>3</v>
      </c>
      <c r="H38" s="241">
        <f>P72</f>
        <v>5</v>
      </c>
      <c r="I38" s="241">
        <f>P72</f>
        <v>5</v>
      </c>
      <c r="J38" s="241">
        <f>O72</f>
        <v>3</v>
      </c>
      <c r="K38" s="194"/>
      <c r="L38" s="209"/>
      <c r="M38" s="209"/>
      <c r="N38" s="213"/>
      <c r="O38" s="213"/>
      <c r="P38" s="236"/>
      <c r="Q38" s="192"/>
      <c r="R38" s="194"/>
      <c r="V38" s="195"/>
      <c r="W38" s="196"/>
      <c r="X38" s="194"/>
    </row>
    <row r="39" spans="1:24">
      <c r="A39" s="245">
        <v>11.1</v>
      </c>
      <c r="B39" s="687" t="s">
        <v>283</v>
      </c>
      <c r="C39" s="688"/>
      <c r="D39" s="689"/>
      <c r="E39" s="241">
        <f>M77</f>
        <v>4</v>
      </c>
      <c r="F39" s="241">
        <f>N77</f>
        <v>2</v>
      </c>
      <c r="G39" s="241">
        <f>O77</f>
        <v>2</v>
      </c>
      <c r="H39" s="241">
        <f>P77</f>
        <v>4</v>
      </c>
      <c r="I39" s="241">
        <f>P77</f>
        <v>4</v>
      </c>
      <c r="J39" s="241">
        <f>O77</f>
        <v>2</v>
      </c>
      <c r="K39" s="194"/>
      <c r="L39" s="213"/>
      <c r="M39" s="213"/>
      <c r="N39" s="213"/>
      <c r="P39" s="194"/>
      <c r="Q39" s="192"/>
      <c r="R39" s="194"/>
      <c r="V39" s="195"/>
      <c r="W39" s="196"/>
      <c r="X39" s="194"/>
    </row>
    <row r="40" spans="1:24" ht="15.6">
      <c r="A40" s="245">
        <v>11.2</v>
      </c>
      <c r="B40" s="687" t="s">
        <v>344</v>
      </c>
      <c r="C40" s="688"/>
      <c r="D40" s="689"/>
      <c r="E40" s="241">
        <f t="shared" ref="E40:H41" si="12">M79</f>
        <v>0</v>
      </c>
      <c r="F40" s="241">
        <f t="shared" si="12"/>
        <v>0</v>
      </c>
      <c r="G40" s="241">
        <f t="shared" si="12"/>
        <v>0</v>
      </c>
      <c r="H40" s="241">
        <f t="shared" si="12"/>
        <v>0</v>
      </c>
      <c r="I40" s="241">
        <f>P79</f>
        <v>0</v>
      </c>
      <c r="J40" s="241">
        <f>O79</f>
        <v>0</v>
      </c>
      <c r="K40" s="194"/>
      <c r="L40" s="213"/>
      <c r="M40" s="242"/>
      <c r="N40" s="242"/>
      <c r="P40" s="194"/>
      <c r="Q40" s="192"/>
      <c r="R40" s="194"/>
      <c r="V40" s="195"/>
      <c r="W40" s="196"/>
      <c r="X40" s="194"/>
    </row>
    <row r="41" spans="1:24" ht="15.6">
      <c r="A41" s="245">
        <v>11.3</v>
      </c>
      <c r="B41" s="687" t="s">
        <v>352</v>
      </c>
      <c r="C41" s="688"/>
      <c r="D41" s="689"/>
      <c r="E41" s="241">
        <f t="shared" si="12"/>
        <v>0</v>
      </c>
      <c r="F41" s="241">
        <f t="shared" si="12"/>
        <v>0</v>
      </c>
      <c r="G41" s="241">
        <f t="shared" si="12"/>
        <v>0</v>
      </c>
      <c r="H41" s="241">
        <f t="shared" si="12"/>
        <v>0</v>
      </c>
      <c r="I41" s="241">
        <f>P80</f>
        <v>0</v>
      </c>
      <c r="J41" s="241">
        <f>O80</f>
        <v>0</v>
      </c>
      <c r="K41" s="194"/>
      <c r="L41" s="209"/>
      <c r="M41" s="209"/>
      <c r="N41" s="213"/>
      <c r="P41" s="194"/>
      <c r="Q41" s="192"/>
      <c r="R41" s="194"/>
      <c r="V41" s="195"/>
      <c r="W41" s="196"/>
      <c r="X41" s="194"/>
    </row>
    <row r="42" spans="1:24">
      <c r="K42" s="194"/>
      <c r="L42" s="235"/>
      <c r="M42" s="215"/>
      <c r="N42" s="215"/>
      <c r="P42" s="194"/>
      <c r="Q42" s="192"/>
      <c r="R42" s="194"/>
      <c r="V42" s="195"/>
      <c r="W42" s="196"/>
      <c r="X42" s="194"/>
    </row>
    <row r="43" spans="1:24">
      <c r="K43" s="194"/>
      <c r="L43" s="193"/>
      <c r="P43" s="194"/>
      <c r="Q43" s="192"/>
      <c r="R43" s="194"/>
      <c r="V43" s="195"/>
      <c r="W43" s="196"/>
      <c r="X43" s="194"/>
    </row>
    <row r="44" spans="1:24" ht="15.6">
      <c r="A44" s="246" t="s">
        <v>64</v>
      </c>
      <c r="B44" s="247"/>
      <c r="C44" s="247"/>
      <c r="D44" s="247"/>
      <c r="E44" s="248"/>
      <c r="F44" s="248"/>
      <c r="G44" s="248"/>
      <c r="H44" s="248"/>
      <c r="I44" s="248"/>
      <c r="J44" s="248"/>
      <c r="K44" s="194"/>
      <c r="L44" s="193"/>
      <c r="P44" s="194"/>
      <c r="Q44" s="192"/>
      <c r="R44" s="194"/>
      <c r="V44" s="195"/>
      <c r="W44" s="196"/>
      <c r="X44" s="194"/>
    </row>
    <row r="45" spans="1:24" ht="15.6">
      <c r="B45" s="249"/>
      <c r="C45" s="213"/>
      <c r="D45" s="213"/>
      <c r="E45" s="213"/>
      <c r="F45" s="229"/>
      <c r="G45" s="230"/>
      <c r="K45" s="194"/>
      <c r="L45" s="193"/>
      <c r="P45" s="194"/>
      <c r="Q45" s="192"/>
      <c r="R45" s="194"/>
      <c r="V45" s="195"/>
      <c r="W45" s="196"/>
      <c r="X45" s="194"/>
    </row>
    <row r="46" spans="1:24" ht="52.2">
      <c r="A46" s="250" t="s">
        <v>0</v>
      </c>
      <c r="B46" s="251"/>
      <c r="C46" s="251"/>
      <c r="D46" s="252"/>
      <c r="E46" s="253" t="s">
        <v>45</v>
      </c>
      <c r="F46" s="253" t="s">
        <v>428</v>
      </c>
      <c r="G46" s="253" t="s">
        <v>15</v>
      </c>
      <c r="H46" s="253" t="s">
        <v>16</v>
      </c>
      <c r="I46" s="253" t="s">
        <v>427</v>
      </c>
      <c r="J46" s="253" t="s">
        <v>426</v>
      </c>
      <c r="K46" s="194"/>
      <c r="L46" s="193"/>
      <c r="P46" s="194"/>
      <c r="Q46" s="192"/>
      <c r="R46" s="194"/>
      <c r="V46" s="195"/>
      <c r="W46" s="196"/>
      <c r="X46" s="194"/>
    </row>
    <row r="47" spans="1:24">
      <c r="A47" s="245">
        <v>1.1000000000000001</v>
      </c>
      <c r="B47" s="687" t="s">
        <v>290</v>
      </c>
      <c r="C47" s="688"/>
      <c r="D47" s="689"/>
      <c r="E47" s="254">
        <f>R62</f>
        <v>20</v>
      </c>
      <c r="F47" s="254">
        <f t="shared" ref="F47:H47" si="13">S62</f>
        <v>15</v>
      </c>
      <c r="G47" s="254">
        <f t="shared" si="13"/>
        <v>25</v>
      </c>
      <c r="H47" s="254">
        <f t="shared" si="13"/>
        <v>35</v>
      </c>
      <c r="I47" s="254">
        <f>U62</f>
        <v>35</v>
      </c>
      <c r="J47" s="254">
        <f>T62</f>
        <v>25</v>
      </c>
      <c r="K47" s="194"/>
      <c r="L47" s="243"/>
      <c r="M47" s="213"/>
      <c r="N47" s="213"/>
      <c r="P47" s="194"/>
      <c r="Q47" s="192"/>
      <c r="R47" s="194"/>
      <c r="V47" s="195"/>
      <c r="W47" s="196"/>
      <c r="X47" s="194"/>
    </row>
    <row r="48" spans="1:24" ht="15.75" customHeight="1">
      <c r="A48" s="211">
        <v>2.1</v>
      </c>
      <c r="B48" s="687" t="s">
        <v>266</v>
      </c>
      <c r="C48" s="688"/>
      <c r="D48" s="689"/>
      <c r="E48" s="254">
        <f>R65</f>
        <v>16</v>
      </c>
      <c r="F48" s="254">
        <f t="shared" ref="F48:H48" si="14">S65</f>
        <v>12</v>
      </c>
      <c r="G48" s="254">
        <f t="shared" si="14"/>
        <v>20</v>
      </c>
      <c r="H48" s="254">
        <f t="shared" si="14"/>
        <v>28</v>
      </c>
      <c r="I48" s="254">
        <f>U65</f>
        <v>28</v>
      </c>
      <c r="J48" s="254">
        <f>T65</f>
        <v>20</v>
      </c>
      <c r="K48" s="194"/>
      <c r="L48" s="239"/>
      <c r="M48" s="239"/>
      <c r="N48" s="213"/>
      <c r="P48" s="194"/>
      <c r="Q48" s="192"/>
      <c r="R48" s="194"/>
      <c r="V48" s="195"/>
      <c r="W48" s="196"/>
      <c r="X48" s="194"/>
    </row>
    <row r="49" spans="1:24" ht="15" customHeight="1">
      <c r="A49" s="245">
        <v>3.1</v>
      </c>
      <c r="B49" s="687" t="s">
        <v>267</v>
      </c>
      <c r="C49" s="688"/>
      <c r="D49" s="689"/>
      <c r="E49" s="254">
        <f>R68</f>
        <v>6</v>
      </c>
      <c r="F49" s="254">
        <f t="shared" ref="F49:H49" si="15">S68</f>
        <v>4</v>
      </c>
      <c r="G49" s="254">
        <f t="shared" si="15"/>
        <v>7</v>
      </c>
      <c r="H49" s="254">
        <f t="shared" si="15"/>
        <v>11</v>
      </c>
      <c r="I49" s="254">
        <f>U68</f>
        <v>11</v>
      </c>
      <c r="J49" s="254">
        <f>T68</f>
        <v>7</v>
      </c>
      <c r="K49" s="194"/>
      <c r="L49" s="255"/>
      <c r="M49" s="221"/>
      <c r="N49" s="221"/>
      <c r="P49" s="194"/>
      <c r="Q49" s="192"/>
      <c r="R49" s="194"/>
      <c r="V49" s="195"/>
      <c r="W49" s="196"/>
      <c r="X49" s="194"/>
    </row>
    <row r="50" spans="1:24" ht="15.75" customHeight="1">
      <c r="A50" s="245">
        <v>3.2</v>
      </c>
      <c r="B50" s="687" t="s">
        <v>268</v>
      </c>
      <c r="C50" s="688"/>
      <c r="D50" s="689"/>
      <c r="E50" s="254">
        <f>R69</f>
        <v>6</v>
      </c>
      <c r="F50" s="254">
        <f t="shared" ref="F50:H50" si="16">S69</f>
        <v>4</v>
      </c>
      <c r="G50" s="254">
        <f t="shared" si="16"/>
        <v>7</v>
      </c>
      <c r="H50" s="254">
        <f t="shared" si="16"/>
        <v>11</v>
      </c>
      <c r="I50" s="254">
        <f>U69</f>
        <v>11</v>
      </c>
      <c r="J50" s="254">
        <f>T69</f>
        <v>7</v>
      </c>
      <c r="K50" s="194"/>
      <c r="L50" s="209"/>
      <c r="M50" s="209"/>
      <c r="N50" s="243"/>
      <c r="P50" s="194"/>
      <c r="Q50" s="192"/>
      <c r="R50" s="194"/>
      <c r="V50" s="195"/>
      <c r="W50" s="196"/>
      <c r="X50" s="194"/>
    </row>
    <row r="51" spans="1:24" ht="15" customHeight="1">
      <c r="A51" s="245">
        <v>3.3</v>
      </c>
      <c r="B51" s="687" t="s">
        <v>269</v>
      </c>
      <c r="C51" s="688"/>
      <c r="D51" s="689"/>
      <c r="E51" s="254">
        <f>R69</f>
        <v>6</v>
      </c>
      <c r="F51" s="254">
        <f t="shared" ref="F51:H51" si="17">S69</f>
        <v>4</v>
      </c>
      <c r="G51" s="254">
        <f t="shared" si="17"/>
        <v>7</v>
      </c>
      <c r="H51" s="254">
        <f t="shared" si="17"/>
        <v>11</v>
      </c>
      <c r="I51" s="254">
        <f>U69</f>
        <v>11</v>
      </c>
      <c r="J51" s="254">
        <f>T69</f>
        <v>7</v>
      </c>
      <c r="K51" s="194"/>
      <c r="L51" s="255"/>
      <c r="M51" s="221"/>
      <c r="N51" s="221"/>
      <c r="P51" s="194"/>
      <c r="Q51" s="192"/>
      <c r="R51" s="194"/>
      <c r="V51" s="195"/>
      <c r="W51" s="196"/>
      <c r="X51" s="194"/>
    </row>
    <row r="52" spans="1:24" ht="15" customHeight="1">
      <c r="A52" s="245">
        <v>4.0999999999999996</v>
      </c>
      <c r="B52" s="687" t="s">
        <v>164</v>
      </c>
      <c r="C52" s="688"/>
      <c r="D52" s="689"/>
      <c r="E52" s="254">
        <f>R72</f>
        <v>2</v>
      </c>
      <c r="F52" s="254">
        <f t="shared" ref="F52:H52" si="18">S72</f>
        <v>1.5</v>
      </c>
      <c r="G52" s="254">
        <f t="shared" si="18"/>
        <v>2.5</v>
      </c>
      <c r="H52" s="254">
        <f t="shared" si="18"/>
        <v>4</v>
      </c>
      <c r="I52" s="254">
        <f>U72</f>
        <v>4</v>
      </c>
      <c r="J52" s="254">
        <f>T72</f>
        <v>2.5</v>
      </c>
      <c r="K52" s="194"/>
      <c r="L52" s="255"/>
      <c r="M52" s="221"/>
      <c r="N52" s="221"/>
      <c r="P52" s="194"/>
      <c r="Q52" s="192"/>
      <c r="R52" s="194"/>
      <c r="V52" s="195"/>
      <c r="W52" s="196"/>
      <c r="X52" s="194"/>
    </row>
    <row r="53" spans="1:24" ht="15" customHeight="1">
      <c r="A53" s="245">
        <v>4.2</v>
      </c>
      <c r="B53" s="687" t="s">
        <v>161</v>
      </c>
      <c r="C53" s="688"/>
      <c r="D53" s="689"/>
      <c r="E53" s="254">
        <f>R73</f>
        <v>2</v>
      </c>
      <c r="F53" s="254">
        <f t="shared" ref="F53:H53" si="19">S73</f>
        <v>1.5</v>
      </c>
      <c r="G53" s="254">
        <f t="shared" si="19"/>
        <v>2.5</v>
      </c>
      <c r="H53" s="254">
        <f t="shared" si="19"/>
        <v>4</v>
      </c>
      <c r="I53" s="254">
        <f>U73</f>
        <v>4</v>
      </c>
      <c r="J53" s="254">
        <f>T73</f>
        <v>2.5</v>
      </c>
      <c r="K53" s="194"/>
      <c r="L53" s="235"/>
      <c r="M53" s="215"/>
      <c r="N53" s="215"/>
      <c r="P53" s="194"/>
      <c r="Q53" s="192"/>
      <c r="R53" s="194"/>
      <c r="V53" s="195"/>
      <c r="W53" s="196"/>
      <c r="X53" s="194"/>
    </row>
    <row r="54" spans="1:24">
      <c r="A54" s="245">
        <v>4.3</v>
      </c>
      <c r="B54" s="687" t="s">
        <v>155</v>
      </c>
      <c r="C54" s="688"/>
      <c r="D54" s="689"/>
      <c r="E54" s="254">
        <f>R74</f>
        <v>2</v>
      </c>
      <c r="F54" s="254">
        <f t="shared" ref="F54:H54" si="20">S74</f>
        <v>1.5</v>
      </c>
      <c r="G54" s="254">
        <f t="shared" si="20"/>
        <v>2.5</v>
      </c>
      <c r="H54" s="254">
        <f t="shared" si="20"/>
        <v>4</v>
      </c>
      <c r="I54" s="254">
        <f>U74</f>
        <v>4</v>
      </c>
      <c r="J54" s="254">
        <f>T74</f>
        <v>2.5</v>
      </c>
      <c r="K54" s="194"/>
      <c r="L54" s="193"/>
      <c r="P54" s="194"/>
      <c r="Q54" s="192"/>
      <c r="R54" s="194"/>
      <c r="V54" s="195"/>
      <c r="W54" s="196"/>
      <c r="X54" s="194"/>
    </row>
    <row r="55" spans="1:24">
      <c r="A55" s="245">
        <v>4.4000000000000004</v>
      </c>
      <c r="B55" s="687" t="s">
        <v>270</v>
      </c>
      <c r="C55" s="688"/>
      <c r="D55" s="689"/>
      <c r="E55" s="254">
        <f>R75</f>
        <v>2</v>
      </c>
      <c r="F55" s="254">
        <f t="shared" ref="F55:H55" si="21">S75</f>
        <v>1.5</v>
      </c>
      <c r="G55" s="254">
        <f t="shared" si="21"/>
        <v>2.5</v>
      </c>
      <c r="H55" s="254">
        <f t="shared" si="21"/>
        <v>4</v>
      </c>
      <c r="I55" s="254">
        <f>U75</f>
        <v>4</v>
      </c>
      <c r="J55" s="254">
        <f>T75</f>
        <v>2.5</v>
      </c>
      <c r="K55" s="194"/>
      <c r="L55" s="193"/>
      <c r="P55" s="194"/>
      <c r="Q55" s="192"/>
      <c r="R55" s="194"/>
      <c r="V55" s="195"/>
      <c r="W55" s="196"/>
      <c r="X55" s="194"/>
    </row>
    <row r="56" spans="1:24">
      <c r="W56" s="195"/>
    </row>
    <row r="57" spans="1:24">
      <c r="W57" s="195"/>
    </row>
    <row r="58" spans="1:24">
      <c r="W58" s="195"/>
    </row>
    <row r="59" spans="1:24" ht="17.399999999999999">
      <c r="B59" s="256" t="s">
        <v>143</v>
      </c>
      <c r="C59" s="256"/>
      <c r="D59" s="256"/>
      <c r="E59" s="256"/>
      <c r="F59" s="256"/>
      <c r="G59" s="707" t="s">
        <v>189</v>
      </c>
      <c r="H59" s="708"/>
      <c r="I59" s="708"/>
      <c r="J59" s="708"/>
      <c r="K59" s="709"/>
      <c r="L59" s="710" t="s">
        <v>188</v>
      </c>
      <c r="M59" s="711"/>
      <c r="N59" s="711"/>
      <c r="O59" s="711"/>
      <c r="P59" s="712"/>
      <c r="Q59" s="707" t="s">
        <v>145</v>
      </c>
      <c r="R59" s="708"/>
      <c r="S59" s="708"/>
      <c r="T59" s="708"/>
      <c r="U59" s="709"/>
    </row>
    <row r="60" spans="1:24" ht="62.4">
      <c r="B60" s="257" t="s">
        <v>112</v>
      </c>
      <c r="C60" s="258" t="s">
        <v>45</v>
      </c>
      <c r="D60" s="258" t="s">
        <v>428</v>
      </c>
      <c r="E60" s="258" t="s">
        <v>425</v>
      </c>
      <c r="F60" s="258" t="s">
        <v>187</v>
      </c>
      <c r="G60" s="257" t="s">
        <v>112</v>
      </c>
      <c r="H60" s="258" t="s">
        <v>45</v>
      </c>
      <c r="I60" s="258" t="s">
        <v>428</v>
      </c>
      <c r="J60" s="258" t="s">
        <v>425</v>
      </c>
      <c r="K60" s="258" t="s">
        <v>187</v>
      </c>
      <c r="L60" s="257" t="s">
        <v>112</v>
      </c>
      <c r="M60" s="258" t="s">
        <v>45</v>
      </c>
      <c r="N60" s="258" t="s">
        <v>428</v>
      </c>
      <c r="O60" s="258" t="s">
        <v>425</v>
      </c>
      <c r="P60" s="258" t="s">
        <v>187</v>
      </c>
      <c r="Q60" s="257" t="s">
        <v>112</v>
      </c>
      <c r="R60" s="258" t="s">
        <v>45</v>
      </c>
      <c r="S60" s="258" t="s">
        <v>428</v>
      </c>
      <c r="T60" s="258" t="s">
        <v>425</v>
      </c>
      <c r="U60" s="258" t="s">
        <v>187</v>
      </c>
    </row>
    <row r="61" spans="1:24" ht="15.6">
      <c r="B61" s="259" t="s">
        <v>186</v>
      </c>
      <c r="C61" s="260"/>
      <c r="D61" s="260"/>
      <c r="E61" s="260"/>
      <c r="F61" s="260"/>
      <c r="G61" s="260"/>
      <c r="H61" s="260"/>
      <c r="I61" s="260"/>
      <c r="J61" s="260"/>
      <c r="K61" s="260"/>
      <c r="L61" s="260"/>
      <c r="M61" s="260"/>
      <c r="N61" s="260"/>
      <c r="O61" s="260"/>
      <c r="P61" s="260"/>
      <c r="Q61" s="260"/>
      <c r="R61" s="260"/>
      <c r="S61" s="260"/>
      <c r="T61" s="260"/>
      <c r="U61" s="261"/>
    </row>
    <row r="62" spans="1:24" ht="15" customHeight="1">
      <c r="B62" s="667" t="s">
        <v>185</v>
      </c>
      <c r="C62" s="665">
        <v>35</v>
      </c>
      <c r="D62" s="665">
        <v>45</v>
      </c>
      <c r="E62" s="665">
        <v>50</v>
      </c>
      <c r="F62" s="665">
        <v>35</v>
      </c>
      <c r="G62" s="667" t="s">
        <v>185</v>
      </c>
      <c r="H62" s="673">
        <v>30</v>
      </c>
      <c r="I62" s="665">
        <v>30</v>
      </c>
      <c r="J62" s="665">
        <v>20</v>
      </c>
      <c r="K62" s="665">
        <v>20</v>
      </c>
      <c r="L62" s="667" t="s">
        <v>185</v>
      </c>
      <c r="M62" s="673">
        <v>15</v>
      </c>
      <c r="N62" s="665">
        <v>10</v>
      </c>
      <c r="O62" s="665">
        <v>5</v>
      </c>
      <c r="P62" s="665">
        <v>10</v>
      </c>
      <c r="Q62" s="667" t="s">
        <v>185</v>
      </c>
      <c r="R62" s="673">
        <v>20</v>
      </c>
      <c r="S62" s="673">
        <v>15</v>
      </c>
      <c r="T62" s="673">
        <v>25</v>
      </c>
      <c r="U62" s="673">
        <v>35</v>
      </c>
    </row>
    <row r="63" spans="1:24" ht="15" customHeight="1">
      <c r="B63" s="667"/>
      <c r="C63" s="665"/>
      <c r="D63" s="665"/>
      <c r="E63" s="665"/>
      <c r="F63" s="665"/>
      <c r="G63" s="667"/>
      <c r="H63" s="673"/>
      <c r="I63" s="665"/>
      <c r="J63" s="665"/>
      <c r="K63" s="665"/>
      <c r="L63" s="667"/>
      <c r="M63" s="673"/>
      <c r="N63" s="665"/>
      <c r="O63" s="665"/>
      <c r="P63" s="665"/>
      <c r="Q63" s="667"/>
      <c r="R63" s="673"/>
      <c r="S63" s="673"/>
      <c r="T63" s="673"/>
      <c r="U63" s="673"/>
    </row>
    <row r="64" spans="1:24" ht="15.6">
      <c r="B64" s="259" t="s">
        <v>184</v>
      </c>
      <c r="C64" s="262"/>
      <c r="D64" s="262"/>
      <c r="E64" s="262"/>
      <c r="F64" s="262"/>
      <c r="G64" s="262"/>
      <c r="H64" s="262"/>
      <c r="I64" s="262"/>
      <c r="J64" s="262"/>
      <c r="K64" s="262"/>
      <c r="L64" s="262"/>
      <c r="M64" s="262"/>
      <c r="N64" s="262"/>
      <c r="O64" s="262"/>
      <c r="P64" s="262"/>
      <c r="Q64" s="262"/>
      <c r="R64" s="262"/>
      <c r="S64" s="262"/>
      <c r="T64" s="262"/>
      <c r="U64" s="263"/>
    </row>
    <row r="65" spans="2:21" ht="30" customHeight="1">
      <c r="B65" s="371" t="s">
        <v>183</v>
      </c>
      <c r="C65" s="665">
        <v>33</v>
      </c>
      <c r="D65" s="665">
        <v>42</v>
      </c>
      <c r="E65" s="665">
        <v>48</v>
      </c>
      <c r="F65" s="665">
        <v>34</v>
      </c>
      <c r="G65" s="371" t="s">
        <v>182</v>
      </c>
      <c r="H65" s="673">
        <v>29</v>
      </c>
      <c r="I65" s="665">
        <v>28</v>
      </c>
      <c r="J65" s="665">
        <v>18</v>
      </c>
      <c r="K65" s="665">
        <v>19</v>
      </c>
      <c r="L65" s="371" t="s">
        <v>181</v>
      </c>
      <c r="M65" s="673">
        <v>12</v>
      </c>
      <c r="N65" s="665">
        <v>8</v>
      </c>
      <c r="O65" s="665">
        <v>4</v>
      </c>
      <c r="P65" s="665">
        <v>9</v>
      </c>
      <c r="Q65" s="667" t="s">
        <v>180</v>
      </c>
      <c r="R65" s="673">
        <v>16</v>
      </c>
      <c r="S65" s="673">
        <v>12</v>
      </c>
      <c r="T65" s="673">
        <v>20</v>
      </c>
      <c r="U65" s="673">
        <v>28</v>
      </c>
    </row>
    <row r="66" spans="2:21" ht="30">
      <c r="B66" s="371" t="s">
        <v>179</v>
      </c>
      <c r="C66" s="665"/>
      <c r="D66" s="665"/>
      <c r="E66" s="665"/>
      <c r="F66" s="665"/>
      <c r="G66" s="371" t="s">
        <v>178</v>
      </c>
      <c r="H66" s="673"/>
      <c r="I66" s="665"/>
      <c r="J66" s="665"/>
      <c r="K66" s="665"/>
      <c r="L66" s="371" t="s">
        <v>178</v>
      </c>
      <c r="M66" s="673"/>
      <c r="N66" s="665"/>
      <c r="O66" s="665"/>
      <c r="P66" s="665"/>
      <c r="Q66" s="667"/>
      <c r="R66" s="673"/>
      <c r="S66" s="673"/>
      <c r="T66" s="673"/>
      <c r="U66" s="673"/>
    </row>
    <row r="67" spans="2:21" ht="15.6">
      <c r="B67" s="259" t="s">
        <v>177</v>
      </c>
      <c r="C67" s="262"/>
      <c r="D67" s="262"/>
      <c r="E67" s="262"/>
      <c r="F67" s="262"/>
      <c r="G67" s="262"/>
      <c r="H67" s="262"/>
      <c r="I67" s="262"/>
      <c r="J67" s="262"/>
      <c r="K67" s="262"/>
      <c r="L67" s="262"/>
      <c r="M67" s="262"/>
      <c r="N67" s="262"/>
      <c r="O67" s="262"/>
      <c r="P67" s="262"/>
      <c r="Q67" s="262"/>
      <c r="R67" s="262"/>
      <c r="S67" s="262"/>
      <c r="T67" s="262"/>
      <c r="U67" s="263"/>
    </row>
    <row r="68" spans="2:21" ht="15.6">
      <c r="B68" s="373" t="s">
        <v>176</v>
      </c>
      <c r="C68" s="665">
        <v>32</v>
      </c>
      <c r="D68" s="665">
        <v>39</v>
      </c>
      <c r="E68" s="665">
        <v>46</v>
      </c>
      <c r="F68" s="665">
        <v>33</v>
      </c>
      <c r="G68" s="373" t="s">
        <v>175</v>
      </c>
      <c r="H68" s="673">
        <v>27</v>
      </c>
      <c r="I68" s="665">
        <v>27</v>
      </c>
      <c r="J68" s="665">
        <v>17</v>
      </c>
      <c r="K68" s="665">
        <v>18</v>
      </c>
      <c r="L68" s="666" t="s">
        <v>174</v>
      </c>
      <c r="M68" s="673">
        <v>9</v>
      </c>
      <c r="N68" s="665">
        <v>6</v>
      </c>
      <c r="O68" s="665">
        <v>3</v>
      </c>
      <c r="P68" s="665">
        <v>7</v>
      </c>
      <c r="Q68" s="373" t="s">
        <v>173</v>
      </c>
      <c r="R68" s="372">
        <v>6</v>
      </c>
      <c r="S68" s="372">
        <v>4</v>
      </c>
      <c r="T68" s="372">
        <v>7</v>
      </c>
      <c r="U68" s="372">
        <v>11</v>
      </c>
    </row>
    <row r="69" spans="2:21" ht="15" customHeight="1">
      <c r="B69" s="373" t="s">
        <v>172</v>
      </c>
      <c r="C69" s="665"/>
      <c r="D69" s="665"/>
      <c r="E69" s="665"/>
      <c r="F69" s="665"/>
      <c r="G69" s="666" t="s">
        <v>171</v>
      </c>
      <c r="H69" s="673"/>
      <c r="I69" s="665"/>
      <c r="J69" s="665"/>
      <c r="K69" s="665"/>
      <c r="L69" s="666"/>
      <c r="M69" s="673"/>
      <c r="N69" s="665"/>
      <c r="O69" s="665"/>
      <c r="P69" s="665"/>
      <c r="Q69" s="666" t="s">
        <v>170</v>
      </c>
      <c r="R69" s="705">
        <v>6</v>
      </c>
      <c r="S69" s="705">
        <v>4</v>
      </c>
      <c r="T69" s="705">
        <v>7</v>
      </c>
      <c r="U69" s="705">
        <v>11</v>
      </c>
    </row>
    <row r="70" spans="2:21" ht="15" customHeight="1">
      <c r="B70" s="373" t="s">
        <v>169</v>
      </c>
      <c r="C70" s="665"/>
      <c r="D70" s="665"/>
      <c r="E70" s="665"/>
      <c r="F70" s="665"/>
      <c r="G70" s="666"/>
      <c r="H70" s="673"/>
      <c r="I70" s="665"/>
      <c r="J70" s="665"/>
      <c r="K70" s="665"/>
      <c r="L70" s="666"/>
      <c r="M70" s="673"/>
      <c r="N70" s="665"/>
      <c r="O70" s="665"/>
      <c r="P70" s="665"/>
      <c r="Q70" s="666"/>
      <c r="R70" s="706"/>
      <c r="S70" s="706"/>
      <c r="T70" s="706"/>
      <c r="U70" s="706"/>
    </row>
    <row r="71" spans="2:21" ht="15.6">
      <c r="B71" s="259" t="s">
        <v>168</v>
      </c>
      <c r="C71" s="262"/>
      <c r="D71" s="262"/>
      <c r="E71" s="262"/>
      <c r="F71" s="262"/>
      <c r="G71" s="262"/>
      <c r="H71" s="262"/>
      <c r="I71" s="262"/>
      <c r="J71" s="262"/>
      <c r="K71" s="262"/>
      <c r="L71" s="262"/>
      <c r="M71" s="262"/>
      <c r="N71" s="262"/>
      <c r="O71" s="262"/>
      <c r="P71" s="262"/>
      <c r="Q71" s="262"/>
      <c r="R71" s="262"/>
      <c r="S71" s="262"/>
      <c r="T71" s="262"/>
      <c r="U71" s="263"/>
    </row>
    <row r="72" spans="2:21" ht="15.6">
      <c r="B72" s="667" t="s">
        <v>167</v>
      </c>
      <c r="C72" s="665">
        <v>29</v>
      </c>
      <c r="D72" s="665">
        <v>35</v>
      </c>
      <c r="E72" s="665">
        <v>41</v>
      </c>
      <c r="F72" s="665">
        <v>32</v>
      </c>
      <c r="G72" s="371" t="s">
        <v>166</v>
      </c>
      <c r="H72" s="673">
        <v>26</v>
      </c>
      <c r="I72" s="670">
        <v>25</v>
      </c>
      <c r="J72" s="670">
        <v>16</v>
      </c>
      <c r="K72" s="670">
        <v>17</v>
      </c>
      <c r="L72" s="371" t="s">
        <v>165</v>
      </c>
      <c r="M72" s="673">
        <v>7</v>
      </c>
      <c r="N72" s="670">
        <v>4</v>
      </c>
      <c r="O72" s="670">
        <v>3</v>
      </c>
      <c r="P72" s="670">
        <v>5</v>
      </c>
      <c r="Q72" s="371" t="s">
        <v>164</v>
      </c>
      <c r="R72" s="374">
        <v>2</v>
      </c>
      <c r="S72" s="374">
        <v>1.5</v>
      </c>
      <c r="T72" s="374">
        <v>2.5</v>
      </c>
      <c r="U72" s="374">
        <v>4</v>
      </c>
    </row>
    <row r="73" spans="2:21" ht="45">
      <c r="B73" s="667"/>
      <c r="C73" s="665"/>
      <c r="D73" s="665"/>
      <c r="E73" s="665"/>
      <c r="F73" s="665"/>
      <c r="G73" s="371" t="s">
        <v>163</v>
      </c>
      <c r="H73" s="673"/>
      <c r="I73" s="672"/>
      <c r="J73" s="672"/>
      <c r="K73" s="672"/>
      <c r="L73" s="371" t="s">
        <v>162</v>
      </c>
      <c r="M73" s="673"/>
      <c r="N73" s="672"/>
      <c r="O73" s="672"/>
      <c r="P73" s="672"/>
      <c r="Q73" s="371" t="s">
        <v>161</v>
      </c>
      <c r="R73" s="374">
        <v>2</v>
      </c>
      <c r="S73" s="374">
        <v>1.5</v>
      </c>
      <c r="T73" s="374">
        <v>2.5</v>
      </c>
      <c r="U73" s="374">
        <v>4</v>
      </c>
    </row>
    <row r="74" spans="2:21" ht="15.6">
      <c r="B74" s="667" t="s">
        <v>160</v>
      </c>
      <c r="C74" s="665">
        <v>23</v>
      </c>
      <c r="D74" s="665">
        <v>28</v>
      </c>
      <c r="E74" s="665">
        <v>34</v>
      </c>
      <c r="F74" s="665">
        <v>26</v>
      </c>
      <c r="G74" s="371" t="s">
        <v>159</v>
      </c>
      <c r="H74" s="673"/>
      <c r="I74" s="671"/>
      <c r="J74" s="671"/>
      <c r="K74" s="671"/>
      <c r="L74" s="667" t="s">
        <v>158</v>
      </c>
      <c r="M74" s="673"/>
      <c r="N74" s="672"/>
      <c r="O74" s="672"/>
      <c r="P74" s="672"/>
      <c r="Q74" s="373" t="s">
        <v>157</v>
      </c>
      <c r="R74" s="374">
        <v>2</v>
      </c>
      <c r="S74" s="374">
        <v>1.5</v>
      </c>
      <c r="T74" s="374">
        <v>2.5</v>
      </c>
      <c r="U74" s="374">
        <v>4</v>
      </c>
    </row>
    <row r="75" spans="2:21" ht="15.6">
      <c r="B75" s="667"/>
      <c r="C75" s="665"/>
      <c r="D75" s="665"/>
      <c r="E75" s="665"/>
      <c r="F75" s="665"/>
      <c r="G75" s="371" t="s">
        <v>156</v>
      </c>
      <c r="H75" s="372">
        <v>22</v>
      </c>
      <c r="I75" s="370">
        <v>22</v>
      </c>
      <c r="J75" s="370">
        <v>13</v>
      </c>
      <c r="K75" s="370">
        <v>13</v>
      </c>
      <c r="L75" s="667"/>
      <c r="M75" s="673"/>
      <c r="N75" s="671"/>
      <c r="O75" s="671"/>
      <c r="P75" s="671"/>
      <c r="Q75" s="373" t="s">
        <v>155</v>
      </c>
      <c r="R75" s="374">
        <v>2</v>
      </c>
      <c r="S75" s="374">
        <v>1.5</v>
      </c>
      <c r="T75" s="374">
        <v>2.5</v>
      </c>
      <c r="U75" s="374">
        <v>4</v>
      </c>
    </row>
    <row r="76" spans="2:21" ht="15.6">
      <c r="B76" s="264" t="s">
        <v>154</v>
      </c>
      <c r="C76" s="265"/>
      <c r="D76" s="265"/>
      <c r="E76" s="265"/>
      <c r="F76" s="265"/>
      <c r="G76" s="265"/>
      <c r="H76" s="265"/>
      <c r="I76" s="265"/>
      <c r="J76" s="265"/>
      <c r="K76" s="265"/>
      <c r="L76" s="265"/>
      <c r="M76" s="265"/>
      <c r="N76" s="265"/>
      <c r="O76" s="265"/>
      <c r="P76" s="265"/>
      <c r="Q76" s="265"/>
      <c r="R76" s="265"/>
      <c r="S76" s="265"/>
      <c r="T76" s="265"/>
      <c r="U76" s="266"/>
    </row>
    <row r="77" spans="2:21" ht="15" customHeight="1">
      <c r="B77" s="667" t="s">
        <v>153</v>
      </c>
      <c r="C77" s="665">
        <v>20</v>
      </c>
      <c r="D77" s="665">
        <v>22</v>
      </c>
      <c r="E77" s="665">
        <v>28</v>
      </c>
      <c r="F77" s="665">
        <v>24</v>
      </c>
      <c r="G77" s="667" t="s">
        <v>152</v>
      </c>
      <c r="H77" s="665">
        <v>16</v>
      </c>
      <c r="I77" s="665">
        <v>16</v>
      </c>
      <c r="J77" s="665">
        <v>10</v>
      </c>
      <c r="K77" s="665">
        <v>12</v>
      </c>
      <c r="L77" s="668" t="s">
        <v>283</v>
      </c>
      <c r="M77" s="670">
        <v>4</v>
      </c>
      <c r="N77" s="670">
        <v>2</v>
      </c>
      <c r="O77" s="665">
        <v>2</v>
      </c>
      <c r="P77" s="665">
        <v>4</v>
      </c>
      <c r="Q77" s="675" t="s">
        <v>50</v>
      </c>
      <c r="R77" s="676"/>
      <c r="S77" s="676"/>
      <c r="T77" s="676"/>
      <c r="U77" s="677"/>
    </row>
    <row r="78" spans="2:21" ht="15" customHeight="1">
      <c r="B78" s="667"/>
      <c r="C78" s="665"/>
      <c r="D78" s="665"/>
      <c r="E78" s="665"/>
      <c r="F78" s="665"/>
      <c r="G78" s="667"/>
      <c r="H78" s="665"/>
      <c r="I78" s="665"/>
      <c r="J78" s="665"/>
      <c r="K78" s="665"/>
      <c r="L78" s="669"/>
      <c r="M78" s="671"/>
      <c r="N78" s="671"/>
      <c r="O78" s="665"/>
      <c r="P78" s="665"/>
      <c r="Q78" s="678"/>
      <c r="R78" s="679"/>
      <c r="S78" s="679"/>
      <c r="T78" s="679"/>
      <c r="U78" s="680"/>
    </row>
    <row r="79" spans="2:21" ht="15" customHeight="1">
      <c r="B79" s="667" t="s">
        <v>151</v>
      </c>
      <c r="C79" s="665">
        <v>10</v>
      </c>
      <c r="D79" s="665">
        <v>10</v>
      </c>
      <c r="E79" s="665">
        <v>15</v>
      </c>
      <c r="F79" s="665">
        <v>11</v>
      </c>
      <c r="G79" s="667" t="s">
        <v>150</v>
      </c>
      <c r="H79" s="665">
        <v>5</v>
      </c>
      <c r="I79" s="670">
        <v>5</v>
      </c>
      <c r="J79" s="670">
        <v>5</v>
      </c>
      <c r="K79" s="670">
        <v>4</v>
      </c>
      <c r="L79" s="668" t="s">
        <v>417</v>
      </c>
      <c r="M79" s="670">
        <v>0</v>
      </c>
      <c r="N79" s="670">
        <v>0</v>
      </c>
      <c r="O79" s="670">
        <v>0</v>
      </c>
      <c r="P79" s="670">
        <v>0</v>
      </c>
      <c r="Q79" s="678"/>
      <c r="R79" s="679"/>
      <c r="S79" s="679"/>
      <c r="T79" s="679"/>
      <c r="U79" s="680"/>
    </row>
    <row r="80" spans="2:21" ht="15" customHeight="1">
      <c r="B80" s="667"/>
      <c r="C80" s="665"/>
      <c r="D80" s="665"/>
      <c r="E80" s="665"/>
      <c r="F80" s="665"/>
      <c r="G80" s="667"/>
      <c r="H80" s="665"/>
      <c r="I80" s="671"/>
      <c r="J80" s="671"/>
      <c r="K80" s="671"/>
      <c r="L80" s="674"/>
      <c r="M80" s="672"/>
      <c r="N80" s="672"/>
      <c r="O80" s="672"/>
      <c r="P80" s="672"/>
      <c r="Q80" s="678"/>
      <c r="R80" s="679"/>
      <c r="S80" s="679"/>
      <c r="T80" s="679"/>
      <c r="U80" s="680"/>
    </row>
    <row r="81" spans="2:21" ht="15.6">
      <c r="B81" s="667"/>
      <c r="C81" s="665"/>
      <c r="D81" s="665"/>
      <c r="E81" s="665"/>
      <c r="F81" s="665"/>
      <c r="G81" s="371" t="s">
        <v>149</v>
      </c>
      <c r="H81" s="370">
        <v>0</v>
      </c>
      <c r="I81" s="370">
        <v>0</v>
      </c>
      <c r="J81" s="370">
        <v>0</v>
      </c>
      <c r="K81" s="370">
        <v>0</v>
      </c>
      <c r="L81" s="669"/>
      <c r="M81" s="671"/>
      <c r="N81" s="671"/>
      <c r="O81" s="671"/>
      <c r="P81" s="671"/>
      <c r="Q81" s="681"/>
      <c r="R81" s="682"/>
      <c r="S81" s="682"/>
      <c r="T81" s="682"/>
      <c r="U81" s="683"/>
    </row>
  </sheetData>
  <mergeCells count="148">
    <mergeCell ref="Q59:U59"/>
    <mergeCell ref="Q62:Q63"/>
    <mergeCell ref="R62:R63"/>
    <mergeCell ref="S62:S63"/>
    <mergeCell ref="T62:T63"/>
    <mergeCell ref="U62:U63"/>
    <mergeCell ref="G59:K59"/>
    <mergeCell ref="L59:P59"/>
    <mergeCell ref="B62:B63"/>
    <mergeCell ref="C62:C63"/>
    <mergeCell ref="D62:D63"/>
    <mergeCell ref="E62:E63"/>
    <mergeCell ref="F62:F63"/>
    <mergeCell ref="G62:G63"/>
    <mergeCell ref="H62:H63"/>
    <mergeCell ref="I62:I63"/>
    <mergeCell ref="J62:J63"/>
    <mergeCell ref="K62:K63"/>
    <mergeCell ref="L62:L63"/>
    <mergeCell ref="M62:M63"/>
    <mergeCell ref="N62:N63"/>
    <mergeCell ref="O62:O63"/>
    <mergeCell ref="P62:P63"/>
    <mergeCell ref="Q65:Q66"/>
    <mergeCell ref="R65:R66"/>
    <mergeCell ref="S65:S66"/>
    <mergeCell ref="T65:T66"/>
    <mergeCell ref="U65:U66"/>
    <mergeCell ref="Q69:Q70"/>
    <mergeCell ref="R69:R70"/>
    <mergeCell ref="S69:S70"/>
    <mergeCell ref="T69:T70"/>
    <mergeCell ref="U69:U70"/>
    <mergeCell ref="B21:D21"/>
    <mergeCell ref="B22:D22"/>
    <mergeCell ref="B23:D23"/>
    <mergeCell ref="B24:D24"/>
    <mergeCell ref="B25:D25"/>
    <mergeCell ref="B26:D26"/>
    <mergeCell ref="B27:D27"/>
    <mergeCell ref="B28:D28"/>
    <mergeCell ref="B55:D55"/>
    <mergeCell ref="B47:D47"/>
    <mergeCell ref="B48:D48"/>
    <mergeCell ref="B49:D49"/>
    <mergeCell ref="B50:D50"/>
    <mergeCell ref="B51:D51"/>
    <mergeCell ref="B52:D52"/>
    <mergeCell ref="B53:D53"/>
    <mergeCell ref="B54:D54"/>
    <mergeCell ref="B41:D41"/>
    <mergeCell ref="B6:D6"/>
    <mergeCell ref="B7:D7"/>
    <mergeCell ref="B8:D8"/>
    <mergeCell ref="B9:D9"/>
    <mergeCell ref="B10:D10"/>
    <mergeCell ref="B11:D11"/>
    <mergeCell ref="B14:D14"/>
    <mergeCell ref="B15:D15"/>
    <mergeCell ref="B13:D13"/>
    <mergeCell ref="Q77:U81"/>
    <mergeCell ref="B29:D29"/>
    <mergeCell ref="B30:D30"/>
    <mergeCell ref="B31:D31"/>
    <mergeCell ref="B32:D32"/>
    <mergeCell ref="B33:D33"/>
    <mergeCell ref="B34:D34"/>
    <mergeCell ref="B35:D35"/>
    <mergeCell ref="B36:D36"/>
    <mergeCell ref="B37:D37"/>
    <mergeCell ref="B38:D38"/>
    <mergeCell ref="B39:D39"/>
    <mergeCell ref="B40:D40"/>
    <mergeCell ref="B79:B81"/>
    <mergeCell ref="C79:C81"/>
    <mergeCell ref="D79:D81"/>
    <mergeCell ref="E79:E81"/>
    <mergeCell ref="F79:F81"/>
    <mergeCell ref="G79:G80"/>
    <mergeCell ref="H79:H80"/>
    <mergeCell ref="I79:I80"/>
    <mergeCell ref="B72:B73"/>
    <mergeCell ref="C72:C73"/>
    <mergeCell ref="D72:D73"/>
    <mergeCell ref="L79:L81"/>
    <mergeCell ref="M79:M81"/>
    <mergeCell ref="N79:N81"/>
    <mergeCell ref="O79:O81"/>
    <mergeCell ref="P79:P81"/>
    <mergeCell ref="K79:K80"/>
    <mergeCell ref="B74:B75"/>
    <mergeCell ref="C74:C75"/>
    <mergeCell ref="D74:D75"/>
    <mergeCell ref="E74:E75"/>
    <mergeCell ref="F74:F75"/>
    <mergeCell ref="B77:B78"/>
    <mergeCell ref="C77:C78"/>
    <mergeCell ref="D77:D78"/>
    <mergeCell ref="J79:J80"/>
    <mergeCell ref="E77:E78"/>
    <mergeCell ref="F77:F78"/>
    <mergeCell ref="G77:G78"/>
    <mergeCell ref="H77:H78"/>
    <mergeCell ref="I77:I78"/>
    <mergeCell ref="J77:J78"/>
    <mergeCell ref="J72:J74"/>
    <mergeCell ref="H72:H74"/>
    <mergeCell ref="I72:I74"/>
    <mergeCell ref="E72:E73"/>
    <mergeCell ref="F72:F73"/>
    <mergeCell ref="C65:C66"/>
    <mergeCell ref="D65:D66"/>
    <mergeCell ref="E65:E66"/>
    <mergeCell ref="F65:F66"/>
    <mergeCell ref="H65:H66"/>
    <mergeCell ref="I65:I66"/>
    <mergeCell ref="J65:J66"/>
    <mergeCell ref="C68:C70"/>
    <mergeCell ref="D68:D70"/>
    <mergeCell ref="E68:E70"/>
    <mergeCell ref="F68:F70"/>
    <mergeCell ref="H68:H70"/>
    <mergeCell ref="I68:I70"/>
    <mergeCell ref="J68:J70"/>
    <mergeCell ref="K68:K70"/>
    <mergeCell ref="L68:L70"/>
    <mergeCell ref="G69:G70"/>
    <mergeCell ref="N65:N66"/>
    <mergeCell ref="O65:O66"/>
    <mergeCell ref="P65:P66"/>
    <mergeCell ref="L74:L75"/>
    <mergeCell ref="K77:K78"/>
    <mergeCell ref="L77:L78"/>
    <mergeCell ref="M77:M78"/>
    <mergeCell ref="N77:N78"/>
    <mergeCell ref="O77:O78"/>
    <mergeCell ref="P77:P78"/>
    <mergeCell ref="K72:K74"/>
    <mergeCell ref="O68:O70"/>
    <mergeCell ref="P68:P70"/>
    <mergeCell ref="M72:M75"/>
    <mergeCell ref="N72:N75"/>
    <mergeCell ref="O72:O75"/>
    <mergeCell ref="P72:P75"/>
    <mergeCell ref="M68:M70"/>
    <mergeCell ref="N68:N70"/>
    <mergeCell ref="K65:K66"/>
    <mergeCell ref="M65:M6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73"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8" width="0" style="3" hidden="1" customWidth="1"/>
    <col min="19" max="16384" width="9.109375" style="3"/>
  </cols>
  <sheetData>
    <row r="1" spans="1:16" ht="15.6">
      <c r="A1" s="377" t="s">
        <v>90</v>
      </c>
      <c r="B1" s="378"/>
      <c r="C1" s="378"/>
      <c r="D1" s="378"/>
      <c r="E1" s="378"/>
      <c r="F1" s="378"/>
      <c r="G1" s="378"/>
      <c r="H1" s="379"/>
      <c r="K1" s="3" t="s">
        <v>41</v>
      </c>
    </row>
    <row r="2" spans="1:16">
      <c r="A2" s="380"/>
      <c r="B2" s="281"/>
      <c r="C2" s="281"/>
      <c r="D2" s="281"/>
      <c r="E2" s="281"/>
      <c r="F2" s="281"/>
      <c r="G2" s="282"/>
      <c r="H2" s="283"/>
      <c r="J2" s="6"/>
      <c r="K2" s="6" t="s">
        <v>428</v>
      </c>
    </row>
    <row r="3" spans="1:16" ht="15.6">
      <c r="A3" s="381" t="s">
        <v>378</v>
      </c>
      <c r="B3" s="281"/>
      <c r="C3" s="281"/>
      <c r="D3" s="349" t="s">
        <v>143</v>
      </c>
      <c r="E3" s="349" t="s">
        <v>144</v>
      </c>
      <c r="F3" s="349" t="s">
        <v>145</v>
      </c>
      <c r="G3" s="306" t="s">
        <v>105</v>
      </c>
      <c r="H3" s="292" t="s">
        <v>63</v>
      </c>
      <c r="J3" s="6"/>
      <c r="K3" s="6" t="s">
        <v>45</v>
      </c>
    </row>
    <row r="4" spans="1:16" ht="15.6">
      <c r="A4" s="862">
        <f>Summary!A6</f>
        <v>0</v>
      </c>
      <c r="B4" s="863"/>
      <c r="C4" s="281"/>
      <c r="D4" s="78">
        <f>H84</f>
        <v>0</v>
      </c>
      <c r="E4" s="166">
        <f>H183</f>
        <v>0</v>
      </c>
      <c r="F4" s="133">
        <f>H220</f>
        <v>0</v>
      </c>
      <c r="G4" s="143">
        <f>H234</f>
        <v>0</v>
      </c>
      <c r="H4" s="382">
        <f>H236</f>
        <v>0</v>
      </c>
      <c r="J4" s="6"/>
      <c r="K4" s="6" t="s">
        <v>15</v>
      </c>
    </row>
    <row r="5" spans="1:16">
      <c r="A5" s="380"/>
      <c r="B5" s="281"/>
      <c r="C5" s="281"/>
      <c r="D5" s="281"/>
      <c r="E5" s="281"/>
      <c r="F5" s="281"/>
      <c r="G5" s="282"/>
      <c r="H5" s="283"/>
      <c r="J5" s="6"/>
      <c r="K5" s="6" t="s">
        <v>16</v>
      </c>
    </row>
    <row r="6" spans="1:16" s="4" customFormat="1" ht="15.6">
      <c r="A6" s="381" t="s">
        <v>91</v>
      </c>
      <c r="B6" s="313"/>
      <c r="C6" s="313"/>
      <c r="D6" s="314" t="s">
        <v>35</v>
      </c>
      <c r="E6" s="281"/>
      <c r="F6" s="281"/>
      <c r="G6" s="282"/>
      <c r="H6" s="283"/>
      <c r="J6" s="6"/>
      <c r="K6" s="6" t="s">
        <v>427</v>
      </c>
      <c r="L6" s="3"/>
      <c r="M6" s="3"/>
      <c r="N6" s="3"/>
    </row>
    <row r="7" spans="1:16" ht="15.75" customHeight="1">
      <c r="A7" s="842" t="s">
        <v>428</v>
      </c>
      <c r="B7" s="843"/>
      <c r="D7" s="835">
        <f>Summary!A103</f>
        <v>0</v>
      </c>
      <c r="E7" s="785"/>
      <c r="F7" s="785"/>
      <c r="G7" s="786"/>
      <c r="H7" s="383"/>
      <c r="J7" s="29"/>
      <c r="K7" s="29" t="s">
        <v>426</v>
      </c>
    </row>
    <row r="8" spans="1:16" ht="15.6" thickBot="1">
      <c r="A8" s="380"/>
      <c r="B8" s="315"/>
      <c r="C8" s="281"/>
      <c r="D8" s="281"/>
      <c r="E8" s="281"/>
      <c r="F8" s="281"/>
      <c r="G8" s="282"/>
      <c r="H8" s="283"/>
    </row>
    <row r="9" spans="1:16" ht="16.2" thickBot="1">
      <c r="A9" s="384" t="s">
        <v>126</v>
      </c>
      <c r="B9" s="145"/>
      <c r="C9" s="145"/>
      <c r="D9" s="145"/>
      <c r="E9" s="145"/>
      <c r="F9" s="146"/>
      <c r="G9" s="16"/>
      <c r="H9" s="385"/>
    </row>
    <row r="10" spans="1:16">
      <c r="A10" s="380"/>
      <c r="B10" s="316"/>
      <c r="C10" s="281"/>
      <c r="D10" s="281"/>
      <c r="E10" s="281"/>
      <c r="F10" s="281"/>
      <c r="G10" s="282"/>
      <c r="H10" s="283"/>
    </row>
    <row r="11" spans="1:16" ht="15.75" customHeight="1">
      <c r="A11" s="963" t="s">
        <v>0</v>
      </c>
      <c r="B11" s="964"/>
      <c r="C11" s="153"/>
      <c r="D11" s="985" t="s">
        <v>4</v>
      </c>
      <c r="E11" s="984" t="s">
        <v>81</v>
      </c>
      <c r="F11" s="984" t="s">
        <v>21</v>
      </c>
      <c r="G11" s="317"/>
      <c r="H11" s="386"/>
    </row>
    <row r="12" spans="1:16" ht="15.75" customHeight="1">
      <c r="A12" s="965"/>
      <c r="B12" s="966"/>
      <c r="C12" s="154"/>
      <c r="D12" s="986"/>
      <c r="E12" s="984"/>
      <c r="F12" s="984"/>
      <c r="G12" s="317"/>
      <c r="H12" s="386"/>
    </row>
    <row r="13" spans="1:16" s="29" customFormat="1" ht="15.6">
      <c r="A13" s="387" t="s">
        <v>128</v>
      </c>
      <c r="B13" s="180"/>
      <c r="C13" s="180"/>
      <c r="D13" s="180"/>
      <c r="E13" s="183"/>
      <c r="F13" s="183"/>
      <c r="G13" s="318"/>
      <c r="H13" s="388"/>
      <c r="O13" s="45"/>
      <c r="P13" s="45"/>
    </row>
    <row r="14" spans="1:16">
      <c r="A14" s="389">
        <v>1</v>
      </c>
      <c r="B14" s="987" t="s">
        <v>287</v>
      </c>
      <c r="C14" s="851"/>
      <c r="D14" s="149" t="s">
        <v>2</v>
      </c>
      <c r="E14" s="54" t="s">
        <v>50</v>
      </c>
      <c r="F14" s="30"/>
      <c r="G14" s="278"/>
      <c r="H14" s="304"/>
      <c r="I14" s="148" t="s">
        <v>143</v>
      </c>
      <c r="K14" s="152" t="str">
        <f>IF(F14&lt;65%,"Min. 65% coverage"," ")</f>
        <v>Min. 65% coverage</v>
      </c>
    </row>
    <row r="15" spans="1:16" ht="30.75" customHeight="1">
      <c r="A15" s="389">
        <v>2</v>
      </c>
      <c r="B15" s="987" t="s">
        <v>376</v>
      </c>
      <c r="C15" s="851"/>
      <c r="D15" s="150" t="s">
        <v>51</v>
      </c>
      <c r="E15" s="31" t="s">
        <v>50</v>
      </c>
      <c r="F15" s="547"/>
      <c r="G15" s="278"/>
      <c r="H15" s="283"/>
      <c r="I15" s="148" t="s">
        <v>144</v>
      </c>
      <c r="K15" s="152" t="str">
        <f>IF(F15&lt;65%,"Min. 80% coverage"," ")</f>
        <v>Min. 80% coverage</v>
      </c>
    </row>
    <row r="16" spans="1:16" ht="15" customHeight="1">
      <c r="A16" s="389">
        <v>3</v>
      </c>
      <c r="B16" s="987" t="s">
        <v>375</v>
      </c>
      <c r="C16" s="851"/>
      <c r="D16" s="150" t="s">
        <v>51</v>
      </c>
      <c r="E16" s="31" t="s">
        <v>50</v>
      </c>
      <c r="F16" s="547"/>
      <c r="G16" s="278"/>
      <c r="H16" s="386"/>
      <c r="I16" s="3" t="s">
        <v>143</v>
      </c>
      <c r="K16" s="152" t="str">
        <f>IF(F16&lt;65%,"Min. 65% coverage"," ")</f>
        <v>Min. 65% coverage</v>
      </c>
    </row>
    <row r="17" spans="1:19">
      <c r="A17" s="389">
        <v>4</v>
      </c>
      <c r="B17" s="886" t="s">
        <v>191</v>
      </c>
      <c r="C17" s="884"/>
      <c r="D17" s="147" t="s">
        <v>3</v>
      </c>
      <c r="E17" s="31" t="s">
        <v>50</v>
      </c>
      <c r="F17" s="547"/>
      <c r="G17" s="278"/>
      <c r="H17" s="386"/>
      <c r="I17" s="3" t="s">
        <v>145</v>
      </c>
      <c r="K17" s="152" t="str">
        <f>IF(F17&lt;65%,"Min. 65% coverage"," ")</f>
        <v>Min. 65% coverage</v>
      </c>
    </row>
    <row r="18" spans="1:19" s="29" customFormat="1" ht="15.6">
      <c r="A18" s="390" t="s">
        <v>127</v>
      </c>
      <c r="B18" s="180"/>
      <c r="C18" s="180"/>
      <c r="D18" s="180"/>
      <c r="E18" s="181"/>
      <c r="F18" s="182"/>
      <c r="G18" s="319"/>
      <c r="H18" s="388"/>
      <c r="K18" s="10"/>
      <c r="O18" s="45"/>
      <c r="P18" s="45"/>
    </row>
    <row r="19" spans="1:19" ht="32.25" customHeight="1">
      <c r="A19" s="391">
        <v>5</v>
      </c>
      <c r="B19" s="873" t="s">
        <v>288</v>
      </c>
      <c r="C19" s="989"/>
      <c r="D19" s="151" t="s">
        <v>3</v>
      </c>
      <c r="E19" s="536"/>
      <c r="F19" s="31">
        <f>IFERROR(E19/$F$115,0)</f>
        <v>0</v>
      </c>
      <c r="G19" s="278"/>
      <c r="H19" s="386"/>
      <c r="I19" s="3" t="s">
        <v>144</v>
      </c>
      <c r="K19" s="152" t="str">
        <f>IF($A$7=$K$2,IF(E19=0,"Please input wall length"," ")," ")</f>
        <v>Please input wall length</v>
      </c>
    </row>
    <row r="20" spans="1:19">
      <c r="A20" s="391">
        <v>6</v>
      </c>
      <c r="B20" s="987" t="s">
        <v>289</v>
      </c>
      <c r="C20" s="851"/>
      <c r="D20" s="190" t="s">
        <v>51</v>
      </c>
      <c r="E20" s="31" t="s">
        <v>50</v>
      </c>
      <c r="F20" s="30"/>
      <c r="G20" s="278"/>
      <c r="H20" s="386"/>
      <c r="I20" s="3" t="s">
        <v>144</v>
      </c>
      <c r="K20" s="152" t="str">
        <f>IF($A$7=$K$2,IF(F20&lt;65%,"Min. 65% coverage"," ")," ")</f>
        <v>Min. 65% coverage</v>
      </c>
    </row>
    <row r="21" spans="1:19">
      <c r="A21" s="391">
        <v>7</v>
      </c>
      <c r="B21" s="886" t="s">
        <v>306</v>
      </c>
      <c r="C21" s="884"/>
      <c r="D21" s="150" t="s">
        <v>51</v>
      </c>
      <c r="E21" s="31" t="s">
        <v>50</v>
      </c>
      <c r="F21" s="547"/>
      <c r="G21" s="278"/>
      <c r="H21" s="386"/>
      <c r="I21" s="3" t="s">
        <v>143</v>
      </c>
      <c r="K21" s="152" t="str">
        <f>IF($A$7=$K$2,IF(F21&lt;65%,"Min. 65% coverage"," ")," ")</f>
        <v>Min. 65% coverage</v>
      </c>
    </row>
    <row r="22" spans="1:19">
      <c r="A22" s="391" t="s">
        <v>308</v>
      </c>
      <c r="B22" s="886" t="s">
        <v>307</v>
      </c>
      <c r="C22" s="884"/>
      <c r="D22" s="150" t="s">
        <v>51</v>
      </c>
      <c r="E22" s="31" t="s">
        <v>50</v>
      </c>
      <c r="F22" s="547"/>
      <c r="G22" s="278"/>
      <c r="H22" s="386"/>
      <c r="K22" s="152"/>
    </row>
    <row r="23" spans="1:19">
      <c r="A23" s="380"/>
      <c r="B23" s="281"/>
      <c r="C23" s="281"/>
      <c r="D23" s="281"/>
      <c r="E23" s="281"/>
      <c r="F23" s="281"/>
      <c r="G23" s="282"/>
      <c r="H23" s="283"/>
      <c r="K23" s="6"/>
    </row>
    <row r="24" spans="1:19" ht="15.6">
      <c r="A24" s="392" t="s">
        <v>44</v>
      </c>
      <c r="B24" s="169"/>
      <c r="C24" s="169"/>
      <c r="D24" s="169"/>
      <c r="E24" s="169"/>
      <c r="F24" s="170" t="s">
        <v>43</v>
      </c>
      <c r="G24" s="171">
        <f>VLOOKUP($A$7,'Manpower allocation'!A4:D11,2,FALSE)*100</f>
        <v>45</v>
      </c>
      <c r="H24" s="393" t="s">
        <v>42</v>
      </c>
      <c r="J24" s="497">
        <f>VLOOKUP($A$7,'Manpower allocation'!A4:D11,2,FALSE)*100</f>
        <v>45</v>
      </c>
      <c r="K24" s="6"/>
    </row>
    <row r="25" spans="1:19" ht="15.6">
      <c r="A25" s="380"/>
      <c r="B25" s="320"/>
      <c r="C25" s="321"/>
      <c r="D25" s="281"/>
      <c r="E25" s="281"/>
      <c r="F25" s="281"/>
      <c r="G25" s="282"/>
      <c r="H25" s="283"/>
      <c r="K25" s="6"/>
    </row>
    <row r="26" spans="1:19" s="29" customFormat="1" ht="46.8">
      <c r="A26" s="394" t="s">
        <v>0</v>
      </c>
      <c r="B26" s="41"/>
      <c r="C26" s="41"/>
      <c r="D26" s="42"/>
      <c r="E26" s="43" t="s">
        <v>17</v>
      </c>
      <c r="F26" s="43" t="s">
        <v>114</v>
      </c>
      <c r="G26" s="43" t="s">
        <v>18</v>
      </c>
      <c r="H26" s="395" t="s">
        <v>53</v>
      </c>
      <c r="K26" s="44"/>
      <c r="R26" s="45"/>
      <c r="S26" s="45"/>
    </row>
    <row r="27" spans="1:19" s="29" customFormat="1" ht="15.6">
      <c r="A27" s="396" t="s">
        <v>198</v>
      </c>
      <c r="B27" s="46" t="s">
        <v>214</v>
      </c>
      <c r="C27" s="47"/>
      <c r="D27" s="47"/>
      <c r="E27" s="48"/>
      <c r="F27" s="48"/>
      <c r="G27" s="48"/>
      <c r="H27" s="397"/>
      <c r="R27" s="45"/>
      <c r="S27" s="45"/>
    </row>
    <row r="28" spans="1:19" s="29" customFormat="1" ht="15.6">
      <c r="A28" s="398">
        <v>1</v>
      </c>
      <c r="B28" s="40" t="s">
        <v>338</v>
      </c>
      <c r="C28" s="41"/>
      <c r="D28" s="49"/>
      <c r="E28" s="41"/>
      <c r="F28" s="50"/>
      <c r="G28" s="50"/>
      <c r="H28" s="399"/>
      <c r="R28" s="45"/>
      <c r="S28" s="45"/>
    </row>
    <row r="29" spans="1:19" s="29" customFormat="1">
      <c r="A29" s="980">
        <v>1.1000000000000001</v>
      </c>
      <c r="B29" s="852" t="s">
        <v>290</v>
      </c>
      <c r="C29" s="988"/>
      <c r="D29" s="988"/>
      <c r="E29" s="904">
        <f>VLOOKUP(A29,'Point Allocation'!$A$5:$J$15,MATCH(A7,'Point Allocation'!$A$5:$J$5,0),0)</f>
        <v>45</v>
      </c>
      <c r="F29" s="1014"/>
      <c r="G29" s="1015">
        <f>IFERROR(F29/$F$56,0)</f>
        <v>0</v>
      </c>
      <c r="H29" s="909">
        <f>E29*G29</f>
        <v>0</v>
      </c>
      <c r="R29" s="45"/>
      <c r="S29" s="45"/>
    </row>
    <row r="30" spans="1:19" s="29" customFormat="1" ht="15.6">
      <c r="A30" s="981"/>
      <c r="B30" s="998" t="s">
        <v>401</v>
      </c>
      <c r="C30" s="998"/>
      <c r="D30" s="998"/>
      <c r="E30" s="904"/>
      <c r="F30" s="1014"/>
      <c r="G30" s="1015">
        <f t="shared" ref="G30" si="0">IFERROR(F30/$F$56,0)</f>
        <v>0</v>
      </c>
      <c r="H30" s="909"/>
      <c r="R30" s="45"/>
      <c r="S30" s="45"/>
    </row>
    <row r="31" spans="1:19" s="29" customFormat="1" ht="15.6">
      <c r="A31" s="398">
        <v>2</v>
      </c>
      <c r="B31" s="40" t="s">
        <v>339</v>
      </c>
      <c r="C31" s="51"/>
      <c r="D31" s="49"/>
      <c r="E31" s="52"/>
      <c r="F31" s="8"/>
      <c r="G31" s="22"/>
      <c r="H31" s="400"/>
      <c r="R31" s="53"/>
      <c r="S31" s="45"/>
    </row>
    <row r="32" spans="1:19" s="29" customFormat="1">
      <c r="A32" s="401">
        <v>2.1</v>
      </c>
      <c r="B32" s="885" t="s">
        <v>203</v>
      </c>
      <c r="C32" s="886"/>
      <c r="D32" s="884"/>
      <c r="E32" s="20">
        <f>VLOOKUP(A32,'Point Allocation'!$A$5:$J$15,MATCH(A7,'Point Allocation'!$A$5:$J$5,0),0)</f>
        <v>42</v>
      </c>
      <c r="F32" s="536"/>
      <c r="G32" s="31">
        <f>IFERROR(F32/$F$56,0)</f>
        <v>0</v>
      </c>
      <c r="H32" s="405">
        <f>E32*G32</f>
        <v>0</v>
      </c>
      <c r="R32" s="53"/>
      <c r="S32" s="45"/>
    </row>
    <row r="33" spans="1:19" s="29" customFormat="1" ht="15.6">
      <c r="A33" s="398">
        <v>3</v>
      </c>
      <c r="B33" s="40" t="s">
        <v>340</v>
      </c>
      <c r="C33" s="51"/>
      <c r="D33" s="49"/>
      <c r="E33" s="52"/>
      <c r="F33" s="8"/>
      <c r="G33" s="22"/>
      <c r="H33" s="400"/>
      <c r="R33" s="53"/>
      <c r="S33" s="45"/>
    </row>
    <row r="34" spans="1:19" s="29" customFormat="1" ht="15" customHeight="1">
      <c r="A34" s="401">
        <v>3.1</v>
      </c>
      <c r="B34" s="885" t="s">
        <v>587</v>
      </c>
      <c r="C34" s="886"/>
      <c r="D34" s="884"/>
      <c r="E34" s="20">
        <f>VLOOKUP(A34,'Point Allocation'!$A$5:$J$15,MATCH(A7,'Point Allocation'!$A$5:$J$5,0),0)</f>
        <v>39</v>
      </c>
      <c r="F34" s="37"/>
      <c r="G34" s="31">
        <f>IFERROR(F34/$F$56,0)</f>
        <v>0</v>
      </c>
      <c r="H34" s="419">
        <f>E34*G34</f>
        <v>0</v>
      </c>
      <c r="R34" s="53"/>
      <c r="S34" s="45"/>
    </row>
    <row r="35" spans="1:19" s="29" customFormat="1" ht="31.5" customHeight="1">
      <c r="A35" s="967">
        <v>3.2</v>
      </c>
      <c r="B35" s="969" t="s">
        <v>330</v>
      </c>
      <c r="C35" s="970"/>
      <c r="D35" s="971"/>
      <c r="E35" s="910">
        <f>VLOOKUP(A35,'Point Allocation'!$A$5:$J$15,MATCH(A7,'Point Allocation'!$A$5:$J$5,0),0)</f>
        <v>39</v>
      </c>
      <c r="F35" s="37"/>
      <c r="G35" s="31">
        <f>IFERROR(F35/$F$56,0)</f>
        <v>0</v>
      </c>
      <c r="H35" s="945">
        <f>IF(SUM(J37:J42)&gt;=4,E35*G35,0)</f>
        <v>0</v>
      </c>
      <c r="R35" s="53"/>
      <c r="S35" s="45"/>
    </row>
    <row r="36" spans="1:19" s="29" customFormat="1" ht="31.5" customHeight="1">
      <c r="A36" s="968"/>
      <c r="B36" s="972"/>
      <c r="C36" s="973"/>
      <c r="D36" s="974"/>
      <c r="E36" s="911"/>
      <c r="F36" s="9" t="s">
        <v>130</v>
      </c>
      <c r="G36" s="54" t="s">
        <v>117</v>
      </c>
      <c r="H36" s="947"/>
      <c r="R36" s="53"/>
      <c r="S36" s="45"/>
    </row>
    <row r="37" spans="1:19" s="29" customFormat="1" ht="89.25" customHeight="1">
      <c r="A37" s="402" t="s">
        <v>192</v>
      </c>
      <c r="B37" s="1016" t="s">
        <v>359</v>
      </c>
      <c r="C37" s="1017"/>
      <c r="D37" s="1018"/>
      <c r="E37" s="958"/>
      <c r="F37" s="187" t="s">
        <v>131</v>
      </c>
      <c r="G37" s="546"/>
      <c r="H37" s="946"/>
      <c r="J37" s="55">
        <f t="shared" ref="J37:J42" si="1">IF(G37&gt;=65%,1,0)</f>
        <v>0</v>
      </c>
      <c r="R37" s="53"/>
      <c r="S37" s="45"/>
    </row>
    <row r="38" spans="1:19" s="29" customFormat="1" ht="33.75" customHeight="1">
      <c r="A38" s="402" t="s">
        <v>193</v>
      </c>
      <c r="B38" s="871" t="s">
        <v>215</v>
      </c>
      <c r="C38" s="872"/>
      <c r="D38" s="873"/>
      <c r="E38" s="958"/>
      <c r="F38" s="39" t="s">
        <v>132</v>
      </c>
      <c r="G38" s="547"/>
      <c r="H38" s="946"/>
      <c r="J38" s="55">
        <f t="shared" si="1"/>
        <v>0</v>
      </c>
      <c r="R38" s="53"/>
      <c r="S38" s="45"/>
    </row>
    <row r="39" spans="1:19" s="29" customFormat="1" ht="48.75" customHeight="1">
      <c r="A39" s="402" t="s">
        <v>201</v>
      </c>
      <c r="B39" s="871" t="s">
        <v>216</v>
      </c>
      <c r="C39" s="872"/>
      <c r="D39" s="873"/>
      <c r="E39" s="958"/>
      <c r="F39" s="39" t="s">
        <v>133</v>
      </c>
      <c r="G39" s="547"/>
      <c r="H39" s="946"/>
      <c r="J39" s="55">
        <f t="shared" si="1"/>
        <v>0</v>
      </c>
      <c r="R39" s="53"/>
      <c r="S39" s="45"/>
    </row>
    <row r="40" spans="1:19" s="29" customFormat="1" ht="45">
      <c r="A40" s="402" t="s">
        <v>194</v>
      </c>
      <c r="B40" s="871" t="s">
        <v>217</v>
      </c>
      <c r="C40" s="872"/>
      <c r="D40" s="873"/>
      <c r="E40" s="958"/>
      <c r="F40" s="39" t="s">
        <v>134</v>
      </c>
      <c r="G40" s="547"/>
      <c r="H40" s="946"/>
      <c r="J40" s="55">
        <f t="shared" si="1"/>
        <v>0</v>
      </c>
      <c r="R40" s="53"/>
      <c r="S40" s="45"/>
    </row>
    <row r="41" spans="1:19" s="29" customFormat="1" ht="48.75" customHeight="1">
      <c r="A41" s="402" t="s">
        <v>202</v>
      </c>
      <c r="B41" s="871" t="s">
        <v>218</v>
      </c>
      <c r="C41" s="872"/>
      <c r="D41" s="873"/>
      <c r="E41" s="958"/>
      <c r="F41" s="39" t="s">
        <v>135</v>
      </c>
      <c r="G41" s="547"/>
      <c r="H41" s="946"/>
      <c r="J41" s="55">
        <f t="shared" si="1"/>
        <v>0</v>
      </c>
      <c r="R41" s="53"/>
      <c r="S41" s="45"/>
    </row>
    <row r="42" spans="1:19" s="29" customFormat="1" ht="31.5" customHeight="1">
      <c r="A42" s="402" t="s">
        <v>195</v>
      </c>
      <c r="B42" s="975" t="s">
        <v>345</v>
      </c>
      <c r="C42" s="976"/>
      <c r="D42" s="977"/>
      <c r="E42" s="959"/>
      <c r="F42" s="39" t="s">
        <v>136</v>
      </c>
      <c r="G42" s="547"/>
      <c r="H42" s="947"/>
      <c r="J42" s="55">
        <f t="shared" si="1"/>
        <v>0</v>
      </c>
      <c r="R42" s="53"/>
      <c r="S42" s="45"/>
    </row>
    <row r="43" spans="1:19" s="29" customFormat="1" ht="15.6">
      <c r="A43" s="398" t="s">
        <v>196</v>
      </c>
      <c r="B43" s="40" t="s">
        <v>341</v>
      </c>
      <c r="C43" s="56"/>
      <c r="D43" s="49"/>
      <c r="E43" s="52"/>
      <c r="F43" s="36"/>
      <c r="G43" s="23"/>
      <c r="H43" s="403"/>
      <c r="R43" s="53"/>
      <c r="S43" s="45"/>
    </row>
    <row r="44" spans="1:19" s="29" customFormat="1" ht="31.5" customHeight="1">
      <c r="A44" s="404">
        <v>4.0999999999999996</v>
      </c>
      <c r="B44" s="885" t="s">
        <v>331</v>
      </c>
      <c r="C44" s="886"/>
      <c r="D44" s="884"/>
      <c r="E44" s="20">
        <f>VLOOKUP(A44,'Point Allocation'!$A$5:$J$15,MATCH(A7,'Point Allocation'!$A$5:$J$5,0),0)</f>
        <v>35</v>
      </c>
      <c r="F44" s="536"/>
      <c r="G44" s="31">
        <f>IFERROR(F44/$F$56,0)</f>
        <v>0</v>
      </c>
      <c r="H44" s="405">
        <f>E44*G44</f>
        <v>0</v>
      </c>
      <c r="R44" s="53"/>
      <c r="S44" s="45"/>
    </row>
    <row r="45" spans="1:19" s="29" customFormat="1">
      <c r="A45" s="406">
        <v>4.2</v>
      </c>
      <c r="B45" s="928" t="s">
        <v>348</v>
      </c>
      <c r="C45" s="990"/>
      <c r="D45" s="929"/>
      <c r="E45" s="20">
        <f>VLOOKUP(A45,'Point Allocation'!$A$5:$J$15,MATCH(A7,'Point Allocation'!$A$5:$J$5,0),0)</f>
        <v>35</v>
      </c>
      <c r="F45" s="536"/>
      <c r="G45" s="31">
        <f>IFERROR(F45/$F$56,0)</f>
        <v>0</v>
      </c>
      <c r="H45" s="405">
        <f>E45*G45</f>
        <v>0</v>
      </c>
      <c r="R45" s="53"/>
      <c r="S45" s="45"/>
    </row>
    <row r="46" spans="1:19" s="29" customFormat="1">
      <c r="A46" s="406">
        <v>4.3</v>
      </c>
      <c r="B46" s="960" t="s">
        <v>346</v>
      </c>
      <c r="C46" s="961"/>
      <c r="D46" s="962"/>
      <c r="E46" s="20">
        <f>VLOOKUP(A46,'Point Allocation'!$A$5:$J$15,MATCH(A7,'Point Allocation'!$A$5:$J$5,0),0)</f>
        <v>28</v>
      </c>
      <c r="F46" s="536"/>
      <c r="G46" s="31">
        <f>IFERROR(F46/$F$56,0)</f>
        <v>0</v>
      </c>
      <c r="H46" s="405">
        <f>E46*G46</f>
        <v>0</v>
      </c>
      <c r="R46" s="53"/>
      <c r="S46" s="45"/>
    </row>
    <row r="47" spans="1:19" s="29" customFormat="1">
      <c r="A47" s="404">
        <v>4.4000000000000004</v>
      </c>
      <c r="B47" s="885" t="s">
        <v>347</v>
      </c>
      <c r="C47" s="886"/>
      <c r="D47" s="884"/>
      <c r="E47" s="20">
        <f>VLOOKUP(A47,'Point Allocation'!$A$5:$J$15,MATCH(A7,'Point Allocation'!$A$5:$J$5,0),0)</f>
        <v>28</v>
      </c>
      <c r="F47" s="536"/>
      <c r="G47" s="31">
        <f>IFERROR(F47/$F$56,0)</f>
        <v>0</v>
      </c>
      <c r="H47" s="405">
        <f>E47*G47</f>
        <v>0</v>
      </c>
      <c r="R47" s="53"/>
      <c r="S47" s="45"/>
    </row>
    <row r="48" spans="1:19" s="59" customFormat="1" ht="15.6">
      <c r="A48" s="396" t="s">
        <v>197</v>
      </c>
      <c r="B48" s="46" t="s">
        <v>211</v>
      </c>
      <c r="C48" s="57"/>
      <c r="D48" s="58"/>
      <c r="E48" s="7"/>
      <c r="F48" s="7"/>
      <c r="G48" s="24"/>
      <c r="H48" s="407"/>
      <c r="J48" s="29"/>
      <c r="K48" s="29"/>
      <c r="L48" s="29"/>
      <c r="M48" s="29"/>
      <c r="N48" s="29"/>
      <c r="R48" s="60"/>
    </row>
    <row r="49" spans="1:19" s="59" customFormat="1" ht="15.6">
      <c r="A49" s="408">
        <v>5</v>
      </c>
      <c r="B49" s="40" t="s">
        <v>212</v>
      </c>
      <c r="C49" s="49"/>
      <c r="D49" s="49"/>
      <c r="E49" s="8"/>
      <c r="F49" s="8"/>
      <c r="G49" s="22"/>
      <c r="H49" s="403"/>
      <c r="J49" s="29"/>
      <c r="K49" s="29"/>
      <c r="L49" s="29"/>
      <c r="M49" s="29"/>
      <c r="N49" s="29"/>
      <c r="R49" s="60"/>
    </row>
    <row r="50" spans="1:19" s="29" customFormat="1">
      <c r="A50" s="409">
        <v>5.0999999999999996</v>
      </c>
      <c r="B50" s="844" t="s">
        <v>204</v>
      </c>
      <c r="C50" s="846"/>
      <c r="D50" s="845"/>
      <c r="E50" s="20">
        <f>VLOOKUP(A50,'Point Allocation'!$A$5:$J$15,MATCH(A7,'Point Allocation'!$A$5:$J$5,0),0)</f>
        <v>22</v>
      </c>
      <c r="F50" s="536"/>
      <c r="G50" s="31">
        <f>IFERROR(F50/$F$56,0)</f>
        <v>0</v>
      </c>
      <c r="H50" s="405">
        <f>E50*G50</f>
        <v>0</v>
      </c>
      <c r="R50" s="53"/>
      <c r="S50" s="45"/>
    </row>
    <row r="51" spans="1:19" s="29" customFormat="1">
      <c r="A51" s="409">
        <v>5.2</v>
      </c>
      <c r="B51" s="844" t="s">
        <v>151</v>
      </c>
      <c r="C51" s="846"/>
      <c r="D51" s="845"/>
      <c r="E51" s="20">
        <f>VLOOKUP(A51,'Point Allocation'!$A$5:$J$15,MATCH(A7,'Point Allocation'!$A$5:$J$5,0),0)</f>
        <v>10</v>
      </c>
      <c r="F51" s="536"/>
      <c r="G51" s="31">
        <f>IFERROR(F51/$F$56,0)</f>
        <v>0</v>
      </c>
      <c r="H51" s="405">
        <f>E51*G51</f>
        <v>0</v>
      </c>
      <c r="R51" s="53"/>
      <c r="S51" s="45"/>
    </row>
    <row r="52" spans="1:19" s="29" customFormat="1" ht="15.6">
      <c r="A52" s="410">
        <v>6</v>
      </c>
      <c r="B52" s="61" t="s">
        <v>213</v>
      </c>
      <c r="C52" s="49"/>
      <c r="D52" s="49"/>
      <c r="E52" s="8"/>
      <c r="F52" s="8"/>
      <c r="G52" s="22"/>
      <c r="H52" s="403"/>
      <c r="R52" s="53"/>
      <c r="S52" s="45"/>
    </row>
    <row r="53" spans="1:19" s="29" customFormat="1">
      <c r="A53" s="411">
        <v>6.1</v>
      </c>
      <c r="B53" s="826"/>
      <c r="C53" s="821"/>
      <c r="D53" s="847"/>
      <c r="E53" s="536"/>
      <c r="F53" s="536"/>
      <c r="G53" s="31">
        <f>IFERROR(F53/$F$56,0)</f>
        <v>0</v>
      </c>
      <c r="H53" s="405">
        <f>E53*G53</f>
        <v>0</v>
      </c>
      <c r="R53" s="53"/>
      <c r="S53" s="45"/>
    </row>
    <row r="54" spans="1:19" s="29" customFormat="1">
      <c r="A54" s="411">
        <v>6.2</v>
      </c>
      <c r="B54" s="826"/>
      <c r="C54" s="821"/>
      <c r="D54" s="847"/>
      <c r="E54" s="536"/>
      <c r="F54" s="536"/>
      <c r="G54" s="31">
        <f>IFERROR(F54/$F$56,0)</f>
        <v>0</v>
      </c>
      <c r="H54" s="405">
        <f>E54*G54</f>
        <v>0</v>
      </c>
      <c r="R54" s="53"/>
      <c r="S54" s="45"/>
    </row>
    <row r="55" spans="1:19" s="29" customFormat="1">
      <c r="A55" s="411">
        <v>6.3</v>
      </c>
      <c r="B55" s="826"/>
      <c r="C55" s="821"/>
      <c r="D55" s="847"/>
      <c r="E55" s="536"/>
      <c r="F55" s="536"/>
      <c r="G55" s="31">
        <f>IFERROR(F55/$F$56,0)</f>
        <v>0</v>
      </c>
      <c r="H55" s="405">
        <f>E55*G55</f>
        <v>0</v>
      </c>
      <c r="R55" s="53"/>
      <c r="S55" s="45"/>
    </row>
    <row r="56" spans="1:19" s="29" customFormat="1" ht="15.6">
      <c r="A56" s="412"/>
      <c r="B56" s="322"/>
      <c r="C56" s="323"/>
      <c r="D56" s="323"/>
      <c r="E56" s="324" t="s">
        <v>61</v>
      </c>
      <c r="F56" s="26">
        <f>SUM(F29,F32,F34,F35,F44,F45,F46,F47,F50,F51,F53,F54,F55)</f>
        <v>0</v>
      </c>
      <c r="G56" s="25">
        <f>SUM(G29,G32:G32,G34:G35,G44:G47,G50:G51,G53:G55)</f>
        <v>0</v>
      </c>
      <c r="H56" s="413">
        <f>IFERROR(SUM(H29:H55),0)</f>
        <v>0</v>
      </c>
      <c r="N56" s="62"/>
      <c r="R56" s="53"/>
      <c r="S56" s="45"/>
    </row>
    <row r="57" spans="1:19" s="29" customFormat="1" ht="15.6" thickBot="1">
      <c r="A57" s="491"/>
      <c r="B57" s="492"/>
      <c r="C57" s="493"/>
      <c r="D57" s="493"/>
      <c r="E57" s="493"/>
      <c r="F57" s="493"/>
      <c r="G57" s="480"/>
      <c r="H57" s="639"/>
      <c r="R57" s="53"/>
      <c r="S57" s="45"/>
    </row>
    <row r="58" spans="1:19" s="29" customFormat="1" ht="15.6">
      <c r="A58" s="954" t="s">
        <v>0</v>
      </c>
      <c r="B58" s="955"/>
      <c r="C58" s="646"/>
      <c r="D58" s="978" t="s">
        <v>4</v>
      </c>
      <c r="E58" s="952" t="s">
        <v>1</v>
      </c>
      <c r="F58" s="953"/>
      <c r="G58" s="948" t="s">
        <v>21</v>
      </c>
      <c r="H58" s="950" t="s">
        <v>63</v>
      </c>
      <c r="R58" s="53"/>
      <c r="S58" s="45"/>
    </row>
    <row r="59" spans="1:19" s="29" customFormat="1" ht="31.2">
      <c r="A59" s="956"/>
      <c r="B59" s="957"/>
      <c r="C59" s="63"/>
      <c r="D59" s="979"/>
      <c r="E59" s="43" t="s">
        <v>118</v>
      </c>
      <c r="F59" s="43" t="s">
        <v>119</v>
      </c>
      <c r="G59" s="949"/>
      <c r="H59" s="951"/>
      <c r="J59" s="64"/>
      <c r="R59" s="53"/>
      <c r="S59" s="45"/>
    </row>
    <row r="60" spans="1:19" s="29" customFormat="1" ht="15.6">
      <c r="A60" s="415" t="s">
        <v>219</v>
      </c>
      <c r="B60" s="46" t="s">
        <v>148</v>
      </c>
      <c r="C60" s="58"/>
      <c r="D60" s="65"/>
      <c r="E60" s="48"/>
      <c r="F60" s="48"/>
      <c r="G60" s="48"/>
      <c r="H60" s="416"/>
      <c r="J60" s="62"/>
      <c r="K60" s="62"/>
      <c r="L60" s="62"/>
      <c r="M60" s="62"/>
      <c r="R60" s="53"/>
      <c r="S60" s="45"/>
    </row>
    <row r="61" spans="1:19" s="29" customFormat="1" ht="15" customHeight="1">
      <c r="A61" s="417" t="s">
        <v>349</v>
      </c>
      <c r="B61" s="850" t="s">
        <v>595</v>
      </c>
      <c r="C61" s="851"/>
      <c r="D61" s="5" t="s">
        <v>51</v>
      </c>
      <c r="E61" s="9">
        <v>3</v>
      </c>
      <c r="F61" s="9">
        <v>4</v>
      </c>
      <c r="G61" s="66"/>
      <c r="H61" s="405">
        <f>IF(G61&gt;=80%,F61,IF(G61&lt;65%,0,E61))</f>
        <v>0</v>
      </c>
      <c r="R61" s="53"/>
      <c r="S61" s="45"/>
    </row>
    <row r="62" spans="1:19" s="29" customFormat="1">
      <c r="A62" s="417" t="s">
        <v>350</v>
      </c>
      <c r="B62" s="850" t="s">
        <v>596</v>
      </c>
      <c r="C62" s="851"/>
      <c r="D62" s="5" t="s">
        <v>51</v>
      </c>
      <c r="E62" s="9">
        <v>3</v>
      </c>
      <c r="F62" s="9">
        <v>4</v>
      </c>
      <c r="G62" s="66"/>
      <c r="H62" s="405">
        <f>IF(G62&gt;=80%,F62,IF(G62&lt;65%,0,E62))</f>
        <v>0</v>
      </c>
      <c r="R62" s="53"/>
      <c r="S62" s="45"/>
    </row>
    <row r="63" spans="1:19" s="29" customFormat="1">
      <c r="A63" s="418" t="s">
        <v>351</v>
      </c>
      <c r="B63" s="850" t="s">
        <v>588</v>
      </c>
      <c r="C63" s="851"/>
      <c r="D63" s="5" t="s">
        <v>51</v>
      </c>
      <c r="E63" s="9">
        <v>3</v>
      </c>
      <c r="F63" s="9">
        <v>4</v>
      </c>
      <c r="G63" s="66"/>
      <c r="H63" s="405">
        <f>IF(G63&gt;=80%,F63,IF(G63&lt;65%,0,E63))</f>
        <v>0</v>
      </c>
      <c r="R63" s="53"/>
      <c r="S63" s="45"/>
    </row>
    <row r="64" spans="1:19" s="29" customFormat="1" ht="51" customHeight="1">
      <c r="A64" s="417">
        <v>7.2</v>
      </c>
      <c r="B64" s="1019" t="s">
        <v>354</v>
      </c>
      <c r="C64" s="1019"/>
      <c r="D64" s="518" t="s">
        <v>51</v>
      </c>
      <c r="E64" s="540">
        <v>2</v>
      </c>
      <c r="F64" s="540">
        <v>2.5</v>
      </c>
      <c r="G64" s="516"/>
      <c r="H64" s="419">
        <f>IF(H35&gt;0,0,IF(G64&gt;=80%,F64,IF(G64&lt;65%,0,E64)))</f>
        <v>0</v>
      </c>
      <c r="J64" s="11"/>
      <c r="K64" s="11"/>
      <c r="L64" s="11"/>
      <c r="R64" s="53"/>
      <c r="S64" s="45"/>
    </row>
    <row r="65" spans="1:19" s="29" customFormat="1" ht="15" customHeight="1">
      <c r="A65" s="417">
        <v>7.3</v>
      </c>
      <c r="B65" s="885" t="s">
        <v>226</v>
      </c>
      <c r="C65" s="886"/>
      <c r="D65" s="375"/>
      <c r="E65" s="375"/>
      <c r="F65" s="375"/>
      <c r="G65" s="375"/>
      <c r="H65" s="420"/>
      <c r="J65" s="11"/>
      <c r="K65" s="11"/>
      <c r="L65" s="11"/>
      <c r="R65" s="53"/>
      <c r="S65" s="45"/>
    </row>
    <row r="66" spans="1:19" s="29" customFormat="1" ht="32.25" customHeight="1">
      <c r="A66" s="418" t="s">
        <v>220</v>
      </c>
      <c r="B66" s="883" t="s">
        <v>227</v>
      </c>
      <c r="C66" s="884"/>
      <c r="D66" s="856" t="s">
        <v>51</v>
      </c>
      <c r="E66" s="296">
        <v>1</v>
      </c>
      <c r="F66" s="296">
        <v>1.5</v>
      </c>
      <c r="G66" s="67"/>
      <c r="H66" s="298">
        <f>IF(H29+H35&gt;0,0.5,IF(G66&gt;=80%,F66,IF(G66&lt;65%,0,E66)))</f>
        <v>0</v>
      </c>
      <c r="K66" s="11"/>
      <c r="L66" s="11"/>
      <c r="R66" s="53"/>
      <c r="S66" s="45"/>
    </row>
    <row r="67" spans="1:19" s="29" customFormat="1" ht="47.25" customHeight="1">
      <c r="A67" s="418" t="s">
        <v>221</v>
      </c>
      <c r="B67" s="883" t="s">
        <v>228</v>
      </c>
      <c r="C67" s="884"/>
      <c r="D67" s="857"/>
      <c r="E67" s="296">
        <v>1</v>
      </c>
      <c r="F67" s="296">
        <v>1.5</v>
      </c>
      <c r="G67" s="67"/>
      <c r="H67" s="298">
        <f>IF(H29+H35&gt;0,0.5,IF(G67&gt;=80%,F67,IF(G67&lt;65%,0,E67)))</f>
        <v>0</v>
      </c>
      <c r="R67" s="53"/>
      <c r="S67" s="45"/>
    </row>
    <row r="68" spans="1:19" s="29" customFormat="1">
      <c r="A68" s="418" t="s">
        <v>235</v>
      </c>
      <c r="B68" s="883" t="s">
        <v>229</v>
      </c>
      <c r="C68" s="884"/>
      <c r="D68" s="857"/>
      <c r="E68" s="296">
        <v>1</v>
      </c>
      <c r="F68" s="296">
        <v>1.5</v>
      </c>
      <c r="G68" s="67"/>
      <c r="H68" s="298">
        <f>IF(H29+H35&gt;0,0.5,IF(G68&gt;=80%,F68,IF(G68&lt;65%,0,E68)))</f>
        <v>0</v>
      </c>
      <c r="R68" s="53"/>
      <c r="S68" s="45"/>
    </row>
    <row r="69" spans="1:19" s="29" customFormat="1" ht="46.5" customHeight="1">
      <c r="A69" s="418" t="s">
        <v>222</v>
      </c>
      <c r="B69" s="883" t="s">
        <v>230</v>
      </c>
      <c r="C69" s="884"/>
      <c r="D69" s="858"/>
      <c r="E69" s="296">
        <v>1</v>
      </c>
      <c r="F69" s="296">
        <v>1.5</v>
      </c>
      <c r="G69" s="67"/>
      <c r="H69" s="298">
        <f>IF(H29+H35&gt;0,0.5,IF(G69&gt;=80%,F69,IF(G69&lt;65%,0,E69)))</f>
        <v>0</v>
      </c>
      <c r="R69" s="53"/>
      <c r="S69" s="45"/>
    </row>
    <row r="70" spans="1:19" s="29" customFormat="1">
      <c r="A70" s="417">
        <v>7.4</v>
      </c>
      <c r="B70" s="930" t="s">
        <v>441</v>
      </c>
      <c r="C70" s="930"/>
      <c r="D70" s="350" t="s">
        <v>2</v>
      </c>
      <c r="E70" s="296">
        <v>1</v>
      </c>
      <c r="F70" s="296">
        <v>1.5</v>
      </c>
      <c r="G70" s="67"/>
      <c r="H70" s="298">
        <f>IF(G70&gt;=80%,F70,IF(G70&lt;65%,0,E70))</f>
        <v>0</v>
      </c>
      <c r="R70" s="53"/>
      <c r="S70" s="45"/>
    </row>
    <row r="71" spans="1:19" s="29" customFormat="1" ht="15" customHeight="1">
      <c r="A71" s="526">
        <v>7.5</v>
      </c>
      <c r="B71" s="932" t="s">
        <v>422</v>
      </c>
      <c r="C71" s="932"/>
      <c r="D71" s="561" t="s">
        <v>420</v>
      </c>
      <c r="E71" s="855">
        <v>2</v>
      </c>
      <c r="F71" s="855"/>
      <c r="G71" s="546"/>
      <c r="H71" s="519">
        <f>IF(G71&gt;=5%,E71,0)</f>
        <v>0</v>
      </c>
      <c r="R71" s="53"/>
      <c r="S71" s="45"/>
    </row>
    <row r="72" spans="1:19" s="29" customFormat="1" ht="15.6">
      <c r="A72" s="421" t="s">
        <v>223</v>
      </c>
      <c r="B72" s="68" t="s">
        <v>231</v>
      </c>
      <c r="C72" s="69"/>
      <c r="D72" s="70"/>
      <c r="E72" s="71"/>
      <c r="F72" s="71"/>
      <c r="G72" s="71"/>
      <c r="H72" s="422"/>
      <c r="R72" s="53"/>
      <c r="S72" s="45"/>
    </row>
    <row r="73" spans="1:19" s="29" customFormat="1">
      <c r="A73" s="417">
        <v>8.1</v>
      </c>
      <c r="B73" s="852" t="s">
        <v>232</v>
      </c>
      <c r="C73" s="852"/>
      <c r="D73" s="5" t="s">
        <v>51</v>
      </c>
      <c r="E73" s="20">
        <v>2</v>
      </c>
      <c r="F73" s="20">
        <v>2.5</v>
      </c>
      <c r="G73" s="72"/>
      <c r="H73" s="405">
        <f>IF(G73&gt;=80%,F73,IF(G73&lt;65%,0,E73))</f>
        <v>0</v>
      </c>
      <c r="J73" s="73"/>
      <c r="R73" s="53"/>
      <c r="S73" s="45"/>
    </row>
    <row r="74" spans="1:19" s="29" customFormat="1">
      <c r="A74" s="417">
        <v>8.1999999999999993</v>
      </c>
      <c r="B74" s="852" t="s">
        <v>233</v>
      </c>
      <c r="C74" s="852"/>
      <c r="D74" s="5" t="s">
        <v>51</v>
      </c>
      <c r="E74" s="20">
        <v>2</v>
      </c>
      <c r="F74" s="20">
        <v>2.5</v>
      </c>
      <c r="G74" s="72"/>
      <c r="H74" s="405">
        <f>IF(G74&gt;=80%,F74,IF(G74&lt;65%,0,E74))</f>
        <v>0</v>
      </c>
      <c r="J74" s="11"/>
      <c r="K74" s="11"/>
      <c r="L74" s="11"/>
      <c r="R74" s="53"/>
      <c r="S74" s="45"/>
    </row>
    <row r="75" spans="1:19" s="29" customFormat="1">
      <c r="A75" s="417">
        <v>8.3000000000000007</v>
      </c>
      <c r="B75" s="874" t="s">
        <v>147</v>
      </c>
      <c r="C75" s="875"/>
      <c r="D75" s="5" t="s">
        <v>2</v>
      </c>
      <c r="E75" s="20">
        <v>2</v>
      </c>
      <c r="F75" s="20">
        <v>2.5</v>
      </c>
      <c r="G75" s="66"/>
      <c r="H75" s="405">
        <f>IF(G75&gt;=80%,F75,IF(G75&lt;65%,0,E75))</f>
        <v>0</v>
      </c>
      <c r="R75" s="53"/>
      <c r="S75" s="45"/>
    </row>
    <row r="76" spans="1:19" s="29" customFormat="1" ht="15.6">
      <c r="A76" s="421" t="s">
        <v>224</v>
      </c>
      <c r="B76" s="68" t="s">
        <v>234</v>
      </c>
      <c r="C76" s="69"/>
      <c r="D76" s="70"/>
      <c r="E76" s="71"/>
      <c r="F76" s="71"/>
      <c r="G76" s="71"/>
      <c r="H76" s="422"/>
      <c r="R76" s="53"/>
      <c r="S76" s="45"/>
    </row>
    <row r="77" spans="1:19" s="29" customFormat="1" ht="31.5" customHeight="1">
      <c r="A77" s="417">
        <v>9.1</v>
      </c>
      <c r="B77" s="852" t="s">
        <v>371</v>
      </c>
      <c r="C77" s="852"/>
      <c r="D77" s="5" t="s">
        <v>51</v>
      </c>
      <c r="E77" s="20">
        <v>2</v>
      </c>
      <c r="F77" s="20">
        <v>2.5</v>
      </c>
      <c r="G77" s="72"/>
      <c r="H77" s="405">
        <f>IF(G77&gt;=80%,F77,IF(G77&lt;65%,0,E77))</f>
        <v>0</v>
      </c>
      <c r="R77" s="53"/>
      <c r="S77" s="45"/>
    </row>
    <row r="78" spans="1:19" s="29" customFormat="1" ht="15.6">
      <c r="A78" s="423" t="s">
        <v>225</v>
      </c>
      <c r="B78" s="74" t="s">
        <v>213</v>
      </c>
      <c r="C78" s="58"/>
      <c r="D78" s="58"/>
      <c r="E78" s="75"/>
      <c r="F78" s="75"/>
      <c r="G78" s="76"/>
      <c r="H78" s="424"/>
      <c r="R78" s="53"/>
      <c r="S78" s="45"/>
    </row>
    <row r="79" spans="1:19" s="29" customFormat="1">
      <c r="A79" s="417">
        <v>10.1</v>
      </c>
      <c r="B79" s="848"/>
      <c r="C79" s="848"/>
      <c r="D79" s="77"/>
      <c r="E79" s="536"/>
      <c r="F79" s="536"/>
      <c r="G79" s="547"/>
      <c r="H79" s="405">
        <f>IF(G79&gt;=80%,F79,IF(G79&lt;65%,0,E79))</f>
        <v>0</v>
      </c>
      <c r="R79" s="53"/>
      <c r="S79" s="45"/>
    </row>
    <row r="80" spans="1:19" s="29" customFormat="1">
      <c r="A80" s="417">
        <v>10.199999999999999</v>
      </c>
      <c r="B80" s="848"/>
      <c r="C80" s="848"/>
      <c r="D80" s="77"/>
      <c r="E80" s="536"/>
      <c r="F80" s="536"/>
      <c r="G80" s="547"/>
      <c r="H80" s="405">
        <f>IF(G80&gt;=80%,F80,IF(G80&lt;65%,0,E80))</f>
        <v>0</v>
      </c>
      <c r="R80" s="53"/>
      <c r="S80" s="45"/>
    </row>
    <row r="81" spans="1:19" s="29" customFormat="1">
      <c r="A81" s="417">
        <v>10.3</v>
      </c>
      <c r="B81" s="848"/>
      <c r="C81" s="848"/>
      <c r="D81" s="77"/>
      <c r="E81" s="536"/>
      <c r="F81" s="536"/>
      <c r="G81" s="547"/>
      <c r="H81" s="405">
        <f>IF(G81&gt;=80%,F81,IF(G81&lt;65%,0,E81))</f>
        <v>0</v>
      </c>
      <c r="R81" s="53"/>
      <c r="S81" s="45"/>
    </row>
    <row r="82" spans="1:19" s="29" customFormat="1" ht="15.6">
      <c r="A82" s="425"/>
      <c r="B82" s="325"/>
      <c r="C82" s="323"/>
      <c r="D82" s="323"/>
      <c r="E82" s="326"/>
      <c r="F82" s="327"/>
      <c r="G82" s="328" t="s">
        <v>418</v>
      </c>
      <c r="H82" s="426">
        <f>IFERROR((SUM(H61:H81)),0)</f>
        <v>0</v>
      </c>
      <c r="R82" s="53"/>
      <c r="S82" s="45"/>
    </row>
    <row r="83" spans="1:19" s="29" customFormat="1">
      <c r="A83" s="412"/>
      <c r="B83" s="325"/>
      <c r="C83" s="323"/>
      <c r="D83" s="323"/>
      <c r="E83" s="323"/>
      <c r="F83" s="323"/>
      <c r="G83" s="329"/>
      <c r="H83" s="388"/>
      <c r="R83" s="53"/>
      <c r="S83" s="45"/>
    </row>
    <row r="84" spans="1:19" s="29" customFormat="1" ht="15.6">
      <c r="A84" s="412"/>
      <c r="B84" s="325"/>
      <c r="C84" s="323"/>
      <c r="D84" s="323"/>
      <c r="E84" s="323"/>
      <c r="F84" s="323"/>
      <c r="G84" s="330" t="s">
        <v>129</v>
      </c>
      <c r="H84" s="427">
        <f>IFERROR(MIN(G24,H56+H82),0)</f>
        <v>0</v>
      </c>
      <c r="R84" s="53"/>
      <c r="S84" s="45"/>
    </row>
    <row r="85" spans="1:19" s="29" customFormat="1" ht="16.2" thickBot="1">
      <c r="A85" s="491"/>
      <c r="B85" s="492"/>
      <c r="C85" s="493"/>
      <c r="D85" s="493"/>
      <c r="E85" s="493"/>
      <c r="F85" s="493"/>
      <c r="G85" s="496"/>
      <c r="H85" s="495"/>
      <c r="R85" s="53"/>
      <c r="S85" s="45"/>
    </row>
    <row r="86" spans="1:19" s="29" customFormat="1" ht="15.6">
      <c r="A86" s="486" t="s">
        <v>52</v>
      </c>
      <c r="B86" s="487"/>
      <c r="C86" s="487"/>
      <c r="D86" s="487"/>
      <c r="E86" s="487"/>
      <c r="F86" s="488" t="s">
        <v>43</v>
      </c>
      <c r="G86" s="489">
        <f>VLOOKUP($A$7,'Manpower allocation'!A4:D11,3,FALSE)*100</f>
        <v>40</v>
      </c>
      <c r="H86" s="490" t="s">
        <v>42</v>
      </c>
      <c r="J86" s="79">
        <f>VLOOKUP($A$7,'Manpower allocation'!A4:D11,3,FALSE)*100</f>
        <v>40</v>
      </c>
      <c r="R86" s="53"/>
      <c r="S86" s="45"/>
    </row>
    <row r="87" spans="1:19" s="29" customFormat="1" ht="15.6">
      <c r="A87" s="412"/>
      <c r="B87" s="331"/>
      <c r="C87" s="326"/>
      <c r="D87" s="323"/>
      <c r="E87" s="323"/>
      <c r="F87" s="323"/>
      <c r="G87" s="332"/>
      <c r="H87" s="388"/>
      <c r="R87" s="53"/>
      <c r="S87" s="45"/>
    </row>
    <row r="88" spans="1:19" s="29" customFormat="1" ht="46.8">
      <c r="A88" s="549" t="s">
        <v>0</v>
      </c>
      <c r="B88" s="550"/>
      <c r="C88" s="168"/>
      <c r="D88" s="80"/>
      <c r="E88" s="81" t="s">
        <v>17</v>
      </c>
      <c r="F88" s="82" t="s">
        <v>81</v>
      </c>
      <c r="G88" s="82" t="s">
        <v>20</v>
      </c>
      <c r="H88" s="428" t="s">
        <v>53</v>
      </c>
      <c r="R88" s="53"/>
      <c r="S88" s="45"/>
    </row>
    <row r="89" spans="1:19" s="29" customFormat="1" ht="15.6">
      <c r="A89" s="429" t="s">
        <v>303</v>
      </c>
      <c r="B89" s="83" t="s">
        <v>332</v>
      </c>
      <c r="C89" s="84"/>
      <c r="D89" s="84"/>
      <c r="E89" s="85"/>
      <c r="F89" s="85"/>
      <c r="G89" s="85"/>
      <c r="H89" s="430"/>
      <c r="R89" s="53"/>
      <c r="S89" s="45"/>
    </row>
    <row r="90" spans="1:19" s="29" customFormat="1" ht="15.6">
      <c r="A90" s="431">
        <v>1</v>
      </c>
      <c r="B90" s="86" t="s">
        <v>338</v>
      </c>
      <c r="C90" s="87"/>
      <c r="D90" s="87"/>
      <c r="E90" s="88"/>
      <c r="F90" s="88"/>
      <c r="G90" s="88"/>
      <c r="H90" s="432"/>
      <c r="R90" s="53"/>
      <c r="S90" s="45"/>
    </row>
    <row r="91" spans="1:19" s="29" customFormat="1">
      <c r="A91" s="417">
        <v>1.1000000000000001</v>
      </c>
      <c r="B91" s="885" t="s">
        <v>290</v>
      </c>
      <c r="C91" s="846"/>
      <c r="D91" s="845"/>
      <c r="E91" s="89">
        <f>VLOOKUP(A91,'Point Allocation'!$A$20:$J$40,MATCH(A7,'Point Allocation'!$A$20:$J$20,0),0)</f>
        <v>30</v>
      </c>
      <c r="F91" s="90"/>
      <c r="G91" s="91">
        <f>IFERROR(F91/$F$115,0)</f>
        <v>0</v>
      </c>
      <c r="H91" s="433">
        <f>E91*G91</f>
        <v>0</v>
      </c>
      <c r="R91" s="45"/>
      <c r="S91" s="45"/>
    </row>
    <row r="92" spans="1:19" s="29" customFormat="1" ht="15.6">
      <c r="A92" s="434">
        <v>2</v>
      </c>
      <c r="B92" s="92" t="s">
        <v>339</v>
      </c>
      <c r="C92" s="93"/>
      <c r="D92" s="94"/>
      <c r="E92" s="94"/>
      <c r="F92" s="95"/>
      <c r="G92" s="96"/>
      <c r="H92" s="435"/>
      <c r="R92" s="53"/>
      <c r="S92" s="45"/>
    </row>
    <row r="93" spans="1:19" s="29" customFormat="1">
      <c r="A93" s="849">
        <v>2.1</v>
      </c>
      <c r="B93" s="844" t="s">
        <v>207</v>
      </c>
      <c r="C93" s="846"/>
      <c r="D93" s="845"/>
      <c r="E93" s="853">
        <f>VLOOKUP(A93,'Point Allocation'!$A$20:$J$40,MATCH(A7,'Point Allocation'!$A$20:$J$20,0),0)</f>
        <v>28</v>
      </c>
      <c r="F93" s="854"/>
      <c r="G93" s="914">
        <f>IFERROR(F93/$F$115,0)</f>
        <v>0</v>
      </c>
      <c r="H93" s="921">
        <f>E93*G93</f>
        <v>0</v>
      </c>
      <c r="R93" s="53"/>
      <c r="S93" s="45"/>
    </row>
    <row r="94" spans="1:19" s="29" customFormat="1" ht="15.6">
      <c r="A94" s="841"/>
      <c r="B94" s="836" t="s">
        <v>120</v>
      </c>
      <c r="C94" s="837"/>
      <c r="D94" s="838"/>
      <c r="E94" s="853"/>
      <c r="F94" s="854"/>
      <c r="G94" s="914"/>
      <c r="H94" s="921"/>
      <c r="R94" s="53"/>
      <c r="S94" s="45"/>
    </row>
    <row r="95" spans="1:19" s="29" customFormat="1">
      <c r="A95" s="849">
        <v>2.2000000000000002</v>
      </c>
      <c r="B95" s="885" t="s">
        <v>178</v>
      </c>
      <c r="C95" s="886"/>
      <c r="D95" s="884"/>
      <c r="E95" s="853">
        <f>VLOOKUP(A95,'Point Allocation'!$A$20:$J$40,MATCH(A7,'Point Allocation'!$A$20:$J$20,0),0)</f>
        <v>28</v>
      </c>
      <c r="F95" s="854"/>
      <c r="G95" s="914">
        <f>IFERROR(F95/$F$115,0)</f>
        <v>0</v>
      </c>
      <c r="H95" s="921">
        <f>E95*G95</f>
        <v>0</v>
      </c>
      <c r="R95" s="53"/>
      <c r="S95" s="45"/>
    </row>
    <row r="96" spans="1:19" s="29" customFormat="1" ht="15.6">
      <c r="A96" s="882"/>
      <c r="B96" s="836" t="s">
        <v>120</v>
      </c>
      <c r="C96" s="837"/>
      <c r="D96" s="838"/>
      <c r="E96" s="853"/>
      <c r="F96" s="854"/>
      <c r="G96" s="914"/>
      <c r="H96" s="921"/>
      <c r="R96" s="53"/>
      <c r="S96" s="45"/>
    </row>
    <row r="97" spans="1:19" s="29" customFormat="1" ht="15.6">
      <c r="A97" s="431">
        <v>3</v>
      </c>
      <c r="B97" s="86" t="s">
        <v>340</v>
      </c>
      <c r="C97" s="93"/>
      <c r="D97" s="93"/>
      <c r="E97" s="95"/>
      <c r="F97" s="95"/>
      <c r="G97" s="96"/>
      <c r="H97" s="436"/>
      <c r="R97" s="53"/>
      <c r="S97" s="45"/>
    </row>
    <row r="98" spans="1:19" s="29" customFormat="1">
      <c r="A98" s="849">
        <v>3.1</v>
      </c>
      <c r="B98" s="844" t="s">
        <v>208</v>
      </c>
      <c r="C98" s="846"/>
      <c r="D98" s="845"/>
      <c r="E98" s="853">
        <f>VLOOKUP(A98,'Point Allocation'!$A$20:$J$40,MATCH(A7,'Point Allocation'!$A$20:$J$20,0),0)</f>
        <v>27</v>
      </c>
      <c r="F98" s="854"/>
      <c r="G98" s="914">
        <f>IFERROR(F98/$F$115,0)</f>
        <v>0</v>
      </c>
      <c r="H98" s="921">
        <f>E98*G98</f>
        <v>0</v>
      </c>
      <c r="R98" s="53"/>
      <c r="S98" s="45"/>
    </row>
    <row r="99" spans="1:19" s="29" customFormat="1" ht="15.6">
      <c r="A99" s="841"/>
      <c r="B99" s="836" t="s">
        <v>286</v>
      </c>
      <c r="C99" s="837"/>
      <c r="D99" s="838"/>
      <c r="E99" s="853"/>
      <c r="F99" s="854"/>
      <c r="G99" s="914"/>
      <c r="H99" s="921"/>
      <c r="R99" s="53"/>
      <c r="S99" s="45"/>
    </row>
    <row r="100" spans="1:19" s="29" customFormat="1" ht="15.6">
      <c r="A100" s="431">
        <v>4</v>
      </c>
      <c r="B100" s="86" t="s">
        <v>341</v>
      </c>
      <c r="C100" s="93"/>
      <c r="D100" s="93"/>
      <c r="E100" s="95"/>
      <c r="F100" s="95"/>
      <c r="G100" s="96"/>
      <c r="H100" s="436"/>
      <c r="R100" s="53"/>
      <c r="S100" s="45"/>
    </row>
    <row r="101" spans="1:19" s="29" customFormat="1" ht="30" customHeight="1">
      <c r="A101" s="418" t="s">
        <v>205</v>
      </c>
      <c r="B101" s="871" t="s">
        <v>292</v>
      </c>
      <c r="C101" s="872"/>
      <c r="D101" s="873"/>
      <c r="E101" s="97">
        <f>VLOOKUP(A101,'Point Allocation'!$A$20:$J$40,MATCH(A7,'Point Allocation'!$A$20:$J$20,0),0)</f>
        <v>25</v>
      </c>
      <c r="F101" s="537"/>
      <c r="G101" s="538">
        <f>IFERROR(F101/$F$115,0)</f>
        <v>0</v>
      </c>
      <c r="H101" s="437">
        <f>E101*G101</f>
        <v>0</v>
      </c>
      <c r="R101" s="912"/>
      <c r="S101" s="45"/>
    </row>
    <row r="102" spans="1:19" s="29" customFormat="1">
      <c r="A102" s="418" t="s">
        <v>206</v>
      </c>
      <c r="B102" s="871" t="s">
        <v>293</v>
      </c>
      <c r="C102" s="872"/>
      <c r="D102" s="873"/>
      <c r="E102" s="97">
        <f>VLOOKUP(A102,'Point Allocation'!$A$20:$J$40,MATCH(A7,'Point Allocation'!$A$20:$J$20,0),0)</f>
        <v>25</v>
      </c>
      <c r="F102" s="537"/>
      <c r="G102" s="538">
        <f>IFERROR(F102/$F$115,0)</f>
        <v>0</v>
      </c>
      <c r="H102" s="437">
        <f>E102*G102</f>
        <v>0</v>
      </c>
      <c r="R102" s="912"/>
      <c r="S102" s="45"/>
    </row>
    <row r="103" spans="1:19" s="29" customFormat="1">
      <c r="A103" s="417">
        <v>4.2</v>
      </c>
      <c r="B103" s="874" t="s">
        <v>209</v>
      </c>
      <c r="C103" s="931"/>
      <c r="D103" s="875"/>
      <c r="E103" s="97">
        <f>VLOOKUP(A103,'Point Allocation'!$A$20:$J$40,MATCH(A7,'Point Allocation'!$A$20:$J$20,0),0)</f>
        <v>25</v>
      </c>
      <c r="F103" s="537"/>
      <c r="G103" s="538">
        <f>IFERROR(F103/$F$115,0)</f>
        <v>0</v>
      </c>
      <c r="H103" s="437">
        <f>E103*G103</f>
        <v>0</v>
      </c>
      <c r="R103" s="53"/>
      <c r="S103" s="45"/>
    </row>
    <row r="104" spans="1:19" s="29" customFormat="1">
      <c r="A104" s="417">
        <v>4.3</v>
      </c>
      <c r="B104" s="922" t="s">
        <v>159</v>
      </c>
      <c r="C104" s="923"/>
      <c r="D104" s="924"/>
      <c r="E104" s="97">
        <f>VLOOKUP(A104,'Point Allocation'!$A$20:$J$40,MATCH(A7,'Point Allocation'!$A$20:$J$20,0),0)</f>
        <v>25</v>
      </c>
      <c r="F104" s="537"/>
      <c r="G104" s="538">
        <f>IFERROR(F104/$F$115,0)</f>
        <v>0</v>
      </c>
      <c r="H104" s="438">
        <f>E104*G104</f>
        <v>0</v>
      </c>
      <c r="R104" s="53"/>
      <c r="S104" s="45"/>
    </row>
    <row r="105" spans="1:19" s="29" customFormat="1">
      <c r="A105" s="417">
        <v>4.4000000000000004</v>
      </c>
      <c r="B105" s="922" t="s">
        <v>355</v>
      </c>
      <c r="C105" s="923"/>
      <c r="D105" s="924"/>
      <c r="E105" s="97">
        <f>VLOOKUP(A105,'Point Allocation'!$A$20:$J$40,MATCH(A7,'Point Allocation'!$A$20:$J$20,0),0)</f>
        <v>22</v>
      </c>
      <c r="F105" s="537"/>
      <c r="G105" s="538">
        <f>IFERROR(F105/$F$115,0)</f>
        <v>0</v>
      </c>
      <c r="H105" s="438">
        <f>E105*G105</f>
        <v>0</v>
      </c>
      <c r="R105" s="53"/>
      <c r="S105" s="45"/>
    </row>
    <row r="106" spans="1:19" s="29" customFormat="1" ht="15.6">
      <c r="A106" s="439" t="s">
        <v>304</v>
      </c>
      <c r="B106" s="99" t="s">
        <v>236</v>
      </c>
      <c r="C106" s="100"/>
      <c r="D106" s="101"/>
      <c r="E106" s="102"/>
      <c r="F106" s="103"/>
      <c r="G106" s="104"/>
      <c r="H106" s="440"/>
      <c r="R106" s="53"/>
      <c r="S106" s="45"/>
    </row>
    <row r="107" spans="1:19" s="29" customFormat="1" ht="15.6">
      <c r="A107" s="431">
        <v>5</v>
      </c>
      <c r="B107" s="86" t="s">
        <v>237</v>
      </c>
      <c r="C107" s="93"/>
      <c r="D107" s="93"/>
      <c r="E107" s="95"/>
      <c r="F107" s="95"/>
      <c r="G107" s="96"/>
      <c r="H107" s="436"/>
      <c r="R107" s="53"/>
      <c r="S107" s="45"/>
    </row>
    <row r="108" spans="1:19" s="29" customFormat="1">
      <c r="A108" s="417">
        <v>5.0999999999999996</v>
      </c>
      <c r="B108" s="844" t="s">
        <v>210</v>
      </c>
      <c r="C108" s="846"/>
      <c r="D108" s="845"/>
      <c r="E108" s="105">
        <f>VLOOKUP(A108,'Point Allocation'!$A$20:$J$40,MATCH(A7,'Point Allocation'!$A$20:$J$20,0),0)</f>
        <v>16</v>
      </c>
      <c r="F108" s="156"/>
      <c r="G108" s="538">
        <f>IFERROR(F108/$F$115,0)</f>
        <v>0</v>
      </c>
      <c r="H108" s="441">
        <f>E108*G108</f>
        <v>0</v>
      </c>
      <c r="R108" s="53"/>
      <c r="S108" s="45"/>
    </row>
    <row r="109" spans="1:19" s="29" customFormat="1">
      <c r="A109" s="417">
        <v>5.2</v>
      </c>
      <c r="B109" s="844" t="s">
        <v>356</v>
      </c>
      <c r="C109" s="846"/>
      <c r="D109" s="845"/>
      <c r="E109" s="105">
        <f>VLOOKUP(A109,'Point Allocation'!$A$20:$J$40,MATCH(A7,'Point Allocation'!$A$20:$J$20,0),0)</f>
        <v>5</v>
      </c>
      <c r="F109" s="90"/>
      <c r="G109" s="538">
        <f>IFERROR(F109/$F$115,0)</f>
        <v>0</v>
      </c>
      <c r="H109" s="441">
        <f>E109*G109</f>
        <v>0</v>
      </c>
      <c r="R109" s="53"/>
      <c r="S109" s="45"/>
    </row>
    <row r="110" spans="1:19" s="29" customFormat="1">
      <c r="A110" s="417">
        <v>5.3</v>
      </c>
      <c r="B110" s="844" t="s">
        <v>357</v>
      </c>
      <c r="C110" s="846"/>
      <c r="D110" s="845"/>
      <c r="E110" s="105">
        <f>VLOOKUP(A110,'Point Allocation'!$A$20:$J$40,MATCH(A7,'Point Allocation'!$A$20:$J$20,0),0)</f>
        <v>0</v>
      </c>
      <c r="F110" s="155"/>
      <c r="G110" s="538">
        <f>IFERROR(F110/$F$115,0)</f>
        <v>0</v>
      </c>
      <c r="H110" s="442">
        <f>E110*G110</f>
        <v>0</v>
      </c>
      <c r="R110" s="53"/>
      <c r="S110" s="45"/>
    </row>
    <row r="111" spans="1:19" s="29" customFormat="1" ht="15.6">
      <c r="A111" s="443">
        <v>6</v>
      </c>
      <c r="B111" s="106" t="s">
        <v>213</v>
      </c>
      <c r="C111" s="93"/>
      <c r="D111" s="93"/>
      <c r="E111" s="95"/>
      <c r="F111" s="95"/>
      <c r="G111" s="96"/>
      <c r="H111" s="436"/>
      <c r="R111" s="53"/>
      <c r="S111" s="45"/>
    </row>
    <row r="112" spans="1:19" s="29" customFormat="1">
      <c r="A112" s="444">
        <v>6.1</v>
      </c>
      <c r="B112" s="826"/>
      <c r="C112" s="821"/>
      <c r="D112" s="847"/>
      <c r="E112" s="537"/>
      <c r="F112" s="537"/>
      <c r="G112" s="538">
        <f>IFERROR(F112/$F$115,0)</f>
        <v>0</v>
      </c>
      <c r="H112" s="442">
        <f>E112*G112</f>
        <v>0</v>
      </c>
      <c r="R112" s="53"/>
      <c r="S112" s="45"/>
    </row>
    <row r="113" spans="1:19" s="29" customFormat="1">
      <c r="A113" s="444">
        <v>6.2</v>
      </c>
      <c r="B113" s="826"/>
      <c r="C113" s="821"/>
      <c r="D113" s="847"/>
      <c r="E113" s="537"/>
      <c r="F113" s="537"/>
      <c r="G113" s="538">
        <f>IFERROR(F113/$F$115,0)</f>
        <v>0</v>
      </c>
      <c r="H113" s="442">
        <f>E113*G113</f>
        <v>0</v>
      </c>
      <c r="R113" s="53"/>
      <c r="S113" s="45"/>
    </row>
    <row r="114" spans="1:19" s="29" customFormat="1">
      <c r="A114" s="444">
        <v>6.3</v>
      </c>
      <c r="B114" s="848"/>
      <c r="C114" s="848"/>
      <c r="D114" s="848"/>
      <c r="E114" s="537"/>
      <c r="F114" s="537"/>
      <c r="G114" s="538">
        <f>IFERROR(F114/$F$115,0)</f>
        <v>0</v>
      </c>
      <c r="H114" s="442">
        <f>E114*G114</f>
        <v>0</v>
      </c>
      <c r="R114" s="53"/>
      <c r="S114" s="45"/>
    </row>
    <row r="115" spans="1:19" s="29" customFormat="1" ht="15.6">
      <c r="A115" s="425"/>
      <c r="B115" s="325"/>
      <c r="C115" s="323"/>
      <c r="D115" s="323"/>
      <c r="E115" s="330" t="s">
        <v>62</v>
      </c>
      <c r="F115" s="333">
        <f>SUM(F91:F114)+E19</f>
        <v>0</v>
      </c>
      <c r="G115" s="334">
        <f>SUM(G91:G114)+F19</f>
        <v>0</v>
      </c>
      <c r="H115" s="445">
        <f>IFERROR(SUM(H91:H114),0)</f>
        <v>0</v>
      </c>
      <c r="R115" s="53"/>
      <c r="S115" s="45"/>
    </row>
    <row r="116" spans="1:19" s="29" customFormat="1" ht="15.6" thickBot="1">
      <c r="A116" s="491"/>
      <c r="B116" s="492"/>
      <c r="C116" s="493"/>
      <c r="D116" s="493"/>
      <c r="E116" s="493"/>
      <c r="F116" s="493"/>
      <c r="G116" s="480"/>
      <c r="H116" s="639"/>
      <c r="R116" s="53"/>
      <c r="S116" s="45"/>
    </row>
    <row r="117" spans="1:19" s="29" customFormat="1" ht="31.2">
      <c r="A117" s="640" t="s">
        <v>0</v>
      </c>
      <c r="B117" s="641"/>
      <c r="C117" s="641"/>
      <c r="D117" s="642" t="s">
        <v>17</v>
      </c>
      <c r="E117" s="643" t="s">
        <v>81</v>
      </c>
      <c r="F117" s="644" t="s">
        <v>335</v>
      </c>
      <c r="G117" s="644" t="s">
        <v>336</v>
      </c>
      <c r="H117" s="645" t="s">
        <v>53</v>
      </c>
      <c r="R117" s="53"/>
      <c r="S117" s="45"/>
    </row>
    <row r="118" spans="1:19" s="29" customFormat="1" ht="15.6">
      <c r="A118" s="429" t="s">
        <v>238</v>
      </c>
      <c r="B118" s="83" t="s">
        <v>333</v>
      </c>
      <c r="C118" s="84"/>
      <c r="D118" s="85"/>
      <c r="E118" s="85"/>
      <c r="F118" s="85"/>
      <c r="G118" s="85"/>
      <c r="H118" s="430"/>
      <c r="R118" s="53"/>
      <c r="S118" s="45"/>
    </row>
    <row r="119" spans="1:19" s="29" customFormat="1" ht="15.6">
      <c r="A119" s="431">
        <v>7</v>
      </c>
      <c r="B119" s="86" t="s">
        <v>338</v>
      </c>
      <c r="C119" s="87"/>
      <c r="D119" s="88"/>
      <c r="E119" s="88"/>
      <c r="F119" s="88"/>
      <c r="G119" s="88"/>
      <c r="H119" s="432"/>
      <c r="R119" s="53"/>
      <c r="S119" s="45"/>
    </row>
    <row r="120" spans="1:19" s="29" customFormat="1" ht="15" customHeight="1">
      <c r="A120" s="404">
        <v>7.1</v>
      </c>
      <c r="B120" s="885" t="s">
        <v>290</v>
      </c>
      <c r="C120" s="884"/>
      <c r="D120" s="98">
        <f>VLOOKUP(A120,'Point Allocation'!$A$20:$J$41,MATCH(A7,'Point Allocation'!$A$20:$J$20,0),0)</f>
        <v>10</v>
      </c>
      <c r="E120" s="89">
        <f>F91</f>
        <v>0</v>
      </c>
      <c r="F120" s="89">
        <f>F29</f>
        <v>0</v>
      </c>
      <c r="G120" s="91">
        <f>IFERROR(SUM(E120:F120)/SUM($E$138:$F$138),0)</f>
        <v>0</v>
      </c>
      <c r="H120" s="433">
        <f>D120*G120</f>
        <v>0</v>
      </c>
      <c r="R120" s="53"/>
      <c r="S120" s="45"/>
    </row>
    <row r="121" spans="1:19" s="29" customFormat="1" ht="15.6">
      <c r="A121" s="434">
        <v>8</v>
      </c>
      <c r="B121" s="92" t="s">
        <v>339</v>
      </c>
      <c r="C121" s="93"/>
      <c r="D121" s="94"/>
      <c r="E121" s="95"/>
      <c r="F121" s="95"/>
      <c r="G121" s="96"/>
      <c r="H121" s="435"/>
      <c r="R121" s="53"/>
      <c r="S121" s="45"/>
    </row>
    <row r="122" spans="1:19" s="29" customFormat="1">
      <c r="A122" s="849">
        <v>8.1</v>
      </c>
      <c r="B122" s="844" t="s">
        <v>337</v>
      </c>
      <c r="C122" s="845"/>
      <c r="D122" s="925">
        <f>VLOOKUP(A122,'Point Allocation'!$A$20:$J$41,MATCH(A7,'Point Allocation'!$A$20:$J$20,0),0)</f>
        <v>8</v>
      </c>
      <c r="E122" s="927">
        <f>F93</f>
        <v>0</v>
      </c>
      <c r="F122" s="859"/>
      <c r="G122" s="860">
        <f>IFERROR(SUM(E122:F123)/SUM($E$138:$F$138),0)</f>
        <v>0</v>
      </c>
      <c r="H122" s="921">
        <f>D122*G122</f>
        <v>0</v>
      </c>
      <c r="R122" s="53"/>
      <c r="S122" s="45"/>
    </row>
    <row r="123" spans="1:19" s="29" customFormat="1" ht="15.6">
      <c r="A123" s="882"/>
      <c r="B123" s="836" t="s">
        <v>120</v>
      </c>
      <c r="C123" s="838"/>
      <c r="D123" s="926"/>
      <c r="E123" s="927"/>
      <c r="F123" s="859"/>
      <c r="G123" s="861"/>
      <c r="H123" s="921"/>
      <c r="R123" s="53"/>
      <c r="S123" s="45"/>
    </row>
    <row r="124" spans="1:19" s="29" customFormat="1">
      <c r="A124" s="404">
        <v>8.1999999999999993</v>
      </c>
      <c r="B124" s="885" t="s">
        <v>178</v>
      </c>
      <c r="C124" s="884"/>
      <c r="D124" s="98">
        <f>VLOOKUP(A124,'Point Allocation'!$A$20:$J$41,MATCH(A7,'Point Allocation'!$A$20:$J$20,0),0)</f>
        <v>8</v>
      </c>
      <c r="E124" s="189">
        <f>F95</f>
        <v>0</v>
      </c>
      <c r="F124" s="548"/>
      <c r="G124" s="91">
        <f>IFERROR(SUM(E124:F124)/SUM($E$138:$F$138),0)</f>
        <v>0</v>
      </c>
      <c r="H124" s="437">
        <f>D124*G124</f>
        <v>0</v>
      </c>
      <c r="R124" s="53"/>
      <c r="S124" s="45"/>
    </row>
    <row r="125" spans="1:19" s="29" customFormat="1" ht="15.6">
      <c r="A125" s="431">
        <v>9</v>
      </c>
      <c r="B125" s="86" t="s">
        <v>340</v>
      </c>
      <c r="C125" s="93"/>
      <c r="D125" s="95"/>
      <c r="E125" s="95"/>
      <c r="F125" s="95"/>
      <c r="G125" s="96"/>
      <c r="H125" s="436"/>
      <c r="R125" s="53"/>
      <c r="S125" s="45"/>
    </row>
    <row r="126" spans="1:19" s="29" customFormat="1">
      <c r="A126" s="849">
        <v>9.1</v>
      </c>
      <c r="B126" s="844" t="s">
        <v>381</v>
      </c>
      <c r="C126" s="845"/>
      <c r="D126" s="925">
        <f>VLOOKUP(A126,'Point Allocation'!$A$20:$J$41,MATCH(A7,'Point Allocation'!$A$20:$J$20,0),0)</f>
        <v>6</v>
      </c>
      <c r="E126" s="859"/>
      <c r="F126" s="859"/>
      <c r="G126" s="914">
        <f>IFERROR(SUM(E126:F127)/SUM($E$138:$F$138),0)</f>
        <v>0</v>
      </c>
      <c r="H126" s="921">
        <f>D126*G126</f>
        <v>0</v>
      </c>
      <c r="R126" s="53"/>
      <c r="S126" s="45"/>
    </row>
    <row r="127" spans="1:19" s="29" customFormat="1" ht="15.6">
      <c r="A127" s="882"/>
      <c r="B127" s="836" t="s">
        <v>5</v>
      </c>
      <c r="C127" s="838"/>
      <c r="D127" s="926"/>
      <c r="E127" s="859"/>
      <c r="F127" s="859"/>
      <c r="G127" s="914"/>
      <c r="H127" s="921"/>
      <c r="R127" s="53"/>
      <c r="S127" s="45"/>
    </row>
    <row r="128" spans="1:19" s="29" customFormat="1" ht="15.6">
      <c r="A128" s="431">
        <v>10</v>
      </c>
      <c r="B128" s="86" t="s">
        <v>342</v>
      </c>
      <c r="C128" s="93"/>
      <c r="D128" s="95"/>
      <c r="E128" s="95"/>
      <c r="F128" s="95"/>
      <c r="G128" s="96"/>
      <c r="H128" s="436"/>
      <c r="R128" s="53"/>
      <c r="S128" s="45"/>
    </row>
    <row r="129" spans="1:19" s="29" customFormat="1" ht="15" customHeight="1">
      <c r="A129" s="409">
        <v>10.1</v>
      </c>
      <c r="B129" s="844" t="s">
        <v>382</v>
      </c>
      <c r="C129" s="845"/>
      <c r="D129" s="98">
        <f>VLOOKUP(A129,'Point Allocation'!$A$20:$J$41,MATCH(A7,'Point Allocation'!$A$20:$J$20,0),0)</f>
        <v>4</v>
      </c>
      <c r="E129" s="548"/>
      <c r="F129" s="548"/>
      <c r="G129" s="91">
        <f>IFERROR(SUM(E129:F129)/SUM($E$138:$F$138),0)</f>
        <v>0</v>
      </c>
      <c r="H129" s="437">
        <f>D129*G129</f>
        <v>0</v>
      </c>
      <c r="R129" s="53"/>
      <c r="S129" s="45"/>
    </row>
    <row r="130" spans="1:19" s="29" customFormat="1" ht="32.25" customHeight="1">
      <c r="A130" s="406">
        <v>10.199999999999999</v>
      </c>
      <c r="B130" s="928" t="s">
        <v>353</v>
      </c>
      <c r="C130" s="929"/>
      <c r="D130" s="98">
        <f>VLOOKUP(A130,'Point Allocation'!$A$20:$J$41,MATCH(A7,'Point Allocation'!$A$20:$J$20,0),0)</f>
        <v>4</v>
      </c>
      <c r="E130" s="188"/>
      <c r="F130" s="548"/>
      <c r="G130" s="538">
        <f>IFERROR(SUM(E130:F130)/SUM($E$138:$F$138),0)</f>
        <v>0</v>
      </c>
      <c r="H130" s="437">
        <f>D130*G130</f>
        <v>0</v>
      </c>
      <c r="R130" s="53"/>
      <c r="S130" s="45"/>
    </row>
    <row r="131" spans="1:19" s="29" customFormat="1" ht="15.6">
      <c r="A131" s="439" t="s">
        <v>239</v>
      </c>
      <c r="B131" s="99" t="s">
        <v>262</v>
      </c>
      <c r="C131" s="100"/>
      <c r="D131" s="102"/>
      <c r="E131" s="103"/>
      <c r="F131" s="103"/>
      <c r="G131" s="104"/>
      <c r="H131" s="440"/>
      <c r="R131" s="53"/>
      <c r="S131" s="45"/>
    </row>
    <row r="132" spans="1:19" s="29" customFormat="1" ht="15.6">
      <c r="A132" s="431">
        <v>11</v>
      </c>
      <c r="B132" s="86" t="s">
        <v>263</v>
      </c>
      <c r="C132" s="93"/>
      <c r="D132" s="95"/>
      <c r="E132" s="95"/>
      <c r="F132" s="95"/>
      <c r="G132" s="96"/>
      <c r="H132" s="436"/>
      <c r="R132" s="53"/>
      <c r="S132" s="45"/>
    </row>
    <row r="133" spans="1:19" s="29" customFormat="1">
      <c r="A133" s="409">
        <v>11.1</v>
      </c>
      <c r="B133" s="844" t="s">
        <v>593</v>
      </c>
      <c r="C133" s="845"/>
      <c r="D133" s="98">
        <f>VLOOKUP(A133,'Point Allocation'!$A$20:$J$41,MATCH(A7,'Point Allocation'!$A$20:$J$20,0),0)</f>
        <v>2</v>
      </c>
      <c r="E133" s="548"/>
      <c r="F133" s="548"/>
      <c r="G133" s="538">
        <f>IFERROR(SUM(E133:F133)/SUM($E$138:$F$138),0)</f>
        <v>0</v>
      </c>
      <c r="H133" s="437">
        <f t="shared" ref="H133:H137" si="2">D133*G133</f>
        <v>0</v>
      </c>
      <c r="R133" s="53"/>
      <c r="S133" s="45"/>
    </row>
    <row r="134" spans="1:19" s="29" customFormat="1">
      <c r="A134" s="446">
        <v>11.2</v>
      </c>
      <c r="B134" s="874" t="s">
        <v>344</v>
      </c>
      <c r="C134" s="875"/>
      <c r="D134" s="189">
        <f>VLOOKUP(A133,'Point Allocation'!$A$20:$J$41,MATCH(A7,'Point Allocation'!$A$20:$J$20,0),0)</f>
        <v>2</v>
      </c>
      <c r="E134" s="548"/>
      <c r="F134" s="548"/>
      <c r="G134" s="538">
        <f>IFERROR(SUM(E134:F134)/SUM($E$138:$F$138),0)</f>
        <v>0</v>
      </c>
      <c r="H134" s="437">
        <f t="shared" si="2"/>
        <v>0</v>
      </c>
      <c r="R134" s="53"/>
      <c r="S134" s="45"/>
    </row>
    <row r="135" spans="1:19" s="29" customFormat="1">
      <c r="A135" s="409">
        <v>11.3</v>
      </c>
      <c r="B135" s="874" t="s">
        <v>352</v>
      </c>
      <c r="C135" s="875"/>
      <c r="D135" s="98">
        <f>VLOOKUP(A135,'Point Allocation'!$A$20:$J$41,MATCH(A7,'Point Allocation'!$A$20:$J$20,0),0)</f>
        <v>0</v>
      </c>
      <c r="E135" s="548"/>
      <c r="F135" s="548"/>
      <c r="G135" s="538">
        <f>IFERROR(SUM(E135:F135)/SUM($E$138:$F$138),0)</f>
        <v>0</v>
      </c>
      <c r="H135" s="437">
        <f t="shared" si="2"/>
        <v>0</v>
      </c>
      <c r="R135" s="53"/>
      <c r="S135" s="45"/>
    </row>
    <row r="136" spans="1:19" s="29" customFormat="1">
      <c r="A136" s="447">
        <v>11.4</v>
      </c>
      <c r="B136" s="866"/>
      <c r="C136" s="867"/>
      <c r="D136" s="537"/>
      <c r="E136" s="548"/>
      <c r="F136" s="548"/>
      <c r="G136" s="538">
        <f>IFERROR(SUM(E136:F136)/SUM($E$138:$F$138),0)</f>
        <v>0</v>
      </c>
      <c r="H136" s="437">
        <f t="shared" si="2"/>
        <v>0</v>
      </c>
      <c r="R136" s="53"/>
      <c r="S136" s="45"/>
    </row>
    <row r="137" spans="1:19" s="29" customFormat="1">
      <c r="A137" s="447">
        <v>11.5</v>
      </c>
      <c r="B137" s="866"/>
      <c r="C137" s="867"/>
      <c r="D137" s="537"/>
      <c r="E137" s="548"/>
      <c r="F137" s="548"/>
      <c r="G137" s="538">
        <f>IFERROR(SUM(E137:F137)/SUM($E$138:$F$138),0)</f>
        <v>0</v>
      </c>
      <c r="H137" s="437">
        <f t="shared" si="2"/>
        <v>0</v>
      </c>
      <c r="R137" s="53"/>
      <c r="S137" s="45"/>
    </row>
    <row r="138" spans="1:19" s="29" customFormat="1" ht="15.6">
      <c r="A138" s="412"/>
      <c r="B138" s="325"/>
      <c r="C138" s="323"/>
      <c r="D138" s="330" t="s">
        <v>140</v>
      </c>
      <c r="E138" s="333">
        <f>SUM(E120:E137)</f>
        <v>0</v>
      </c>
      <c r="F138" s="335">
        <f>SUM(F120:F137)</f>
        <v>0</v>
      </c>
      <c r="G138" s="336">
        <f>SUM(G120:G137)</f>
        <v>0</v>
      </c>
      <c r="H138" s="448">
        <f>IFERROR(SUM(H120:H137),0)</f>
        <v>0</v>
      </c>
      <c r="R138" s="53"/>
      <c r="S138" s="45"/>
    </row>
    <row r="139" spans="1:19" s="29" customFormat="1">
      <c r="A139" s="414"/>
      <c r="B139" s="325"/>
      <c r="C139" s="323"/>
      <c r="D139" s="323"/>
      <c r="E139" s="323"/>
      <c r="F139" s="323"/>
      <c r="G139" s="332"/>
      <c r="H139" s="388"/>
      <c r="R139" s="53"/>
      <c r="S139" s="45"/>
    </row>
    <row r="140" spans="1:19" s="29" customFormat="1" ht="46.8">
      <c r="A140" s="868" t="s">
        <v>0</v>
      </c>
      <c r="B140" s="869"/>
      <c r="C140" s="176"/>
      <c r="D140" s="545" t="s">
        <v>58</v>
      </c>
      <c r="E140" s="545" t="s">
        <v>59</v>
      </c>
      <c r="F140" s="870" t="s">
        <v>60</v>
      </c>
      <c r="G140" s="870"/>
      <c r="H140" s="449" t="s">
        <v>63</v>
      </c>
      <c r="K140" s="107" t="s">
        <v>72</v>
      </c>
      <c r="L140" s="107">
        <v>1</v>
      </c>
      <c r="M140" s="107">
        <v>2</v>
      </c>
      <c r="N140" s="107">
        <v>3</v>
      </c>
      <c r="O140" s="107">
        <v>4</v>
      </c>
      <c r="P140" s="107">
        <v>5</v>
      </c>
      <c r="Q140" s="107">
        <v>6</v>
      </c>
      <c r="R140" s="53"/>
      <c r="S140" s="45"/>
    </row>
    <row r="141" spans="1:19" s="29" customFormat="1" ht="15.6">
      <c r="A141" s="450" t="s">
        <v>240</v>
      </c>
      <c r="B141" s="130" t="s">
        <v>148</v>
      </c>
      <c r="C141" s="175"/>
      <c r="D141" s="57"/>
      <c r="E141" s="57"/>
      <c r="F141" s="58"/>
      <c r="G141" s="108"/>
      <c r="H141" s="451"/>
      <c r="K141" s="107" t="s">
        <v>74</v>
      </c>
      <c r="L141" s="107" t="s">
        <v>73</v>
      </c>
      <c r="M141" s="107">
        <v>1</v>
      </c>
      <c r="N141" s="107">
        <v>2</v>
      </c>
      <c r="O141" s="107">
        <v>3</v>
      </c>
      <c r="P141" s="107">
        <v>4</v>
      </c>
      <c r="Q141" s="107">
        <v>4</v>
      </c>
      <c r="R141" s="53"/>
      <c r="S141" s="45"/>
    </row>
    <row r="142" spans="1:19" s="29" customFormat="1">
      <c r="A142" s="391" t="s">
        <v>241</v>
      </c>
      <c r="B142" s="520" t="s">
        <v>442</v>
      </c>
      <c r="C142" s="177" t="s">
        <v>56</v>
      </c>
      <c r="D142" s="854"/>
      <c r="E142" s="854"/>
      <c r="F142" s="892" t="str">
        <f>IF(D142&gt;9,D142/E142," ")</f>
        <v xml:space="preserve"> </v>
      </c>
      <c r="G142" s="892"/>
      <c r="H142" s="437">
        <f>IF(D142="",0,IF(D142&lt;9,2,IF((D142/E142)=0,2,IF((D142/E142)&lt;10%,1.5,IF((D142/E142)&lt;15%,1,IF((D142/E142)&lt;20%,0.5,0))))))</f>
        <v>0</v>
      </c>
      <c r="K142" s="107" t="s">
        <v>75</v>
      </c>
      <c r="L142" s="107" t="s">
        <v>73</v>
      </c>
      <c r="M142" s="107">
        <v>5</v>
      </c>
      <c r="N142" s="107">
        <v>15</v>
      </c>
      <c r="O142" s="107">
        <v>25</v>
      </c>
      <c r="P142" s="107">
        <v>35</v>
      </c>
      <c r="Q142" s="107">
        <v>35</v>
      </c>
      <c r="R142" s="53"/>
      <c r="S142" s="45"/>
    </row>
    <row r="143" spans="1:19" s="29" customFormat="1">
      <c r="A143" s="391" t="s">
        <v>242</v>
      </c>
      <c r="B143" s="520" t="s">
        <v>443</v>
      </c>
      <c r="C143" s="177" t="s">
        <v>57</v>
      </c>
      <c r="D143" s="854"/>
      <c r="E143" s="854"/>
      <c r="F143" s="893"/>
      <c r="G143" s="893"/>
      <c r="H143" s="437">
        <f>IF(E142="",0,IF(E142&lt;15,HLOOKUP(F143,K140:Q147,4,FALSE),IF(E142&lt;45,HLOOKUP(F143,K140:Q147,5,FALSE),IF(E142&lt;90,HLOOKUP(F143,K140:Q147,6,FALSE),IF(E142&lt;135,HLOOKUP(F143,K140:Q147,7,FALSE),IF(E142&gt;=135,HLOOKUP(F143,K140:Q147,8,FALSE),3))))))</f>
        <v>0</v>
      </c>
      <c r="J143" s="55"/>
      <c r="K143" s="107" t="s">
        <v>76</v>
      </c>
      <c r="L143" s="107">
        <v>3</v>
      </c>
      <c r="M143" s="107">
        <v>3</v>
      </c>
      <c r="N143" s="107">
        <v>3</v>
      </c>
      <c r="O143" s="107">
        <v>2.5</v>
      </c>
      <c r="P143" s="107">
        <v>1.5</v>
      </c>
      <c r="Q143" s="107">
        <v>0</v>
      </c>
      <c r="R143" s="53"/>
      <c r="S143" s="45"/>
    </row>
    <row r="144" spans="1:19" s="29" customFormat="1">
      <c r="A144" s="412"/>
      <c r="B144" s="325"/>
      <c r="C144" s="332"/>
      <c r="D144" s="337"/>
      <c r="E144" s="337"/>
      <c r="F144" s="337"/>
      <c r="G144" s="337"/>
      <c r="H144" s="452"/>
      <c r="J144" s="55"/>
      <c r="K144" s="107" t="s">
        <v>77</v>
      </c>
      <c r="L144" s="107">
        <v>3</v>
      </c>
      <c r="M144" s="107">
        <v>3</v>
      </c>
      <c r="N144" s="107">
        <v>2.5</v>
      </c>
      <c r="O144" s="107">
        <v>1.5</v>
      </c>
      <c r="P144" s="107">
        <v>1</v>
      </c>
      <c r="Q144" s="107">
        <v>0</v>
      </c>
      <c r="R144" s="53"/>
      <c r="S144" s="45"/>
    </row>
    <row r="145" spans="1:19" s="29" customFormat="1" ht="15.6">
      <c r="A145" s="412"/>
      <c r="B145" s="338"/>
      <c r="C145" s="332"/>
      <c r="D145" s="332"/>
      <c r="E145" s="332"/>
      <c r="F145" s="323"/>
      <c r="G145" s="339"/>
      <c r="H145" s="453"/>
      <c r="J145" s="55"/>
      <c r="K145" s="107" t="s">
        <v>78</v>
      </c>
      <c r="L145" s="107">
        <v>3</v>
      </c>
      <c r="M145" s="107">
        <v>2.5</v>
      </c>
      <c r="N145" s="107">
        <v>1.5</v>
      </c>
      <c r="O145" s="107">
        <v>1</v>
      </c>
      <c r="P145" s="107">
        <v>0</v>
      </c>
      <c r="Q145" s="107">
        <v>0</v>
      </c>
      <c r="R145" s="53"/>
      <c r="S145" s="45"/>
    </row>
    <row r="146" spans="1:19" s="29" customFormat="1" ht="15.75" customHeight="1">
      <c r="A146" s="876" t="s">
        <v>0</v>
      </c>
      <c r="B146" s="877"/>
      <c r="C146" s="991"/>
      <c r="D146" s="880" t="s">
        <v>4</v>
      </c>
      <c r="E146" s="895" t="s">
        <v>1</v>
      </c>
      <c r="F146" s="881"/>
      <c r="G146" s="896" t="s">
        <v>21</v>
      </c>
      <c r="H146" s="890" t="s">
        <v>63</v>
      </c>
      <c r="J146" s="55"/>
      <c r="K146" s="107" t="s">
        <v>79</v>
      </c>
      <c r="L146" s="107">
        <v>3</v>
      </c>
      <c r="M146" s="107">
        <v>1.5</v>
      </c>
      <c r="N146" s="107">
        <v>1</v>
      </c>
      <c r="O146" s="107">
        <v>0</v>
      </c>
      <c r="P146" s="107">
        <v>0</v>
      </c>
      <c r="Q146" s="107">
        <v>0</v>
      </c>
      <c r="R146" s="53"/>
      <c r="S146" s="45"/>
    </row>
    <row r="147" spans="1:19" s="29" customFormat="1" ht="30" customHeight="1">
      <c r="A147" s="878"/>
      <c r="B147" s="879"/>
      <c r="C147" s="992"/>
      <c r="D147" s="881"/>
      <c r="E147" s="545" t="s">
        <v>65</v>
      </c>
      <c r="F147" s="545" t="s">
        <v>66</v>
      </c>
      <c r="G147" s="897"/>
      <c r="H147" s="891"/>
      <c r="J147" s="55"/>
      <c r="K147" s="107" t="s">
        <v>80</v>
      </c>
      <c r="L147" s="107">
        <v>3</v>
      </c>
      <c r="M147" s="107">
        <v>1</v>
      </c>
      <c r="N147" s="107">
        <v>0</v>
      </c>
      <c r="O147" s="107">
        <v>0</v>
      </c>
      <c r="P147" s="107">
        <v>0</v>
      </c>
      <c r="Q147" s="107">
        <v>0</v>
      </c>
      <c r="R147" s="53"/>
      <c r="S147" s="45"/>
    </row>
    <row r="148" spans="1:19" s="29" customFormat="1" ht="15.6">
      <c r="A148" s="454" t="s">
        <v>243</v>
      </c>
      <c r="B148" s="109" t="s">
        <v>264</v>
      </c>
      <c r="C148" s="110"/>
      <c r="D148" s="110"/>
      <c r="E148" s="110"/>
      <c r="F148" s="114"/>
      <c r="G148" s="115"/>
      <c r="H148" s="455"/>
      <c r="K148" s="107" t="s">
        <v>74</v>
      </c>
      <c r="L148" s="107" t="s">
        <v>73</v>
      </c>
      <c r="M148" s="107">
        <v>1</v>
      </c>
      <c r="N148" s="107">
        <v>2</v>
      </c>
      <c r="O148" s="107">
        <v>3</v>
      </c>
      <c r="P148" s="107">
        <v>4</v>
      </c>
      <c r="Q148" s="107">
        <v>4</v>
      </c>
      <c r="R148" s="53"/>
      <c r="S148" s="45"/>
    </row>
    <row r="149" spans="1:19" s="29" customFormat="1" ht="15.6">
      <c r="A149" s="456" t="s">
        <v>244</v>
      </c>
      <c r="B149" s="158" t="s">
        <v>231</v>
      </c>
      <c r="C149" s="159"/>
      <c r="D149" s="160"/>
      <c r="E149" s="161"/>
      <c r="F149" s="161"/>
      <c r="G149" s="162"/>
      <c r="H149" s="457"/>
      <c r="J149" s="55"/>
      <c r="R149" s="53"/>
      <c r="S149" s="45"/>
    </row>
    <row r="150" spans="1:19" s="29" customFormat="1">
      <c r="A150" s="418" t="s">
        <v>245</v>
      </c>
      <c r="B150" s="885" t="s">
        <v>424</v>
      </c>
      <c r="C150" s="884"/>
      <c r="D150" s="163" t="s">
        <v>51</v>
      </c>
      <c r="E150" s="541">
        <v>2</v>
      </c>
      <c r="F150" s="541">
        <v>3</v>
      </c>
      <c r="G150" s="27"/>
      <c r="H150" s="405">
        <f t="shared" ref="H150:H159" si="3">IF(G150&gt;=80%,F150,IF(G150&lt;65%,0,E150))</f>
        <v>0</v>
      </c>
      <c r="R150" s="53"/>
      <c r="S150" s="45"/>
    </row>
    <row r="151" spans="1:19" s="29" customFormat="1">
      <c r="A151" s="418" t="s">
        <v>246</v>
      </c>
      <c r="B151" s="844" t="s">
        <v>423</v>
      </c>
      <c r="C151" s="845"/>
      <c r="D151" s="164" t="s">
        <v>51</v>
      </c>
      <c r="E151" s="20">
        <v>2</v>
      </c>
      <c r="F151" s="20">
        <v>3</v>
      </c>
      <c r="G151" s="547"/>
      <c r="H151" s="405">
        <f>IF(G151&gt;=80%,F151,IF(G151&lt;65%,0,E151))</f>
        <v>0</v>
      </c>
      <c r="R151" s="53"/>
      <c r="S151" s="45"/>
    </row>
    <row r="152" spans="1:19" s="29" customFormat="1" ht="30">
      <c r="A152" s="839" t="s">
        <v>247</v>
      </c>
      <c r="B152" s="915" t="s">
        <v>448</v>
      </c>
      <c r="C152" s="916"/>
      <c r="D152" s="521" t="s">
        <v>446</v>
      </c>
      <c r="E152" s="907">
        <v>2.5</v>
      </c>
      <c r="F152" s="908"/>
      <c r="G152" s="940"/>
      <c r="H152" s="938">
        <f>IF(G152&gt;=35,E153,IF(G152&gt;=30,E152,0))</f>
        <v>0</v>
      </c>
      <c r="R152" s="53"/>
      <c r="S152" s="45"/>
    </row>
    <row r="153" spans="1:19" s="29" customFormat="1" ht="30">
      <c r="A153" s="841"/>
      <c r="B153" s="917"/>
      <c r="C153" s="918"/>
      <c r="D153" s="521" t="s">
        <v>447</v>
      </c>
      <c r="E153" s="907">
        <v>3</v>
      </c>
      <c r="F153" s="908"/>
      <c r="G153" s="941"/>
      <c r="H153" s="939"/>
      <c r="R153" s="53"/>
      <c r="S153" s="45"/>
    </row>
    <row r="154" spans="1:19" s="29" customFormat="1" ht="31.5" customHeight="1">
      <c r="A154" s="839" t="s">
        <v>248</v>
      </c>
      <c r="B154" s="915" t="s">
        <v>449</v>
      </c>
      <c r="C154" s="933"/>
      <c r="D154" s="165" t="s">
        <v>372</v>
      </c>
      <c r="E154" s="864">
        <v>4</v>
      </c>
      <c r="F154" s="865"/>
      <c r="G154" s="942"/>
      <c r="H154" s="945">
        <f>IF(G154&gt;=80,E154,IF(G154&gt;=70,E155,IF(G154&gt;=60,E156,IF(G154&gt;=50,E157,0))))</f>
        <v>0</v>
      </c>
      <c r="I154" s="913"/>
      <c r="R154" s="53"/>
      <c r="S154" s="45"/>
    </row>
    <row r="155" spans="1:19" s="29" customFormat="1" ht="31.5" customHeight="1">
      <c r="A155" s="840"/>
      <c r="B155" s="934"/>
      <c r="C155" s="935"/>
      <c r="D155" s="165" t="s">
        <v>373</v>
      </c>
      <c r="E155" s="864">
        <v>3</v>
      </c>
      <c r="F155" s="865"/>
      <c r="G155" s="943"/>
      <c r="H155" s="946"/>
      <c r="I155" s="913"/>
      <c r="R155" s="53"/>
      <c r="S155" s="45"/>
    </row>
    <row r="156" spans="1:19" s="29" customFormat="1" ht="31.5" customHeight="1">
      <c r="A156" s="840"/>
      <c r="B156" s="934"/>
      <c r="C156" s="935"/>
      <c r="D156" s="165" t="s">
        <v>411</v>
      </c>
      <c r="E156" s="864">
        <v>2</v>
      </c>
      <c r="F156" s="865"/>
      <c r="G156" s="943"/>
      <c r="H156" s="946"/>
      <c r="I156" s="913"/>
      <c r="R156" s="53"/>
      <c r="S156" s="45"/>
    </row>
    <row r="157" spans="1:19" s="29" customFormat="1" ht="31.5" customHeight="1">
      <c r="A157" s="841"/>
      <c r="B157" s="936"/>
      <c r="C157" s="937"/>
      <c r="D157" s="165" t="s">
        <v>412</v>
      </c>
      <c r="E157" s="864">
        <v>1</v>
      </c>
      <c r="F157" s="865"/>
      <c r="G157" s="944"/>
      <c r="H157" s="947"/>
      <c r="I157" s="913"/>
      <c r="R157" s="53"/>
      <c r="S157" s="45"/>
    </row>
    <row r="158" spans="1:19" s="29" customFormat="1" ht="31.5" customHeight="1">
      <c r="A158" s="839" t="s">
        <v>414</v>
      </c>
      <c r="B158" s="915" t="s">
        <v>444</v>
      </c>
      <c r="C158" s="933"/>
      <c r="D158" s="165" t="s">
        <v>67</v>
      </c>
      <c r="E158" s="376">
        <v>3.5</v>
      </c>
      <c r="F158" s="376">
        <v>4</v>
      </c>
      <c r="G158" s="27"/>
      <c r="H158" s="405">
        <f t="shared" si="3"/>
        <v>0</v>
      </c>
      <c r="I158" s="913"/>
      <c r="R158" s="53"/>
      <c r="S158" s="45"/>
    </row>
    <row r="159" spans="1:19" s="29" customFormat="1" ht="30">
      <c r="A159" s="841"/>
      <c r="B159" s="936"/>
      <c r="C159" s="937"/>
      <c r="D159" s="165" t="s">
        <v>68</v>
      </c>
      <c r="E159" s="376">
        <v>2.5</v>
      </c>
      <c r="F159" s="376">
        <v>3</v>
      </c>
      <c r="G159" s="27"/>
      <c r="H159" s="405">
        <f t="shared" si="3"/>
        <v>0</v>
      </c>
      <c r="R159" s="53"/>
      <c r="S159" s="45"/>
    </row>
    <row r="160" spans="1:19" s="29" customFormat="1">
      <c r="A160" s="522" t="s">
        <v>594</v>
      </c>
      <c r="B160" s="999" t="s">
        <v>421</v>
      </c>
      <c r="C160" s="1000"/>
      <c r="D160" s="523" t="s">
        <v>51</v>
      </c>
      <c r="E160" s="551">
        <v>2</v>
      </c>
      <c r="F160" s="551">
        <v>2.5</v>
      </c>
      <c r="G160" s="27"/>
      <c r="H160" s="298">
        <f>IF(G160&gt;=80%,F160,IF(G160&lt;65%,0,E160))</f>
        <v>0</v>
      </c>
      <c r="R160" s="53"/>
      <c r="S160" s="45"/>
    </row>
    <row r="161" spans="1:19" s="29" customFormat="1" ht="15.6">
      <c r="A161" s="431" t="s">
        <v>249</v>
      </c>
      <c r="B161" s="86" t="s">
        <v>299</v>
      </c>
      <c r="C161" s="93"/>
      <c r="D161" s="160"/>
      <c r="E161" s="161"/>
      <c r="F161" s="161"/>
      <c r="G161" s="162"/>
      <c r="H161" s="457"/>
      <c r="I161" s="172"/>
      <c r="R161" s="53"/>
      <c r="S161" s="45"/>
    </row>
    <row r="162" spans="1:19" s="29" customFormat="1" ht="32.25" customHeight="1">
      <c r="A162" s="418" t="s">
        <v>250</v>
      </c>
      <c r="B162" s="936" t="s">
        <v>597</v>
      </c>
      <c r="C162" s="937"/>
      <c r="D162" s="543" t="s">
        <v>51</v>
      </c>
      <c r="E162" s="541">
        <v>2</v>
      </c>
      <c r="F162" s="541">
        <v>2.5</v>
      </c>
      <c r="G162" s="27"/>
      <c r="H162" s="405">
        <f>IF(G162&gt;=80%,F162,IF(G162&lt;65%,0,E162))</f>
        <v>0</v>
      </c>
      <c r="R162" s="53"/>
      <c r="S162" s="45"/>
    </row>
    <row r="163" spans="1:19" s="29" customFormat="1" ht="29.25" customHeight="1">
      <c r="A163" s="418" t="s">
        <v>251</v>
      </c>
      <c r="B163" s="999" t="s">
        <v>445</v>
      </c>
      <c r="C163" s="1000"/>
      <c r="D163" s="543" t="s">
        <v>51</v>
      </c>
      <c r="E163" s="541">
        <v>2</v>
      </c>
      <c r="F163" s="541">
        <v>2.5</v>
      </c>
      <c r="G163" s="27"/>
      <c r="H163" s="405">
        <f>IF(G163&gt;=80%,F163,IF(G163&lt;65%,0,E163))</f>
        <v>0</v>
      </c>
      <c r="R163" s="53"/>
      <c r="S163" s="45"/>
    </row>
    <row r="164" spans="1:19" s="29" customFormat="1" ht="15.6">
      <c r="A164" s="431">
        <v>15</v>
      </c>
      <c r="B164" s="86" t="s">
        <v>278</v>
      </c>
      <c r="C164" s="93"/>
      <c r="D164" s="160"/>
      <c r="E164" s="161"/>
      <c r="F164" s="161"/>
      <c r="G164" s="162"/>
      <c r="H164" s="457"/>
      <c r="I164" s="172"/>
      <c r="R164" s="53"/>
      <c r="S164" s="45"/>
    </row>
    <row r="165" spans="1:19" s="29" customFormat="1">
      <c r="A165" s="839" t="s">
        <v>252</v>
      </c>
      <c r="B165" s="936" t="s">
        <v>297</v>
      </c>
      <c r="C165" s="937"/>
      <c r="D165" s="919" t="s">
        <v>51</v>
      </c>
      <c r="E165" s="910">
        <v>2.5</v>
      </c>
      <c r="F165" s="910">
        <v>4</v>
      </c>
      <c r="G165" s="899"/>
      <c r="H165" s="945">
        <f>IF(G165&gt;=80%,F165,IF(G165&lt;65%,0,E165))</f>
        <v>0</v>
      </c>
      <c r="I165" s="172"/>
      <c r="R165" s="53"/>
      <c r="S165" s="45"/>
    </row>
    <row r="166" spans="1:19" s="29" customFormat="1" ht="15.6">
      <c r="A166" s="841"/>
      <c r="B166" s="998" t="s">
        <v>298</v>
      </c>
      <c r="C166" s="998"/>
      <c r="D166" s="920"/>
      <c r="E166" s="911"/>
      <c r="F166" s="911"/>
      <c r="G166" s="900"/>
      <c r="H166" s="947"/>
      <c r="I166" s="172"/>
      <c r="R166" s="53"/>
      <c r="S166" s="45"/>
    </row>
    <row r="167" spans="1:19" s="29" customFormat="1">
      <c r="A167" s="839" t="s">
        <v>253</v>
      </c>
      <c r="B167" s="885" t="s">
        <v>146</v>
      </c>
      <c r="C167" s="884"/>
      <c r="D167" s="769" t="s">
        <v>51</v>
      </c>
      <c r="E167" s="906">
        <v>2.5</v>
      </c>
      <c r="F167" s="906">
        <v>4</v>
      </c>
      <c r="G167" s="905"/>
      <c r="H167" s="909">
        <f>IF(G167&gt;=80%,F167,IF(G167&lt;65%,0,E167))</f>
        <v>0</v>
      </c>
      <c r="I167" s="172"/>
      <c r="R167" s="53"/>
      <c r="S167" s="45"/>
    </row>
    <row r="168" spans="1:19" s="29" customFormat="1" ht="15.6">
      <c r="A168" s="841"/>
      <c r="B168" s="998" t="s">
        <v>120</v>
      </c>
      <c r="C168" s="998"/>
      <c r="D168" s="769"/>
      <c r="E168" s="906"/>
      <c r="F168" s="906"/>
      <c r="G168" s="905"/>
      <c r="H168" s="909"/>
      <c r="I168" s="172"/>
      <c r="R168" s="53"/>
      <c r="S168" s="45"/>
    </row>
    <row r="169" spans="1:19" s="29" customFormat="1" ht="15.6">
      <c r="A169" s="443">
        <v>16</v>
      </c>
      <c r="B169" s="106" t="s">
        <v>213</v>
      </c>
      <c r="C169" s="93"/>
      <c r="D169" s="93"/>
      <c r="E169" s="95"/>
      <c r="F169" s="95"/>
      <c r="G169" s="96"/>
      <c r="H169" s="436"/>
      <c r="R169" s="60"/>
      <c r="S169" s="45"/>
    </row>
    <row r="170" spans="1:19" s="29" customFormat="1">
      <c r="A170" s="418" t="s">
        <v>255</v>
      </c>
      <c r="B170" s="826"/>
      <c r="C170" s="821"/>
      <c r="D170" s="111"/>
      <c r="E170" s="537"/>
      <c r="F170" s="537"/>
      <c r="G170" s="67"/>
      <c r="H170" s="542">
        <f>IF(G170&gt;=80%,F170,IF(G170&lt;65%,0,E170))</f>
        <v>0</v>
      </c>
      <c r="R170" s="53"/>
      <c r="S170" s="45"/>
    </row>
    <row r="171" spans="1:19" s="29" customFormat="1">
      <c r="A171" s="418" t="s">
        <v>256</v>
      </c>
      <c r="B171" s="826"/>
      <c r="C171" s="821"/>
      <c r="D171" s="111"/>
      <c r="E171" s="537"/>
      <c r="F171" s="537"/>
      <c r="G171" s="67"/>
      <c r="H171" s="542">
        <f>IF(G171&gt;=80%,F171,IF(G171&lt;65%,0,E171))</f>
        <v>0</v>
      </c>
      <c r="R171" s="53"/>
      <c r="S171" s="45"/>
    </row>
    <row r="172" spans="1:19" s="29" customFormat="1">
      <c r="A172" s="418" t="s">
        <v>257</v>
      </c>
      <c r="B172" s="826"/>
      <c r="C172" s="821"/>
      <c r="D172" s="111"/>
      <c r="E172" s="537"/>
      <c r="F172" s="537"/>
      <c r="G172" s="67"/>
      <c r="H172" s="542">
        <f>IF(G172&gt;=80%,F172,IF(G172&lt;65%,0,E172))</f>
        <v>0</v>
      </c>
      <c r="R172" s="53"/>
      <c r="S172" s="45"/>
    </row>
    <row r="173" spans="1:19" s="29" customFormat="1" ht="15.6">
      <c r="A173" s="425"/>
      <c r="B173" s="325"/>
      <c r="C173" s="323"/>
      <c r="D173" s="323"/>
      <c r="E173" s="323"/>
      <c r="F173" s="327"/>
      <c r="G173" s="328" t="s">
        <v>419</v>
      </c>
      <c r="H173" s="458">
        <f>IFERROR((SUM(H142:H172)),0)</f>
        <v>0</v>
      </c>
      <c r="R173" s="53"/>
      <c r="S173" s="45"/>
    </row>
    <row r="174" spans="1:19" s="29" customFormat="1" ht="15.6" thickBot="1">
      <c r="A174" s="491"/>
      <c r="B174" s="492"/>
      <c r="C174" s="493"/>
      <c r="D174" s="493"/>
      <c r="E174" s="493"/>
      <c r="F174" s="493"/>
      <c r="G174" s="480"/>
      <c r="H174" s="639"/>
      <c r="R174" s="53"/>
      <c r="S174" s="45"/>
    </row>
    <row r="175" spans="1:19" s="29" customFormat="1" ht="30.75" customHeight="1">
      <c r="A175" s="995" t="s">
        <v>0</v>
      </c>
      <c r="B175" s="996"/>
      <c r="C175" s="997"/>
      <c r="D175" s="1011" t="s">
        <v>4</v>
      </c>
      <c r="E175" s="902" t="s">
        <v>1</v>
      </c>
      <c r="F175" s="903"/>
      <c r="G175" s="898" t="s">
        <v>21</v>
      </c>
      <c r="H175" s="888" t="s">
        <v>63</v>
      </c>
      <c r="R175" s="53"/>
      <c r="S175" s="45"/>
    </row>
    <row r="176" spans="1:19" s="29" customFormat="1" ht="15.6">
      <c r="A176" s="878"/>
      <c r="B176" s="879"/>
      <c r="C176" s="992"/>
      <c r="D176" s="1012"/>
      <c r="E176" s="545" t="s">
        <v>121</v>
      </c>
      <c r="F176" s="545" t="s">
        <v>122</v>
      </c>
      <c r="G176" s="870"/>
      <c r="H176" s="889"/>
      <c r="R176" s="53"/>
      <c r="S176" s="45"/>
    </row>
    <row r="177" spans="1:19" s="29" customFormat="1" ht="15.6">
      <c r="A177" s="450" t="s">
        <v>254</v>
      </c>
      <c r="B177" s="109" t="s">
        <v>258</v>
      </c>
      <c r="C177" s="110"/>
      <c r="D177" s="110"/>
      <c r="E177" s="110"/>
      <c r="F177" s="114"/>
      <c r="G177" s="115"/>
      <c r="H177" s="455"/>
      <c r="R177" s="53"/>
      <c r="S177" s="45"/>
    </row>
    <row r="178" spans="1:19" s="29" customFormat="1">
      <c r="A178" s="391" t="s">
        <v>300</v>
      </c>
      <c r="B178" s="885" t="s">
        <v>259</v>
      </c>
      <c r="C178" s="886"/>
      <c r="D178" s="5" t="s">
        <v>51</v>
      </c>
      <c r="E178" s="20">
        <v>-1</v>
      </c>
      <c r="F178" s="20">
        <v>-2</v>
      </c>
      <c r="G178" s="28"/>
      <c r="H178" s="405">
        <f>IF(G178&gt;=30%,F178,IF(G178=0%,0,E178))</f>
        <v>0</v>
      </c>
      <c r="R178" s="53"/>
      <c r="S178" s="45"/>
    </row>
    <row r="179" spans="1:19" s="29" customFormat="1">
      <c r="A179" s="391" t="s">
        <v>301</v>
      </c>
      <c r="B179" s="885" t="s">
        <v>260</v>
      </c>
      <c r="C179" s="886"/>
      <c r="D179" s="5" t="s">
        <v>51</v>
      </c>
      <c r="E179" s="20">
        <v>-1</v>
      </c>
      <c r="F179" s="20">
        <v>-1.5</v>
      </c>
      <c r="G179" s="28"/>
      <c r="H179" s="405">
        <f>IF(G179&gt;=30%,F179,IF(G179=0%,0,E179))</f>
        <v>0</v>
      </c>
      <c r="R179" s="53"/>
      <c r="S179" s="45"/>
    </row>
    <row r="180" spans="1:19" s="29" customFormat="1">
      <c r="A180" s="391" t="s">
        <v>302</v>
      </c>
      <c r="B180" s="885" t="s">
        <v>261</v>
      </c>
      <c r="C180" s="886"/>
      <c r="D180" s="5" t="s">
        <v>51</v>
      </c>
      <c r="E180" s="904">
        <v>-1</v>
      </c>
      <c r="F180" s="904"/>
      <c r="G180" s="547"/>
      <c r="H180" s="405">
        <f>IF(G180&gt;0%,E180,0)</f>
        <v>0</v>
      </c>
      <c r="R180" s="53"/>
      <c r="S180" s="45"/>
    </row>
    <row r="181" spans="1:19" s="29" customFormat="1" ht="15.6">
      <c r="A181" s="425"/>
      <c r="B181" s="325"/>
      <c r="C181" s="323"/>
      <c r="D181" s="323"/>
      <c r="E181" s="323"/>
      <c r="F181" s="327"/>
      <c r="G181" s="328" t="s">
        <v>142</v>
      </c>
      <c r="H181" s="458">
        <f>IFERROR(MAX(SUM(H178:H180),-4),0)</f>
        <v>0</v>
      </c>
      <c r="R181" s="45"/>
      <c r="S181" s="45"/>
    </row>
    <row r="182" spans="1:19" s="29" customFormat="1">
      <c r="A182" s="412"/>
      <c r="B182" s="325"/>
      <c r="C182" s="323"/>
      <c r="D182" s="323"/>
      <c r="E182" s="323"/>
      <c r="F182" s="323"/>
      <c r="G182" s="332"/>
      <c r="H182" s="388"/>
      <c r="R182" s="53"/>
      <c r="S182" s="45"/>
    </row>
    <row r="183" spans="1:19" s="29" customFormat="1" ht="15.6">
      <c r="A183" s="412"/>
      <c r="B183" s="325"/>
      <c r="C183" s="323"/>
      <c r="D183" s="323"/>
      <c r="E183" s="323"/>
      <c r="F183" s="323"/>
      <c r="G183" s="330" t="s">
        <v>141</v>
      </c>
      <c r="H183" s="459">
        <f>IFERROR(MIN(SUM(H115+H138+H173+H181),G86),0)</f>
        <v>0</v>
      </c>
      <c r="R183" s="53"/>
      <c r="S183" s="45"/>
    </row>
    <row r="184" spans="1:19" s="29" customFormat="1" ht="16.2" thickBot="1">
      <c r="A184" s="491"/>
      <c r="B184" s="492"/>
      <c r="C184" s="493"/>
      <c r="D184" s="493"/>
      <c r="E184" s="493"/>
      <c r="F184" s="493"/>
      <c r="G184" s="494"/>
      <c r="H184" s="495"/>
      <c r="R184" s="53"/>
      <c r="S184" s="45"/>
    </row>
    <row r="185" spans="1:19" s="29" customFormat="1" ht="15.6">
      <c r="A185" s="481" t="s">
        <v>64</v>
      </c>
      <c r="B185" s="482"/>
      <c r="C185" s="482"/>
      <c r="D185" s="482"/>
      <c r="E185" s="482"/>
      <c r="F185" s="483" t="s">
        <v>43</v>
      </c>
      <c r="G185" s="484">
        <f>VLOOKUP($A$7,'Manpower allocation'!A4:D11,4,FALSE)*100</f>
        <v>15</v>
      </c>
      <c r="H185" s="485" t="s">
        <v>42</v>
      </c>
      <c r="J185" s="112">
        <f>VLOOKUP($A$7,'Manpower allocation'!A4:D11,4,FALSE)*100</f>
        <v>15</v>
      </c>
      <c r="R185" s="53"/>
      <c r="S185" s="45"/>
    </row>
    <row r="186" spans="1:19" s="29" customFormat="1" ht="15.6">
      <c r="A186" s="412"/>
      <c r="B186" s="331"/>
      <c r="C186" s="323"/>
      <c r="D186" s="323"/>
      <c r="E186" s="323"/>
      <c r="F186" s="323"/>
      <c r="G186" s="332"/>
      <c r="H186" s="388"/>
      <c r="R186" s="53"/>
      <c r="S186" s="45"/>
    </row>
    <row r="187" spans="1:19" s="29" customFormat="1" ht="46.8">
      <c r="A187" s="993" t="s">
        <v>0</v>
      </c>
      <c r="B187" s="994"/>
      <c r="C187" s="113"/>
      <c r="D187" s="539" t="s">
        <v>17</v>
      </c>
      <c r="E187" s="539" t="s">
        <v>125</v>
      </c>
      <c r="F187" s="539" t="s">
        <v>109</v>
      </c>
      <c r="G187" s="539" t="s">
        <v>18</v>
      </c>
      <c r="H187" s="544" t="s">
        <v>63</v>
      </c>
      <c r="R187" s="53"/>
      <c r="S187" s="45"/>
    </row>
    <row r="188" spans="1:19" s="29" customFormat="1" ht="15.6">
      <c r="A188" s="454" t="s">
        <v>265</v>
      </c>
      <c r="B188" s="109" t="s">
        <v>358</v>
      </c>
      <c r="C188" s="110"/>
      <c r="D188" s="110"/>
      <c r="E188" s="110"/>
      <c r="F188" s="114"/>
      <c r="G188" s="115"/>
      <c r="H188" s="455"/>
      <c r="R188" s="53"/>
      <c r="S188" s="45"/>
    </row>
    <row r="189" spans="1:19" s="29" customFormat="1" ht="15.6">
      <c r="A189" s="460">
        <v>1</v>
      </c>
      <c r="B189" s="116" t="s">
        <v>338</v>
      </c>
      <c r="C189" s="117"/>
      <c r="D189" s="118"/>
      <c r="E189" s="118"/>
      <c r="F189" s="118"/>
      <c r="G189" s="118"/>
      <c r="H189" s="461"/>
      <c r="R189" s="53"/>
      <c r="S189" s="45"/>
    </row>
    <row r="190" spans="1:19" s="29" customFormat="1">
      <c r="A190" s="409">
        <v>1.1000000000000001</v>
      </c>
      <c r="B190" s="844" t="s">
        <v>290</v>
      </c>
      <c r="C190" s="845"/>
      <c r="D190" s="20">
        <f>VLOOKUP(A190,'Point Allocation'!$A$46:$J$55,MATCH(A7,'Point Allocation'!$A$46:$J$46,0),0)</f>
        <v>15</v>
      </c>
      <c r="E190" s="38"/>
      <c r="F190" s="38"/>
      <c r="G190" s="31">
        <f>MIN(IFERROR(F190/E190,0),100%)</f>
        <v>0</v>
      </c>
      <c r="H190" s="405">
        <f>D190*G190</f>
        <v>0</v>
      </c>
      <c r="R190" s="53"/>
      <c r="S190" s="45"/>
    </row>
    <row r="191" spans="1:19" s="29" customFormat="1" ht="15.6">
      <c r="A191" s="462">
        <v>2</v>
      </c>
      <c r="B191" s="119" t="s">
        <v>339</v>
      </c>
      <c r="C191" s="120"/>
      <c r="D191" s="32"/>
      <c r="E191" s="33"/>
      <c r="F191" s="33"/>
      <c r="G191" s="34"/>
      <c r="H191" s="463"/>
      <c r="R191" s="53"/>
      <c r="S191" s="45"/>
    </row>
    <row r="192" spans="1:19" s="29" customFormat="1" ht="33" customHeight="1">
      <c r="A192" s="464">
        <v>2.1</v>
      </c>
      <c r="B192" s="969" t="s">
        <v>266</v>
      </c>
      <c r="C192" s="971"/>
      <c r="D192" s="20">
        <f>VLOOKUP(A192,'Point Allocation'!$A$46:$J$55,MATCH(A7,'Point Allocation'!$A$46:$J$46,0),0)</f>
        <v>12</v>
      </c>
      <c r="E192" s="38"/>
      <c r="F192" s="38"/>
      <c r="G192" s="31">
        <f>MIN(IFERROR(F192/E192,0),100%)</f>
        <v>0</v>
      </c>
      <c r="H192" s="405">
        <f>D192*G192</f>
        <v>0</v>
      </c>
      <c r="R192" s="53"/>
      <c r="S192" s="45"/>
    </row>
    <row r="193" spans="1:19" s="29" customFormat="1" ht="15.6">
      <c r="A193" s="460">
        <v>3</v>
      </c>
      <c r="B193" s="116" t="s">
        <v>343</v>
      </c>
      <c r="C193" s="121"/>
      <c r="D193" s="35"/>
      <c r="E193" s="35"/>
      <c r="F193" s="35"/>
      <c r="G193" s="34"/>
      <c r="H193" s="465"/>
      <c r="R193" s="53"/>
      <c r="S193" s="45"/>
    </row>
    <row r="194" spans="1:19" s="29" customFormat="1">
      <c r="A194" s="466">
        <v>3.1</v>
      </c>
      <c r="B194" s="850" t="s">
        <v>451</v>
      </c>
      <c r="C194" s="851"/>
      <c r="D194" s="20">
        <f>VLOOKUP(A194,'Point Allocation'!$A$46:$J$55,MATCH(A7,'Point Allocation'!$A$46:$J$46,0),0)</f>
        <v>4</v>
      </c>
      <c r="E194" s="38"/>
      <c r="F194" s="38"/>
      <c r="G194" s="31">
        <f>MIN(IFERROR(F194/E194,0),100%)</f>
        <v>0</v>
      </c>
      <c r="H194" s="405">
        <f>D194*G194</f>
        <v>0</v>
      </c>
      <c r="R194" s="53"/>
      <c r="S194" s="45"/>
    </row>
    <row r="195" spans="1:19" s="29" customFormat="1" ht="32.25" customHeight="1">
      <c r="A195" s="466">
        <v>3.2</v>
      </c>
      <c r="B195" s="850" t="s">
        <v>452</v>
      </c>
      <c r="C195" s="851"/>
      <c r="D195" s="20">
        <f>VLOOKUP(A195,'Point Allocation'!$A$46:$J$55,MATCH(A7,'Point Allocation'!$A$46:$J$46,0),0)</f>
        <v>4</v>
      </c>
      <c r="E195" s="178"/>
      <c r="F195" s="38"/>
      <c r="G195" s="31">
        <f>MIN(IFERROR(F195/E195,0),100%)</f>
        <v>0</v>
      </c>
      <c r="H195" s="405">
        <f>D195*G195</f>
        <v>0</v>
      </c>
      <c r="R195" s="53"/>
      <c r="S195" s="45"/>
    </row>
    <row r="196" spans="1:19" s="29" customFormat="1" ht="32.25" customHeight="1">
      <c r="A196" s="404">
        <v>3.3</v>
      </c>
      <c r="B196" s="885" t="s">
        <v>170</v>
      </c>
      <c r="C196" s="886"/>
      <c r="D196" s="20">
        <f>VLOOKUP(A196,'Point Allocation'!$A$46:$J$55,MATCH(A7,'Point Allocation'!$A$46:$J$46,0),0)</f>
        <v>4</v>
      </c>
      <c r="E196" s="179"/>
      <c r="F196" s="536"/>
      <c r="G196" s="31">
        <f>MIN(IFERROR(F196/E196,0),100%)</f>
        <v>0</v>
      </c>
      <c r="H196" s="405">
        <f>D196*G196</f>
        <v>0</v>
      </c>
      <c r="R196" s="53"/>
      <c r="S196" s="45"/>
    </row>
    <row r="197" spans="1:19" s="29" customFormat="1" ht="15.6">
      <c r="A197" s="412"/>
      <c r="B197" s="325"/>
      <c r="C197" s="323"/>
      <c r="D197" s="324" t="s">
        <v>6</v>
      </c>
      <c r="E197" s="300">
        <f>MAX(SUM(E190:E196),F197)</f>
        <v>0</v>
      </c>
      <c r="F197" s="300">
        <f>SUM(F190:F196)</f>
        <v>0</v>
      </c>
      <c r="G197" s="340">
        <f>IFERROR(MIN(F197/E197,100%),0)</f>
        <v>0</v>
      </c>
      <c r="H197" s="413">
        <f>IFERROR(SUM(H190:H196),0)</f>
        <v>0</v>
      </c>
      <c r="R197" s="53"/>
      <c r="S197" s="45"/>
    </row>
    <row r="198" spans="1:19" s="29" customFormat="1" ht="15.6">
      <c r="A198" s="412"/>
      <c r="B198" s="338"/>
      <c r="C198" s="341"/>
      <c r="D198" s="342"/>
      <c r="E198" s="341"/>
      <c r="F198" s="341"/>
      <c r="G198" s="343"/>
      <c r="H198" s="467"/>
      <c r="R198" s="53"/>
      <c r="S198" s="45"/>
    </row>
    <row r="199" spans="1:19" s="29" customFormat="1" ht="15.6">
      <c r="A199" s="993" t="s">
        <v>0</v>
      </c>
      <c r="B199" s="994"/>
      <c r="C199" s="982"/>
      <c r="D199" s="901" t="s">
        <v>4</v>
      </c>
      <c r="E199" s="901" t="s">
        <v>1</v>
      </c>
      <c r="F199" s="901"/>
      <c r="G199" s="894" t="s">
        <v>21</v>
      </c>
      <c r="H199" s="887" t="s">
        <v>63</v>
      </c>
      <c r="R199" s="53"/>
      <c r="S199" s="45"/>
    </row>
    <row r="200" spans="1:19" s="29" customFormat="1" ht="30.75" customHeight="1">
      <c r="A200" s="1007"/>
      <c r="B200" s="1008"/>
      <c r="C200" s="983"/>
      <c r="D200" s="901"/>
      <c r="E200" s="539" t="s">
        <v>65</v>
      </c>
      <c r="F200" s="539" t="s">
        <v>66</v>
      </c>
      <c r="G200" s="894"/>
      <c r="H200" s="887"/>
      <c r="R200" s="53"/>
      <c r="S200" s="45"/>
    </row>
    <row r="201" spans="1:19" s="29" customFormat="1" ht="15.6">
      <c r="A201" s="415" t="s">
        <v>271</v>
      </c>
      <c r="B201" s="46" t="s">
        <v>272</v>
      </c>
      <c r="C201" s="57"/>
      <c r="D201" s="57"/>
      <c r="E201" s="57"/>
      <c r="F201" s="58"/>
      <c r="G201" s="108"/>
      <c r="H201" s="451"/>
      <c r="R201" s="53"/>
      <c r="S201" s="45"/>
    </row>
    <row r="202" spans="1:19" s="29" customFormat="1" ht="15.6">
      <c r="A202" s="468">
        <v>4</v>
      </c>
      <c r="B202" s="122" t="s">
        <v>341</v>
      </c>
      <c r="C202" s="120"/>
      <c r="D202" s="123"/>
      <c r="E202" s="124"/>
      <c r="F202" s="124"/>
      <c r="G202" s="125"/>
      <c r="H202" s="469"/>
      <c r="R202" s="53"/>
      <c r="S202" s="45"/>
    </row>
    <row r="203" spans="1:19" s="29" customFormat="1">
      <c r="A203" s="409">
        <v>4.0999999999999996</v>
      </c>
      <c r="B203" s="844" t="s">
        <v>164</v>
      </c>
      <c r="C203" s="845"/>
      <c r="D203" s="5" t="s">
        <v>51</v>
      </c>
      <c r="E203" s="20" t="s">
        <v>50</v>
      </c>
      <c r="F203" s="20">
        <f>VLOOKUP(A203,'Point Allocation'!$A$46:$J$55,MATCH(A7,'Point Allocation'!$A$46:$J$46,0),0)</f>
        <v>1.5</v>
      </c>
      <c r="G203" s="547"/>
      <c r="H203" s="405">
        <f>IF(G203&gt;=80%,F203,0)</f>
        <v>0</v>
      </c>
      <c r="R203" s="53"/>
      <c r="S203" s="45"/>
    </row>
    <row r="204" spans="1:19" s="29" customFormat="1">
      <c r="A204" s="409">
        <v>4.2</v>
      </c>
      <c r="B204" s="844" t="s">
        <v>161</v>
      </c>
      <c r="C204" s="845"/>
      <c r="D204" s="5" t="s">
        <v>51</v>
      </c>
      <c r="E204" s="20" t="s">
        <v>50</v>
      </c>
      <c r="F204" s="20">
        <f>VLOOKUP(A204,'Point Allocation'!$A$46:$J$55,MATCH(A7,'Point Allocation'!$A$46:$J$46,0),0)</f>
        <v>1.5</v>
      </c>
      <c r="G204" s="547"/>
      <c r="H204" s="405">
        <f>IF(G204&gt;=80%,F204,0)</f>
        <v>0</v>
      </c>
      <c r="R204" s="53"/>
      <c r="S204" s="45"/>
    </row>
    <row r="205" spans="1:19" s="29" customFormat="1">
      <c r="A205" s="409">
        <v>4.3</v>
      </c>
      <c r="B205" s="844" t="s">
        <v>155</v>
      </c>
      <c r="C205" s="845"/>
      <c r="D205" s="5" t="s">
        <v>3</v>
      </c>
      <c r="E205" s="20" t="s">
        <v>50</v>
      </c>
      <c r="F205" s="20">
        <f>VLOOKUP(A205,'Point Allocation'!$A$46:$J$55,MATCH(A7,'Point Allocation'!$A$46:$J$46,0),0)</f>
        <v>1.5</v>
      </c>
      <c r="G205" s="547"/>
      <c r="H205" s="405">
        <f>IF(G205&gt;=80%,F205,0)</f>
        <v>0</v>
      </c>
      <c r="R205" s="53"/>
      <c r="S205" s="45"/>
    </row>
    <row r="206" spans="1:19" s="29" customFormat="1">
      <c r="A206" s="470">
        <v>4.4000000000000004</v>
      </c>
      <c r="B206" s="874" t="s">
        <v>270</v>
      </c>
      <c r="C206" s="875"/>
      <c r="D206" s="5" t="s">
        <v>3</v>
      </c>
      <c r="E206" s="20" t="s">
        <v>50</v>
      </c>
      <c r="F206" s="20">
        <f>VLOOKUP(A206,'Point Allocation'!$A$46:$J$55,MATCH(A7,'Point Allocation'!$A$46:$J$46,0),0)</f>
        <v>1.5</v>
      </c>
      <c r="G206" s="547"/>
      <c r="H206" s="405">
        <f>IF(G206&gt;=80%,F206,0)</f>
        <v>0</v>
      </c>
      <c r="R206" s="53"/>
      <c r="S206" s="45"/>
    </row>
    <row r="207" spans="1:19" s="29" customFormat="1" ht="15.6">
      <c r="A207" s="468">
        <v>5</v>
      </c>
      <c r="B207" s="122" t="s">
        <v>213</v>
      </c>
      <c r="C207" s="120"/>
      <c r="D207" s="126"/>
      <c r="E207" s="127"/>
      <c r="F207" s="127"/>
      <c r="G207" s="128"/>
      <c r="H207" s="471"/>
      <c r="R207" s="53"/>
      <c r="S207" s="45"/>
    </row>
    <row r="208" spans="1:19" s="29" customFormat="1">
      <c r="A208" s="411">
        <v>5.0999999999999996</v>
      </c>
      <c r="B208" s="826"/>
      <c r="C208" s="847"/>
      <c r="D208" s="530"/>
      <c r="E208" s="536"/>
      <c r="F208" s="536"/>
      <c r="G208" s="547"/>
      <c r="H208" s="542">
        <f>IF(G208&gt;=80%,F208,IF(G208&lt;65%,0,E208))</f>
        <v>0</v>
      </c>
      <c r="R208" s="53"/>
      <c r="S208" s="45"/>
    </row>
    <row r="209" spans="1:19" s="29" customFormat="1">
      <c r="A209" s="411">
        <v>5.2</v>
      </c>
      <c r="B209" s="826"/>
      <c r="C209" s="847"/>
      <c r="D209" s="530"/>
      <c r="E209" s="536"/>
      <c r="F209" s="536"/>
      <c r="G209" s="547"/>
      <c r="H209" s="542">
        <f>IF(G209&gt;=80%,F209,IF(G209&lt;65%,0,E209))</f>
        <v>0</v>
      </c>
      <c r="R209" s="53"/>
      <c r="S209" s="45"/>
    </row>
    <row r="210" spans="1:19" s="29" customFormat="1">
      <c r="A210" s="411">
        <v>5.3</v>
      </c>
      <c r="B210" s="826"/>
      <c r="C210" s="847"/>
      <c r="D210" s="530"/>
      <c r="E210" s="536"/>
      <c r="F210" s="536"/>
      <c r="G210" s="547"/>
      <c r="H210" s="542">
        <f>IF(G210&gt;=80%,F210,IF(G210&lt;65%,0,E210))</f>
        <v>0</v>
      </c>
      <c r="R210" s="53"/>
      <c r="S210" s="45"/>
    </row>
    <row r="211" spans="1:19" s="29" customFormat="1" ht="15.6">
      <c r="A211" s="412"/>
      <c r="B211" s="344"/>
      <c r="C211" s="344"/>
      <c r="D211" s="332"/>
      <c r="E211" s="332"/>
      <c r="F211" s="332"/>
      <c r="G211" s="330" t="s">
        <v>7</v>
      </c>
      <c r="H211" s="445">
        <f>IFERROR(SUM(H203:H206,H208:H210),0)</f>
        <v>0</v>
      </c>
      <c r="R211" s="53"/>
      <c r="S211" s="45"/>
    </row>
    <row r="212" spans="1:19" s="29" customFormat="1">
      <c r="A212" s="412"/>
      <c r="B212" s="325"/>
      <c r="C212" s="323"/>
      <c r="D212" s="323"/>
      <c r="E212" s="323"/>
      <c r="F212" s="323"/>
      <c r="G212" s="332"/>
      <c r="H212" s="388"/>
      <c r="R212" s="53"/>
      <c r="S212" s="45"/>
    </row>
    <row r="213" spans="1:19" s="29" customFormat="1" ht="15.6">
      <c r="A213" s="993" t="s">
        <v>0</v>
      </c>
      <c r="B213" s="994"/>
      <c r="C213" s="982"/>
      <c r="D213" s="894" t="s">
        <v>4</v>
      </c>
      <c r="E213" s="901" t="s">
        <v>1</v>
      </c>
      <c r="F213" s="901"/>
      <c r="G213" s="894" t="s">
        <v>21</v>
      </c>
      <c r="H213" s="887" t="s">
        <v>63</v>
      </c>
      <c r="R213" s="53"/>
      <c r="S213" s="45"/>
    </row>
    <row r="214" spans="1:19" s="29" customFormat="1" ht="31.2">
      <c r="A214" s="1007"/>
      <c r="B214" s="1008"/>
      <c r="C214" s="983"/>
      <c r="D214" s="901"/>
      <c r="E214" s="539" t="s">
        <v>65</v>
      </c>
      <c r="F214" s="539" t="s">
        <v>66</v>
      </c>
      <c r="G214" s="894"/>
      <c r="H214" s="887"/>
      <c r="R214" s="53"/>
      <c r="S214" s="45"/>
    </row>
    <row r="215" spans="1:19" s="29" customFormat="1" ht="15.6">
      <c r="A215" s="454" t="s">
        <v>273</v>
      </c>
      <c r="B215" s="109" t="s">
        <v>234</v>
      </c>
      <c r="C215" s="129"/>
      <c r="D215" s="130"/>
      <c r="E215" s="130"/>
      <c r="F215" s="131"/>
      <c r="G215" s="132"/>
      <c r="H215" s="472"/>
      <c r="R215" s="53"/>
      <c r="S215" s="45"/>
    </row>
    <row r="216" spans="1:19" s="29" customFormat="1" ht="15.6">
      <c r="A216" s="391" t="s">
        <v>199</v>
      </c>
      <c r="B216" s="844" t="s">
        <v>274</v>
      </c>
      <c r="C216" s="845"/>
      <c r="D216" s="98" t="s">
        <v>2</v>
      </c>
      <c r="E216" s="98">
        <v>1</v>
      </c>
      <c r="F216" s="98">
        <v>2</v>
      </c>
      <c r="G216" s="67"/>
      <c r="H216" s="437">
        <f>IF(G216&gt;=80%,F216,IF(G216&lt;65%,0,E216))</f>
        <v>0</v>
      </c>
      <c r="K216" s="135"/>
      <c r="R216" s="53"/>
      <c r="S216" s="45"/>
    </row>
    <row r="217" spans="1:19" s="29" customFormat="1" ht="31.5" customHeight="1">
      <c r="A217" s="473" t="s">
        <v>200</v>
      </c>
      <c r="B217" s="960" t="s">
        <v>275</v>
      </c>
      <c r="C217" s="962"/>
      <c r="D217" s="98" t="s">
        <v>51</v>
      </c>
      <c r="E217" s="98">
        <v>0.5</v>
      </c>
      <c r="F217" s="98">
        <v>1</v>
      </c>
      <c r="G217" s="67"/>
      <c r="H217" s="437">
        <f>IF(G217&gt;=80%,F217,IF(G217&lt;65%,0,E217))</f>
        <v>0</v>
      </c>
      <c r="R217" s="53"/>
      <c r="S217" s="45"/>
    </row>
    <row r="218" spans="1:19" s="29" customFormat="1" ht="15.6">
      <c r="A218" s="412"/>
      <c r="B218" s="325"/>
      <c r="C218" s="323"/>
      <c r="D218" s="323"/>
      <c r="E218" s="323"/>
      <c r="F218" s="326"/>
      <c r="G218" s="330" t="s">
        <v>110</v>
      </c>
      <c r="H218" s="474">
        <f>IFERROR(SUM(H216:H217),0)</f>
        <v>0</v>
      </c>
      <c r="R218" s="53"/>
      <c r="S218" s="45"/>
    </row>
    <row r="219" spans="1:19" s="29" customFormat="1">
      <c r="A219" s="412"/>
      <c r="B219" s="325"/>
      <c r="C219" s="323"/>
      <c r="D219" s="323"/>
      <c r="E219" s="323"/>
      <c r="F219" s="323"/>
      <c r="G219" s="332"/>
      <c r="H219" s="388"/>
      <c r="R219" s="53"/>
      <c r="S219" s="45"/>
    </row>
    <row r="220" spans="1:19" s="29" customFormat="1" ht="15.6">
      <c r="A220" s="412"/>
      <c r="B220" s="325"/>
      <c r="C220" s="323"/>
      <c r="D220" s="323"/>
      <c r="E220" s="323"/>
      <c r="F220" s="323"/>
      <c r="G220" s="330" t="s">
        <v>111</v>
      </c>
      <c r="H220" s="474">
        <f>IFERROR(MIN(SUM(H197+H211+H218),G185),0)</f>
        <v>0</v>
      </c>
      <c r="R220" s="53"/>
      <c r="S220" s="45"/>
    </row>
    <row r="221" spans="1:19" s="29" customFormat="1" ht="16.2" thickBot="1">
      <c r="A221" s="491"/>
      <c r="B221" s="492"/>
      <c r="C221" s="493"/>
      <c r="D221" s="493"/>
      <c r="E221" s="493"/>
      <c r="F221" s="493"/>
      <c r="G221" s="496"/>
      <c r="H221" s="495"/>
      <c r="R221" s="53"/>
      <c r="S221" s="45"/>
    </row>
    <row r="222" spans="1:19" s="29" customFormat="1" ht="15.6">
      <c r="A222" s="633" t="s">
        <v>137</v>
      </c>
      <c r="B222" s="634"/>
      <c r="C222" s="634"/>
      <c r="D222" s="634"/>
      <c r="E222" s="634"/>
      <c r="F222" s="635" t="s">
        <v>43</v>
      </c>
      <c r="G222" s="636">
        <v>20</v>
      </c>
      <c r="H222" s="637" t="s">
        <v>42</v>
      </c>
      <c r="R222" s="53"/>
      <c r="S222" s="45"/>
    </row>
    <row r="223" spans="1:19" s="29" customFormat="1" ht="15.6">
      <c r="A223" s="412"/>
      <c r="B223" s="347"/>
      <c r="C223" s="323"/>
      <c r="D223" s="323"/>
      <c r="E223" s="323"/>
      <c r="F223" s="323"/>
      <c r="G223" s="332"/>
      <c r="H223" s="388"/>
      <c r="R223" s="53"/>
      <c r="S223" s="45"/>
    </row>
    <row r="224" spans="1:19" s="29" customFormat="1" ht="33" customHeight="1">
      <c r="A224" s="1009" t="s">
        <v>0</v>
      </c>
      <c r="B224" s="1010"/>
      <c r="C224" s="136"/>
      <c r="D224" s="136"/>
      <c r="E224" s="137" t="s">
        <v>4</v>
      </c>
      <c r="F224" s="137" t="s">
        <v>70</v>
      </c>
      <c r="G224" s="138" t="s">
        <v>21</v>
      </c>
      <c r="H224" s="475" t="s">
        <v>63</v>
      </c>
      <c r="R224" s="53"/>
      <c r="S224" s="45"/>
    </row>
    <row r="225" spans="1:19" s="29" customFormat="1" ht="15.6">
      <c r="A225" s="454" t="s">
        <v>276</v>
      </c>
      <c r="B225" s="109" t="s">
        <v>277</v>
      </c>
      <c r="C225" s="110"/>
      <c r="D225" s="110"/>
      <c r="E225" s="110"/>
      <c r="F225" s="58"/>
      <c r="G225" s="139"/>
      <c r="H225" s="476"/>
      <c r="J225" s="134"/>
      <c r="R225" s="53"/>
      <c r="S225" s="45"/>
    </row>
    <row r="226" spans="1:19" s="29" customFormat="1" ht="15.6">
      <c r="A226" s="411">
        <v>1.1000000000000001</v>
      </c>
      <c r="B226" s="836" t="s">
        <v>123</v>
      </c>
      <c r="C226" s="837"/>
      <c r="D226" s="838"/>
      <c r="E226" s="167"/>
      <c r="F226" s="140"/>
      <c r="G226" s="141"/>
      <c r="H226" s="441">
        <f t="shared" ref="H226:H231" si="4">F226*G226</f>
        <v>0</v>
      </c>
      <c r="R226" s="53"/>
      <c r="S226" s="45"/>
    </row>
    <row r="227" spans="1:19" s="29" customFormat="1" ht="15.6">
      <c r="A227" s="406">
        <v>1.2</v>
      </c>
      <c r="B227" s="1004" t="s">
        <v>124</v>
      </c>
      <c r="C227" s="1005"/>
      <c r="D227" s="1006"/>
      <c r="E227" s="167"/>
      <c r="F227" s="140"/>
      <c r="G227" s="141"/>
      <c r="H227" s="441">
        <f t="shared" si="4"/>
        <v>0</v>
      </c>
      <c r="R227" s="53"/>
      <c r="S227" s="45"/>
    </row>
    <row r="228" spans="1:19" s="29" customFormat="1" ht="15.6">
      <c r="A228" s="411">
        <v>1.3</v>
      </c>
      <c r="B228" s="836" t="s">
        <v>115</v>
      </c>
      <c r="C228" s="837"/>
      <c r="D228" s="838"/>
      <c r="E228" s="167"/>
      <c r="F228" s="140"/>
      <c r="G228" s="141"/>
      <c r="H228" s="441">
        <f t="shared" si="4"/>
        <v>0</v>
      </c>
      <c r="R228" s="53"/>
      <c r="S228" s="45"/>
    </row>
    <row r="229" spans="1:19" s="29" customFormat="1" ht="15.6">
      <c r="A229" s="411">
        <v>1.4</v>
      </c>
      <c r="B229" s="836" t="s">
        <v>305</v>
      </c>
      <c r="C229" s="837"/>
      <c r="D229" s="838"/>
      <c r="E229" s="167"/>
      <c r="F229" s="140"/>
      <c r="G229" s="141"/>
      <c r="H229" s="441">
        <f t="shared" si="4"/>
        <v>0</v>
      </c>
      <c r="R229" s="53"/>
      <c r="S229" s="45"/>
    </row>
    <row r="230" spans="1:19" s="29" customFormat="1" ht="15.6">
      <c r="A230" s="411">
        <v>1.5</v>
      </c>
      <c r="B230" s="836"/>
      <c r="C230" s="837"/>
      <c r="D230" s="838"/>
      <c r="E230" s="167"/>
      <c r="F230" s="140"/>
      <c r="G230" s="141"/>
      <c r="H230" s="441">
        <f t="shared" si="4"/>
        <v>0</v>
      </c>
      <c r="R230" s="53"/>
      <c r="S230" s="45"/>
    </row>
    <row r="231" spans="1:19" s="29" customFormat="1" ht="15.6">
      <c r="A231" s="411">
        <v>1.6</v>
      </c>
      <c r="B231" s="836"/>
      <c r="C231" s="837"/>
      <c r="D231" s="838"/>
      <c r="E231" s="111"/>
      <c r="F231" s="142"/>
      <c r="G231" s="67"/>
      <c r="H231" s="441">
        <f t="shared" si="4"/>
        <v>0</v>
      </c>
      <c r="R231" s="53"/>
      <c r="S231" s="45"/>
    </row>
    <row r="232" spans="1:19" s="29" customFormat="1" ht="15.6">
      <c r="A232" s="454" t="s">
        <v>279</v>
      </c>
      <c r="B232" s="109" t="s">
        <v>278</v>
      </c>
      <c r="C232" s="110"/>
      <c r="D232" s="110"/>
      <c r="E232" s="110"/>
      <c r="F232" s="58"/>
      <c r="G232" s="139"/>
      <c r="H232" s="476"/>
      <c r="R232" s="53"/>
      <c r="S232" s="45"/>
    </row>
    <row r="233" spans="1:19" s="29" customFormat="1">
      <c r="A233" s="411">
        <v>2.1</v>
      </c>
      <c r="B233" s="1001" t="s">
        <v>138</v>
      </c>
      <c r="C233" s="1002"/>
      <c r="D233" s="1003"/>
      <c r="E233" s="157" t="s">
        <v>410</v>
      </c>
      <c r="F233" s="527">
        <v>2</v>
      </c>
      <c r="G233" s="528"/>
      <c r="H233" s="441">
        <f>IFERROR(VLOOKUP(E233,K234:L237,2,FALSE),0)</f>
        <v>0</v>
      </c>
      <c r="K233" s="29" t="s">
        <v>410</v>
      </c>
      <c r="L233" s="29">
        <v>0</v>
      </c>
      <c r="R233" s="53"/>
      <c r="S233" s="45"/>
    </row>
    <row r="234" spans="1:19" s="29" customFormat="1" ht="15.6">
      <c r="A234" s="412"/>
      <c r="B234" s="322"/>
      <c r="C234" s="323"/>
      <c r="D234" s="323"/>
      <c r="E234" s="323"/>
      <c r="F234" s="323"/>
      <c r="G234" s="330" t="s">
        <v>139</v>
      </c>
      <c r="H234" s="477">
        <f>IFERROR(MIN(SUM(H226:H233),G222),0)</f>
        <v>0</v>
      </c>
      <c r="K234" s="29" t="s">
        <v>406</v>
      </c>
      <c r="L234" s="29">
        <v>2</v>
      </c>
      <c r="R234" s="45"/>
      <c r="S234" s="45"/>
    </row>
    <row r="235" spans="1:19" s="29" customFormat="1">
      <c r="A235" s="412"/>
      <c r="B235" s="325"/>
      <c r="C235" s="323"/>
      <c r="D235" s="323"/>
      <c r="E235" s="323"/>
      <c r="F235" s="323"/>
      <c r="G235" s="332"/>
      <c r="H235" s="388"/>
      <c r="K235" s="29" t="s">
        <v>407</v>
      </c>
      <c r="L235" s="29">
        <v>2</v>
      </c>
      <c r="R235" s="45"/>
      <c r="S235" s="45"/>
    </row>
    <row r="236" spans="1:19" s="29" customFormat="1" ht="15.6">
      <c r="A236" s="412"/>
      <c r="B236" s="325"/>
      <c r="C236" s="323"/>
      <c r="D236" s="323"/>
      <c r="E236" s="323"/>
      <c r="F236" s="323"/>
      <c r="G236" s="330" t="s">
        <v>69</v>
      </c>
      <c r="H236" s="445">
        <f>IFERROR(H84+H183+H220+H234,0)</f>
        <v>0</v>
      </c>
      <c r="K236" s="29" t="s">
        <v>408</v>
      </c>
      <c r="L236" s="29">
        <v>2</v>
      </c>
      <c r="R236" s="45"/>
      <c r="S236" s="45"/>
    </row>
    <row r="237" spans="1:19" s="29" customFormat="1">
      <c r="A237" s="412"/>
      <c r="B237" s="325"/>
      <c r="C237" s="323"/>
      <c r="D237" s="323"/>
      <c r="E237" s="323"/>
      <c r="F237" s="323"/>
      <c r="G237" s="332"/>
      <c r="H237" s="388"/>
      <c r="K237" s="29" t="s">
        <v>409</v>
      </c>
      <c r="L237" s="29">
        <v>2</v>
      </c>
      <c r="R237" s="53"/>
      <c r="S237" s="45"/>
    </row>
    <row r="238" spans="1:19" s="29" customFormat="1" ht="15.75" customHeight="1">
      <c r="A238" s="412"/>
      <c r="B238" s="345" t="s">
        <v>37</v>
      </c>
      <c r="C238" s="332"/>
      <c r="D238" s="1013" t="s">
        <v>415</v>
      </c>
      <c r="E238" s="1013"/>
      <c r="F238" s="1013"/>
      <c r="G238" s="332"/>
      <c r="H238" s="478"/>
      <c r="R238" s="53"/>
      <c r="S238" s="45"/>
    </row>
    <row r="239" spans="1:19" s="29" customFormat="1" ht="15.6">
      <c r="A239" s="412"/>
      <c r="B239" s="346"/>
      <c r="C239" s="332"/>
      <c r="D239" s="1013"/>
      <c r="E239" s="1013"/>
      <c r="F239" s="1013"/>
      <c r="G239" s="332"/>
      <c r="H239" s="478"/>
      <c r="R239" s="53"/>
      <c r="S239" s="45"/>
    </row>
    <row r="240" spans="1:19" s="29" customFormat="1" ht="15.6">
      <c r="A240" s="479" t="s">
        <v>280</v>
      </c>
      <c r="B240" s="346" t="s">
        <v>100</v>
      </c>
      <c r="C240" s="369">
        <f>IFERROR(SUM(G29+G32+G34+G35+G44+G47),0)</f>
        <v>0</v>
      </c>
      <c r="D240" s="332" t="s">
        <v>284</v>
      </c>
      <c r="E240" s="141"/>
      <c r="F240" s="332" t="s">
        <v>285</v>
      </c>
      <c r="G240" s="144">
        <f>MIN(IFERROR(SUM(C240+E240),0),100%)</f>
        <v>0</v>
      </c>
      <c r="H240" s="388"/>
      <c r="M240" s="53"/>
      <c r="N240" s="45"/>
    </row>
    <row r="241" spans="1:19" s="29" customFormat="1" ht="15.6">
      <c r="A241" s="479" t="s">
        <v>281</v>
      </c>
      <c r="B241" s="346" t="s">
        <v>101</v>
      </c>
      <c r="C241" s="369">
        <f>IFERROR(SUM(F19+G91+G93+G95+G98+G101+G102+G103+G104+G105),0)</f>
        <v>0</v>
      </c>
      <c r="D241" s="332" t="s">
        <v>284</v>
      </c>
      <c r="E241" s="141"/>
      <c r="F241" s="332" t="s">
        <v>285</v>
      </c>
      <c r="G241" s="144">
        <f t="shared" ref="G241:G242" si="5">MIN(IFERROR(SUM(C241+E241),0),100%)</f>
        <v>0</v>
      </c>
      <c r="H241" s="388"/>
      <c r="M241" s="53"/>
      <c r="N241" s="45"/>
    </row>
    <row r="242" spans="1:19" s="29" customFormat="1" ht="15.6">
      <c r="A242" s="479" t="s">
        <v>282</v>
      </c>
      <c r="B242" s="346" t="s">
        <v>102</v>
      </c>
      <c r="C242" s="369">
        <f>IFERROR(G197,0)</f>
        <v>0</v>
      </c>
      <c r="D242" s="332" t="s">
        <v>284</v>
      </c>
      <c r="E242" s="141"/>
      <c r="F242" s="303" t="s">
        <v>285</v>
      </c>
      <c r="G242" s="144">
        <f t="shared" si="5"/>
        <v>0</v>
      </c>
      <c r="H242" s="283"/>
      <c r="I242" s="3"/>
      <c r="J242" s="3"/>
      <c r="K242" s="3"/>
      <c r="L242" s="3"/>
      <c r="M242" s="53"/>
      <c r="N242" s="45"/>
    </row>
    <row r="243" spans="1:19" s="29" customFormat="1" ht="15.6" thickBot="1">
      <c r="A243" s="491"/>
      <c r="B243" s="492"/>
      <c r="C243" s="493"/>
      <c r="D243" s="493"/>
      <c r="E243" s="493"/>
      <c r="F243" s="493"/>
      <c r="G243" s="638"/>
      <c r="H243" s="639"/>
      <c r="K243" s="3"/>
      <c r="L243" s="3"/>
      <c r="M243" s="3"/>
      <c r="N243" s="3"/>
      <c r="O243" s="3"/>
      <c r="P243" s="3"/>
      <c r="Q243" s="3"/>
      <c r="R243" s="53"/>
      <c r="S243" s="45"/>
    </row>
    <row r="244" spans="1:19" s="29" customFormat="1">
      <c r="A244" s="174"/>
      <c r="B244" s="3"/>
      <c r="C244" s="3"/>
      <c r="D244" s="3"/>
      <c r="E244" s="3"/>
      <c r="F244" s="3"/>
      <c r="G244" s="10"/>
      <c r="H244" s="3"/>
      <c r="K244" s="3"/>
      <c r="L244" s="3"/>
      <c r="M244" s="3"/>
      <c r="N244" s="3"/>
      <c r="O244" s="3"/>
      <c r="P244" s="3"/>
      <c r="Q244" s="3"/>
      <c r="R244" s="53"/>
      <c r="S244" s="45"/>
    </row>
    <row r="245" spans="1:19" s="29" customFormat="1">
      <c r="A245" s="174"/>
      <c r="B245" s="3"/>
      <c r="C245" s="3"/>
      <c r="D245" s="3"/>
      <c r="E245" s="3"/>
      <c r="F245" s="3"/>
      <c r="G245" s="10"/>
      <c r="H245" s="3"/>
      <c r="K245" s="3"/>
      <c r="L245" s="3"/>
      <c r="M245" s="3"/>
      <c r="N245" s="3"/>
      <c r="O245" s="3"/>
      <c r="P245" s="3"/>
      <c r="Q245" s="3"/>
      <c r="R245" s="53"/>
      <c r="S245" s="45"/>
    </row>
    <row r="246" spans="1:19" s="29" customFormat="1">
      <c r="A246" s="174"/>
      <c r="B246" s="3"/>
      <c r="C246" s="3"/>
      <c r="D246" s="3"/>
      <c r="E246" s="3"/>
      <c r="F246" s="3"/>
      <c r="G246" s="10"/>
      <c r="H246" s="3"/>
      <c r="K246" s="3"/>
      <c r="L246" s="3"/>
      <c r="M246" s="3"/>
      <c r="N246" s="3"/>
      <c r="O246" s="3"/>
      <c r="P246" s="3"/>
      <c r="Q246" s="3"/>
      <c r="R246" s="53"/>
      <c r="S246" s="45"/>
    </row>
    <row r="247" spans="1:19" s="29" customFormat="1">
      <c r="A247" s="174"/>
      <c r="B247" s="3"/>
      <c r="C247" s="3"/>
      <c r="D247" s="3"/>
      <c r="E247" s="3"/>
      <c r="F247" s="3"/>
      <c r="G247" s="10"/>
      <c r="H247" s="3"/>
      <c r="K247" s="3"/>
      <c r="L247" s="3"/>
      <c r="M247" s="3"/>
      <c r="N247" s="3"/>
      <c r="O247" s="3"/>
      <c r="P247" s="3"/>
      <c r="Q247" s="3"/>
      <c r="R247" s="45"/>
      <c r="S247" s="45"/>
    </row>
    <row r="248" spans="1:19" s="29" customFormat="1">
      <c r="A248" s="174"/>
      <c r="B248" s="3"/>
      <c r="C248" s="3"/>
      <c r="D248" s="3"/>
      <c r="E248" s="3"/>
      <c r="F248" s="3"/>
      <c r="G248" s="10"/>
      <c r="H248" s="3"/>
      <c r="K248" s="3"/>
      <c r="L248" s="3"/>
      <c r="M248" s="3"/>
      <c r="N248" s="3"/>
      <c r="O248" s="3"/>
      <c r="P248" s="3"/>
      <c r="Q248" s="3"/>
      <c r="R248" s="45"/>
      <c r="S248" s="45"/>
    </row>
    <row r="249" spans="1:19" s="29" customFormat="1">
      <c r="A249" s="174"/>
      <c r="B249" s="3"/>
      <c r="C249" s="3"/>
      <c r="D249" s="3"/>
      <c r="E249" s="3"/>
      <c r="F249" s="3"/>
      <c r="G249" s="10"/>
      <c r="H249" s="3"/>
      <c r="K249" s="3"/>
      <c r="L249" s="3"/>
      <c r="M249" s="3"/>
      <c r="N249" s="3"/>
      <c r="O249" s="3"/>
      <c r="P249" s="3"/>
      <c r="Q249" s="3"/>
      <c r="R249" s="45"/>
      <c r="S249" s="45"/>
    </row>
    <row r="250" spans="1:19" s="29" customFormat="1">
      <c r="A250" s="174"/>
      <c r="B250" s="3"/>
      <c r="C250" s="3"/>
      <c r="D250" s="3"/>
      <c r="E250" s="3"/>
      <c r="F250" s="3"/>
      <c r="G250" s="10"/>
      <c r="H250" s="3"/>
      <c r="K250" s="3"/>
      <c r="L250" s="3"/>
      <c r="M250" s="3"/>
      <c r="N250" s="3"/>
      <c r="O250" s="3"/>
      <c r="P250" s="3"/>
      <c r="Q250" s="3"/>
      <c r="R250" s="45"/>
      <c r="S250" s="45"/>
    </row>
  </sheetData>
  <sheetProtection algorithmName="SHA-512" hashValue="F3XMv4rBIQBqgrpGCuLdeKxBpCXk5WU/5R1wUrBLlYisxJJVgDbdo14bxuf2pyI0mLB/q7+k/GHJh2bgP/UpQQ==" saltValue="YRHeLUhuxqYZhnPlUbggjA==" spinCount="100000" sheet="1" selectLockedCells="1"/>
  <mergeCells count="228">
    <mergeCell ref="B208:C208"/>
    <mergeCell ref="A213:B214"/>
    <mergeCell ref="C213:C214"/>
    <mergeCell ref="D213:D214"/>
    <mergeCell ref="E213:F213"/>
    <mergeCell ref="G213:G214"/>
    <mergeCell ref="H213:H214"/>
    <mergeCell ref="B216:C216"/>
    <mergeCell ref="A224:B224"/>
    <mergeCell ref="A175:B176"/>
    <mergeCell ref="C175:C176"/>
    <mergeCell ref="D175:D176"/>
    <mergeCell ref="E175:F175"/>
    <mergeCell ref="G175:G176"/>
    <mergeCell ref="H175:H176"/>
    <mergeCell ref="B178:C178"/>
    <mergeCell ref="E180:F180"/>
    <mergeCell ref="B172:C172"/>
    <mergeCell ref="A126:A127"/>
    <mergeCell ref="B126:C126"/>
    <mergeCell ref="D126:D127"/>
    <mergeCell ref="E126:E127"/>
    <mergeCell ref="F126:F127"/>
    <mergeCell ref="B129:C129"/>
    <mergeCell ref="B133:C133"/>
    <mergeCell ref="A140:B140"/>
    <mergeCell ref="F140:G140"/>
    <mergeCell ref="D165:D166"/>
    <mergeCell ref="E165:E166"/>
    <mergeCell ref="F165:F166"/>
    <mergeCell ref="G165:G166"/>
    <mergeCell ref="H165:H166"/>
    <mergeCell ref="F142:G142"/>
    <mergeCell ref="A146:B147"/>
    <mergeCell ref="C146:C147"/>
    <mergeCell ref="D146:D147"/>
    <mergeCell ref="G93:G94"/>
    <mergeCell ref="H93:H94"/>
    <mergeCell ref="A95:A96"/>
    <mergeCell ref="E95:E96"/>
    <mergeCell ref="F95:F96"/>
    <mergeCell ref="G95:G96"/>
    <mergeCell ref="H95:H96"/>
    <mergeCell ref="F122:F123"/>
    <mergeCell ref="G122:G123"/>
    <mergeCell ref="H122:H123"/>
    <mergeCell ref="A98:A99"/>
    <mergeCell ref="B98:D98"/>
    <mergeCell ref="E98:E99"/>
    <mergeCell ref="F98:F99"/>
    <mergeCell ref="B101:D101"/>
    <mergeCell ref="B108:D108"/>
    <mergeCell ref="B112:D112"/>
    <mergeCell ref="B120:C120"/>
    <mergeCell ref="A122:A123"/>
    <mergeCell ref="B122:C122"/>
    <mergeCell ref="D122:D123"/>
    <mergeCell ref="G98:G99"/>
    <mergeCell ref="H98:H99"/>
    <mergeCell ref="B105:D105"/>
    <mergeCell ref="H58:H59"/>
    <mergeCell ref="H37:H42"/>
    <mergeCell ref="B42:D42"/>
    <mergeCell ref="B47:D47"/>
    <mergeCell ref="B51:D51"/>
    <mergeCell ref="B205:C205"/>
    <mergeCell ref="B206:C206"/>
    <mergeCell ref="B195:C195"/>
    <mergeCell ref="B196:C196"/>
    <mergeCell ref="A187:B187"/>
    <mergeCell ref="B190:C190"/>
    <mergeCell ref="B192:C192"/>
    <mergeCell ref="B194:C194"/>
    <mergeCell ref="A199:B200"/>
    <mergeCell ref="C199:C200"/>
    <mergeCell ref="D199:D200"/>
    <mergeCell ref="B203:C203"/>
    <mergeCell ref="B179:C179"/>
    <mergeCell ref="B180:C180"/>
    <mergeCell ref="B91:D91"/>
    <mergeCell ref="A93:A94"/>
    <mergeCell ref="B93:D93"/>
    <mergeCell ref="E93:E94"/>
    <mergeCell ref="F93:F94"/>
    <mergeCell ref="H29:H30"/>
    <mergeCell ref="B30:D30"/>
    <mergeCell ref="B32:D32"/>
    <mergeCell ref="B34:D34"/>
    <mergeCell ref="A35:A36"/>
    <mergeCell ref="B35:D36"/>
    <mergeCell ref="E35:E36"/>
    <mergeCell ref="H35:H36"/>
    <mergeCell ref="B50:D50"/>
    <mergeCell ref="B38:D38"/>
    <mergeCell ref="B39:D39"/>
    <mergeCell ref="B40:D40"/>
    <mergeCell ref="B80:C80"/>
    <mergeCell ref="B65:C65"/>
    <mergeCell ref="B103:D103"/>
    <mergeCell ref="B104:D104"/>
    <mergeCell ref="D58:D59"/>
    <mergeCell ref="B95:D95"/>
    <mergeCell ref="B102:D102"/>
    <mergeCell ref="D66:D69"/>
    <mergeCell ref="B94:D94"/>
    <mergeCell ref="B64:C64"/>
    <mergeCell ref="B96:D96"/>
    <mergeCell ref="B99:D99"/>
    <mergeCell ref="B63:C63"/>
    <mergeCell ref="B68:C68"/>
    <mergeCell ref="B81:C81"/>
    <mergeCell ref="B70:C70"/>
    <mergeCell ref="B71:C71"/>
    <mergeCell ref="B73:C73"/>
    <mergeCell ref="B77:C77"/>
    <mergeCell ref="B79:C79"/>
    <mergeCell ref="B74:C74"/>
    <mergeCell ref="E71:F71"/>
    <mergeCell ref="B75:C75"/>
    <mergeCell ref="B46:D46"/>
    <mergeCell ref="B45:D45"/>
    <mergeCell ref="B53:D53"/>
    <mergeCell ref="B37:D37"/>
    <mergeCell ref="B41:D41"/>
    <mergeCell ref="B55:D55"/>
    <mergeCell ref="A58:B59"/>
    <mergeCell ref="B61:C61"/>
    <mergeCell ref="B67:C67"/>
    <mergeCell ref="B69:C69"/>
    <mergeCell ref="B66:C66"/>
    <mergeCell ref="E58:F58"/>
    <mergeCell ref="B54:D54"/>
    <mergeCell ref="B22:C22"/>
    <mergeCell ref="B62:C62"/>
    <mergeCell ref="B29:D29"/>
    <mergeCell ref="A4:B4"/>
    <mergeCell ref="A7:B7"/>
    <mergeCell ref="D7:G7"/>
    <mergeCell ref="D11:D12"/>
    <mergeCell ref="E11:E12"/>
    <mergeCell ref="F11:F12"/>
    <mergeCell ref="B14:C14"/>
    <mergeCell ref="B15:C15"/>
    <mergeCell ref="B16:C16"/>
    <mergeCell ref="A11:B12"/>
    <mergeCell ref="B44:D44"/>
    <mergeCell ref="B17:C17"/>
    <mergeCell ref="B19:C19"/>
    <mergeCell ref="B20:C20"/>
    <mergeCell ref="B21:C21"/>
    <mergeCell ref="E37:E42"/>
    <mergeCell ref="G58:G59"/>
    <mergeCell ref="A29:A30"/>
    <mergeCell ref="E29:E30"/>
    <mergeCell ref="F29:F30"/>
    <mergeCell ref="G29:G30"/>
    <mergeCell ref="R101:R102"/>
    <mergeCell ref="E122:E123"/>
    <mergeCell ref="B130:C130"/>
    <mergeCell ref="B137:C137"/>
    <mergeCell ref="F143:G143"/>
    <mergeCell ref="B134:C134"/>
    <mergeCell ref="B135:C135"/>
    <mergeCell ref="B136:C136"/>
    <mergeCell ref="B151:C151"/>
    <mergeCell ref="H146:H147"/>
    <mergeCell ref="B150:C150"/>
    <mergeCell ref="B110:D110"/>
    <mergeCell ref="B114:D114"/>
    <mergeCell ref="B124:C124"/>
    <mergeCell ref="B123:C123"/>
    <mergeCell ref="B113:D113"/>
    <mergeCell ref="B109:D109"/>
    <mergeCell ref="B127:C127"/>
    <mergeCell ref="G126:G127"/>
    <mergeCell ref="H126:H127"/>
    <mergeCell ref="E146:F146"/>
    <mergeCell ref="G146:G147"/>
    <mergeCell ref="D142:D143"/>
    <mergeCell ref="E142:E143"/>
    <mergeCell ref="B171:C171"/>
    <mergeCell ref="A152:A153"/>
    <mergeCell ref="B152:C153"/>
    <mergeCell ref="E152:F152"/>
    <mergeCell ref="G152:G153"/>
    <mergeCell ref="H152:H153"/>
    <mergeCell ref="A154:A157"/>
    <mergeCell ref="B154:C157"/>
    <mergeCell ref="G154:G157"/>
    <mergeCell ref="E156:F156"/>
    <mergeCell ref="E157:F157"/>
    <mergeCell ref="E155:F155"/>
    <mergeCell ref="H154:H157"/>
    <mergeCell ref="E153:F153"/>
    <mergeCell ref="E154:F154"/>
    <mergeCell ref="B160:C160"/>
    <mergeCell ref="A167:A168"/>
    <mergeCell ref="D167:D168"/>
    <mergeCell ref="E167:E168"/>
    <mergeCell ref="F167:F168"/>
    <mergeCell ref="G167:G168"/>
    <mergeCell ref="H167:H168"/>
    <mergeCell ref="B170:C170"/>
    <mergeCell ref="B165:C165"/>
    <mergeCell ref="B226:D226"/>
    <mergeCell ref="B233:D233"/>
    <mergeCell ref="D238:F239"/>
    <mergeCell ref="I154:I158"/>
    <mergeCell ref="A158:A159"/>
    <mergeCell ref="B158:C159"/>
    <mergeCell ref="B162:C162"/>
    <mergeCell ref="A165:A166"/>
    <mergeCell ref="B217:C217"/>
    <mergeCell ref="B228:D228"/>
    <mergeCell ref="B230:D230"/>
    <mergeCell ref="B231:D231"/>
    <mergeCell ref="B229:D229"/>
    <mergeCell ref="B227:D227"/>
    <mergeCell ref="E199:F199"/>
    <mergeCell ref="G199:G200"/>
    <mergeCell ref="H199:H200"/>
    <mergeCell ref="B163:C163"/>
    <mergeCell ref="B204:C204"/>
    <mergeCell ref="B209:C209"/>
    <mergeCell ref="B210:C210"/>
    <mergeCell ref="B167:C167"/>
    <mergeCell ref="B168:C168"/>
    <mergeCell ref="B166:C166"/>
  </mergeCells>
  <dataValidations count="3">
    <dataValidation type="list" allowBlank="1" showInputMessage="1" showErrorMessage="1" sqref="E233" xr:uid="{A33D522D-237D-4A75-9DEC-F1060AC1A5FF}">
      <formula1>$K$233:$K$237</formula1>
    </dataValidation>
    <dataValidation type="list" allowBlank="1" showInputMessage="1" showErrorMessage="1" sqref="F143:G143" xr:uid="{282D0137-CC25-42CC-95C0-799FC72207B5}">
      <formula1>$L$140:$Q$140</formula1>
    </dataValidation>
    <dataValidation type="list" allowBlank="1" showInputMessage="1" showErrorMessage="1" sqref="A7:B7" xr:uid="{9ABD35AA-5F1D-46AC-9B02-08C902BA7B89}">
      <formula1>$K$1:$K$6</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85F7-BD4F-499E-AE72-F73811ACA8E8}">
  <dimension ref="A1:C12"/>
  <sheetViews>
    <sheetView zoomScale="115" zoomScaleNormal="115" zoomScaleSheetLayoutView="115" workbookViewId="0">
      <selection activeCell="F29" sqref="F29:F30"/>
    </sheetView>
  </sheetViews>
  <sheetFormatPr defaultRowHeight="14.4"/>
  <cols>
    <col min="1" max="1" width="34" customWidth="1"/>
    <col min="2" max="3" width="33.6640625" customWidth="1"/>
  </cols>
  <sheetData>
    <row r="1" spans="1:3" ht="15.6">
      <c r="A1" s="525" t="s">
        <v>433</v>
      </c>
      <c r="B1" s="713" t="s">
        <v>453</v>
      </c>
      <c r="C1" s="713"/>
    </row>
    <row r="2" spans="1:3" ht="15.6">
      <c r="A2" s="714" t="s">
        <v>434</v>
      </c>
      <c r="B2" s="715" t="s">
        <v>435</v>
      </c>
      <c r="C2" s="715"/>
    </row>
    <row r="3" spans="1:3" ht="18">
      <c r="A3" s="714"/>
      <c r="B3" s="529" t="s">
        <v>439</v>
      </c>
      <c r="C3" s="529" t="s">
        <v>440</v>
      </c>
    </row>
    <row r="4" spans="1:3" ht="15">
      <c r="A4" s="524" t="s">
        <v>437</v>
      </c>
      <c r="B4" s="350">
        <v>68</v>
      </c>
      <c r="C4" s="350">
        <v>80</v>
      </c>
    </row>
    <row r="5" spans="1:3" ht="15">
      <c r="A5" s="524" t="s">
        <v>436</v>
      </c>
      <c r="B5" s="350">
        <v>68</v>
      </c>
      <c r="C5" s="350">
        <v>80</v>
      </c>
    </row>
    <row r="6" spans="1:3" ht="15">
      <c r="A6" s="524" t="s">
        <v>16</v>
      </c>
      <c r="B6" s="350">
        <v>60</v>
      </c>
      <c r="C6" s="350">
        <v>63</v>
      </c>
    </row>
    <row r="7" spans="1:3" ht="15">
      <c r="A7" s="524" t="s">
        <v>15</v>
      </c>
      <c r="B7" s="350">
        <v>65</v>
      </c>
      <c r="C7" s="350">
        <v>68</v>
      </c>
    </row>
    <row r="8" spans="1:3" ht="15">
      <c r="A8" s="524" t="s">
        <v>427</v>
      </c>
      <c r="B8" s="350">
        <v>60</v>
      </c>
      <c r="C8" s="350">
        <v>63</v>
      </c>
    </row>
    <row r="9" spans="1:3" ht="15">
      <c r="A9" s="524" t="s">
        <v>426</v>
      </c>
      <c r="B9" s="350">
        <v>60</v>
      </c>
      <c r="C9" s="350">
        <v>60</v>
      </c>
    </row>
    <row r="10" spans="1:3" ht="15.75" customHeight="1">
      <c r="A10" s="524" t="s">
        <v>450</v>
      </c>
      <c r="B10" s="350">
        <v>42</v>
      </c>
      <c r="C10" s="350">
        <v>42</v>
      </c>
    </row>
    <row r="11" spans="1:3" ht="15">
      <c r="A11" s="524" t="s">
        <v>438</v>
      </c>
      <c r="B11" s="350">
        <v>42</v>
      </c>
      <c r="C11" s="350">
        <v>42</v>
      </c>
    </row>
    <row r="12" spans="1:3" ht="15" hidden="1">
      <c r="A12" s="624" t="s">
        <v>41</v>
      </c>
      <c r="B12" s="560">
        <v>0</v>
      </c>
      <c r="C12" s="560">
        <v>0</v>
      </c>
    </row>
  </sheetData>
  <sheetProtection algorithmName="SHA-512" hashValue="nUdegFovP/174bQ3C0RQ/h5Up9K4+GLDcRSlUh0Lr8FX+GaUq8GxEqjx+PLPR0iw94vHLtC8zL+LEzmu9e/kYg==" saltValue="yCSB+it7WUenKOOpHnYI5A==" spinCount="100000" sheet="1" objects="1" scenarios="1" selectLockedCells="1" selectUnlockedCells="1"/>
  <mergeCells count="3">
    <mergeCell ref="B1:C1"/>
    <mergeCell ref="A2:A3"/>
    <mergeCell ref="B2:C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4F005-4591-4855-9859-1EE3030854E1}">
  <sheetPr>
    <pageSetUpPr fitToPage="1"/>
  </sheetPr>
  <dimension ref="A1:J129"/>
  <sheetViews>
    <sheetView zoomScale="85" zoomScaleNormal="85" zoomScaleSheetLayoutView="70" workbookViewId="0"/>
  </sheetViews>
  <sheetFormatPr defaultColWidth="9.109375" defaultRowHeight="15"/>
  <cols>
    <col min="1" max="1" width="5.109375" style="29" customWidth="1"/>
    <col min="2" max="2" width="9.109375" style="3"/>
    <col min="3" max="3" width="53.88671875" style="3" customWidth="1"/>
    <col min="4" max="4" width="24.33203125" style="3" customWidth="1"/>
    <col min="5" max="9" width="22.33203125" style="3" customWidth="1"/>
    <col min="10" max="10" width="5.6640625" style="3" customWidth="1"/>
    <col min="11" max="16384" width="9.109375" style="3"/>
  </cols>
  <sheetData>
    <row r="1" spans="1:9" ht="17.399999999999999">
      <c r="A1" s="552" t="s">
        <v>455</v>
      </c>
      <c r="B1" s="553"/>
      <c r="C1" s="553"/>
      <c r="D1" s="281"/>
      <c r="E1" s="281"/>
      <c r="F1" s="281"/>
      <c r="G1" s="281"/>
      <c r="H1" s="281"/>
      <c r="I1" s="281"/>
    </row>
    <row r="2" spans="1:9" ht="17.399999999999999">
      <c r="A2" s="554"/>
      <c r="B2" s="553"/>
      <c r="C2" s="553"/>
      <c r="D2" s="281"/>
      <c r="E2" s="281"/>
      <c r="F2" s="281"/>
      <c r="G2" s="281"/>
      <c r="H2" s="281"/>
      <c r="I2" s="281"/>
    </row>
    <row r="3" spans="1:9" ht="17.399999999999999">
      <c r="A3" s="554" t="s">
        <v>456</v>
      </c>
      <c r="B3" s="553"/>
      <c r="C3" s="553"/>
      <c r="D3" s="281"/>
      <c r="E3" s="281"/>
      <c r="F3" s="281"/>
      <c r="G3" s="281"/>
      <c r="H3" s="281"/>
      <c r="I3" s="281"/>
    </row>
    <row r="4" spans="1:9">
      <c r="A4" s="327"/>
      <c r="B4" s="553"/>
      <c r="C4" s="553"/>
      <c r="D4" s="281"/>
      <c r="E4" s="281"/>
      <c r="F4" s="281"/>
      <c r="G4" s="281"/>
      <c r="H4" s="281"/>
      <c r="I4" s="281"/>
    </row>
    <row r="5" spans="1:9" ht="15.6">
      <c r="A5" s="555" t="s">
        <v>457</v>
      </c>
      <c r="B5" s="553"/>
      <c r="C5" s="553"/>
      <c r="D5" s="281"/>
      <c r="E5" s="281"/>
      <c r="F5" s="281"/>
      <c r="G5" s="281"/>
      <c r="H5" s="281"/>
      <c r="I5" s="281"/>
    </row>
    <row r="6" spans="1:9" ht="31.5" customHeight="1">
      <c r="A6" s="556" t="s">
        <v>458</v>
      </c>
      <c r="B6" s="760" t="s">
        <v>459</v>
      </c>
      <c r="C6" s="760"/>
      <c r="D6" s="760"/>
      <c r="E6" s="760"/>
      <c r="F6" s="760"/>
      <c r="G6" s="760"/>
      <c r="H6" s="760"/>
      <c r="I6" s="760"/>
    </row>
    <row r="7" spans="1:9">
      <c r="A7" s="556"/>
      <c r="B7" s="557"/>
      <c r="C7" s="557"/>
      <c r="D7" s="281"/>
      <c r="E7" s="281"/>
      <c r="F7" s="281"/>
      <c r="G7" s="281"/>
      <c r="H7" s="281"/>
      <c r="I7" s="281"/>
    </row>
    <row r="8" spans="1:9" ht="32.25" customHeight="1">
      <c r="A8" s="556" t="s">
        <v>460</v>
      </c>
      <c r="B8" s="760" t="s">
        <v>461</v>
      </c>
      <c r="C8" s="760"/>
      <c r="D8" s="760"/>
      <c r="E8" s="760"/>
      <c r="F8" s="760"/>
      <c r="G8" s="760"/>
      <c r="H8" s="760"/>
      <c r="I8" s="760"/>
    </row>
    <row r="9" spans="1:9">
      <c r="A9" s="556"/>
      <c r="B9" s="557"/>
      <c r="C9" s="557"/>
      <c r="D9" s="281"/>
      <c r="E9" s="281"/>
      <c r="F9" s="281"/>
      <c r="G9" s="281"/>
      <c r="H9" s="281"/>
      <c r="I9" s="281"/>
    </row>
    <row r="10" spans="1:9" ht="30" customHeight="1">
      <c r="A10" s="556" t="s">
        <v>462</v>
      </c>
      <c r="B10" s="776" t="s">
        <v>463</v>
      </c>
      <c r="C10" s="777"/>
      <c r="D10" s="777"/>
      <c r="E10" s="777"/>
      <c r="F10" s="777"/>
      <c r="G10" s="777"/>
      <c r="H10" s="777"/>
      <c r="I10" s="777"/>
    </row>
    <row r="11" spans="1:9">
      <c r="A11" s="556"/>
      <c r="B11" s="557"/>
      <c r="C11" s="557"/>
      <c r="D11" s="281"/>
      <c r="E11" s="281"/>
      <c r="F11" s="281"/>
      <c r="G11" s="281"/>
      <c r="H11" s="281"/>
      <c r="I11" s="281"/>
    </row>
    <row r="12" spans="1:9" ht="30.75" customHeight="1">
      <c r="A12" s="556" t="s">
        <v>464</v>
      </c>
      <c r="B12" s="760" t="s">
        <v>465</v>
      </c>
      <c r="C12" s="760"/>
      <c r="D12" s="760"/>
      <c r="E12" s="760"/>
      <c r="F12" s="760"/>
      <c r="G12" s="760"/>
      <c r="H12" s="760"/>
      <c r="I12" s="760"/>
    </row>
    <row r="13" spans="1:9">
      <c r="A13" s="556"/>
      <c r="B13" s="557"/>
      <c r="C13" s="557"/>
      <c r="D13" s="557"/>
      <c r="E13" s="557"/>
      <c r="F13" s="557"/>
      <c r="G13" s="557"/>
      <c r="H13" s="557"/>
      <c r="I13" s="557"/>
    </row>
    <row r="14" spans="1:9" ht="47.25" customHeight="1">
      <c r="A14" s="558"/>
      <c r="B14" s="778" t="s">
        <v>466</v>
      </c>
      <c r="C14" s="778"/>
      <c r="D14" s="559" t="s">
        <v>467</v>
      </c>
      <c r="E14" s="559" t="s">
        <v>468</v>
      </c>
      <c r="F14" s="559" t="s">
        <v>469</v>
      </c>
      <c r="G14" s="557"/>
      <c r="H14" s="557"/>
      <c r="I14" s="557"/>
    </row>
    <row r="15" spans="1:9">
      <c r="A15" s="558"/>
      <c r="B15" s="774" t="s">
        <v>470</v>
      </c>
      <c r="C15" s="775"/>
      <c r="D15" s="164">
        <v>1.44</v>
      </c>
      <c r="E15" s="164" t="s">
        <v>374</v>
      </c>
      <c r="F15" s="663" t="s">
        <v>471</v>
      </c>
      <c r="G15" s="557"/>
      <c r="H15" s="557"/>
      <c r="I15" s="557"/>
    </row>
    <row r="16" spans="1:9">
      <c r="A16" s="556"/>
      <c r="B16" s="769" t="s">
        <v>472</v>
      </c>
      <c r="C16" s="769"/>
      <c r="D16" s="769">
        <v>2.2000000000000002</v>
      </c>
      <c r="E16" s="164" t="s">
        <v>309</v>
      </c>
      <c r="F16" s="770" t="s">
        <v>471</v>
      </c>
      <c r="G16" s="557"/>
      <c r="H16" s="557"/>
      <c r="I16" s="557"/>
    </row>
    <row r="17" spans="1:9">
      <c r="A17" s="556"/>
      <c r="B17" s="769"/>
      <c r="C17" s="769"/>
      <c r="D17" s="769"/>
      <c r="E17" s="164" t="s">
        <v>310</v>
      </c>
      <c r="F17" s="771"/>
      <c r="G17" s="557"/>
      <c r="H17" s="557"/>
      <c r="I17" s="557"/>
    </row>
    <row r="18" spans="1:9">
      <c r="A18" s="556"/>
      <c r="B18" s="769"/>
      <c r="C18" s="769"/>
      <c r="D18" s="769"/>
      <c r="E18" s="164" t="s">
        <v>311</v>
      </c>
      <c r="F18" s="772"/>
      <c r="G18" s="557"/>
      <c r="H18" s="557"/>
      <c r="I18" s="557"/>
    </row>
    <row r="19" spans="1:9">
      <c r="A19" s="556"/>
      <c r="B19" s="762" t="s">
        <v>473</v>
      </c>
      <c r="C19" s="762"/>
      <c r="D19" s="762">
        <v>2.8</v>
      </c>
      <c r="E19" s="350" t="s">
        <v>312</v>
      </c>
      <c r="F19" s="763" t="s">
        <v>471</v>
      </c>
      <c r="G19" s="557"/>
      <c r="H19" s="557"/>
      <c r="I19" s="557"/>
    </row>
    <row r="20" spans="1:9">
      <c r="A20" s="556"/>
      <c r="B20" s="762"/>
      <c r="C20" s="762"/>
      <c r="D20" s="762"/>
      <c r="E20" s="350" t="s">
        <v>313</v>
      </c>
      <c r="F20" s="773"/>
      <c r="G20" s="557"/>
      <c r="H20" s="557"/>
      <c r="I20" s="557"/>
    </row>
    <row r="21" spans="1:9">
      <c r="A21" s="556"/>
      <c r="B21" s="762"/>
      <c r="C21" s="762"/>
      <c r="D21" s="762"/>
      <c r="E21" s="350" t="s">
        <v>314</v>
      </c>
      <c r="F21" s="773"/>
      <c r="G21" s="557"/>
      <c r="H21" s="557"/>
      <c r="I21" s="557"/>
    </row>
    <row r="22" spans="1:9">
      <c r="A22" s="556"/>
      <c r="B22" s="762"/>
      <c r="C22" s="762"/>
      <c r="D22" s="762"/>
      <c r="E22" s="350" t="s">
        <v>315</v>
      </c>
      <c r="F22" s="773"/>
      <c r="G22" s="557"/>
      <c r="H22" s="557"/>
      <c r="I22" s="557"/>
    </row>
    <row r="23" spans="1:9">
      <c r="A23" s="556"/>
      <c r="B23" s="762"/>
      <c r="C23" s="762"/>
      <c r="D23" s="762"/>
      <c r="E23" s="350" t="s">
        <v>316</v>
      </c>
      <c r="F23" s="764"/>
      <c r="G23" s="557"/>
      <c r="H23" s="557"/>
      <c r="I23" s="557"/>
    </row>
    <row r="24" spans="1:9">
      <c r="A24" s="556"/>
      <c r="B24" s="762" t="s">
        <v>474</v>
      </c>
      <c r="C24" s="762"/>
      <c r="D24" s="762">
        <v>3.4</v>
      </c>
      <c r="E24" s="350" t="s">
        <v>317</v>
      </c>
      <c r="F24" s="763" t="s">
        <v>471</v>
      </c>
      <c r="G24" s="557"/>
      <c r="H24" s="557"/>
      <c r="I24" s="557"/>
    </row>
    <row r="25" spans="1:9">
      <c r="A25" s="556"/>
      <c r="B25" s="762"/>
      <c r="C25" s="762"/>
      <c r="D25" s="762"/>
      <c r="E25" s="350" t="s">
        <v>318</v>
      </c>
      <c r="F25" s="764"/>
      <c r="G25" s="281"/>
      <c r="H25" s="281"/>
      <c r="I25" s="281"/>
    </row>
    <row r="26" spans="1:9">
      <c r="A26" s="556"/>
      <c r="B26" s="277"/>
      <c r="C26" s="277"/>
      <c r="D26" s="277"/>
      <c r="E26" s="277"/>
      <c r="F26" s="281"/>
      <c r="G26" s="281"/>
      <c r="H26" s="281"/>
      <c r="I26" s="281"/>
    </row>
    <row r="27" spans="1:9" ht="31.2" customHeight="1">
      <c r="A27" s="556" t="s">
        <v>475</v>
      </c>
      <c r="B27" s="745" t="s">
        <v>598</v>
      </c>
      <c r="C27" s="746"/>
      <c r="D27" s="746"/>
      <c r="E27" s="746"/>
      <c r="F27" s="746"/>
      <c r="G27" s="746"/>
      <c r="H27" s="746"/>
      <c r="I27" s="746"/>
    </row>
    <row r="28" spans="1:9">
      <c r="A28" s="556"/>
      <c r="B28" s="562"/>
      <c r="C28" s="563"/>
      <c r="D28" s="563"/>
      <c r="E28" s="563"/>
      <c r="F28" s="563"/>
      <c r="G28" s="563"/>
      <c r="H28" s="563"/>
      <c r="I28" s="563"/>
    </row>
    <row r="29" spans="1:9" ht="15.6">
      <c r="A29" s="564"/>
      <c r="B29" s="565" t="s">
        <v>476</v>
      </c>
      <c r="C29" s="765" t="s">
        <v>599</v>
      </c>
      <c r="D29" s="766"/>
      <c r="E29" s="566"/>
      <c r="F29" s="566"/>
      <c r="G29" s="566"/>
      <c r="H29" s="566"/>
      <c r="I29" s="566"/>
    </row>
    <row r="30" spans="1:9">
      <c r="A30" s="564"/>
      <c r="B30" s="567">
        <v>1</v>
      </c>
      <c r="C30" s="761">
        <v>900</v>
      </c>
      <c r="D30" s="761"/>
      <c r="E30" s="566"/>
      <c r="F30" s="566"/>
      <c r="G30" s="566"/>
      <c r="H30" s="566"/>
      <c r="I30" s="566"/>
    </row>
    <row r="31" spans="1:9">
      <c r="A31" s="564"/>
      <c r="B31" s="567">
        <v>2</v>
      </c>
      <c r="C31" s="761">
        <v>1000</v>
      </c>
      <c r="D31" s="761"/>
      <c r="E31" s="566"/>
      <c r="F31" s="566"/>
      <c r="G31" s="566"/>
      <c r="H31" s="566"/>
      <c r="I31" s="566"/>
    </row>
    <row r="32" spans="1:9">
      <c r="A32" s="564"/>
      <c r="B32" s="567">
        <v>3</v>
      </c>
      <c r="C32" s="761">
        <v>1100</v>
      </c>
      <c r="D32" s="761"/>
      <c r="E32" s="566"/>
      <c r="F32" s="566"/>
      <c r="G32" s="566"/>
      <c r="H32" s="566"/>
      <c r="I32" s="566"/>
    </row>
    <row r="33" spans="1:9">
      <c r="A33" s="564"/>
      <c r="B33" s="567">
        <v>4</v>
      </c>
      <c r="C33" s="761">
        <v>1200</v>
      </c>
      <c r="D33" s="761"/>
      <c r="E33" s="566"/>
      <c r="F33" s="566"/>
      <c r="G33" s="566"/>
      <c r="H33" s="566"/>
      <c r="I33" s="566"/>
    </row>
    <row r="34" spans="1:9">
      <c r="A34" s="564"/>
      <c r="B34" s="567">
        <v>5</v>
      </c>
      <c r="C34" s="767">
        <v>1250</v>
      </c>
      <c r="D34" s="768"/>
      <c r="E34" s="566"/>
      <c r="F34" s="566"/>
      <c r="G34" s="566"/>
      <c r="H34" s="566"/>
      <c r="I34" s="566"/>
    </row>
    <row r="35" spans="1:9">
      <c r="A35" s="564"/>
      <c r="B35" s="567">
        <v>6</v>
      </c>
      <c r="C35" s="761">
        <v>1500</v>
      </c>
      <c r="D35" s="761"/>
      <c r="E35" s="566"/>
      <c r="F35" s="566"/>
      <c r="G35" s="566"/>
      <c r="H35" s="566"/>
      <c r="I35" s="566"/>
    </row>
    <row r="36" spans="1:9">
      <c r="A36" s="564"/>
      <c r="B36" s="567">
        <v>7</v>
      </c>
      <c r="C36" s="761">
        <v>2000</v>
      </c>
      <c r="D36" s="761"/>
      <c r="E36" s="566"/>
      <c r="F36" s="566"/>
      <c r="G36" s="566"/>
      <c r="H36" s="566"/>
      <c r="I36" s="566"/>
    </row>
    <row r="37" spans="1:9">
      <c r="A37" s="564"/>
      <c r="B37" s="568"/>
      <c r="C37" s="569"/>
      <c r="D37" s="569"/>
      <c r="E37" s="566"/>
      <c r="F37" s="566"/>
      <c r="G37" s="566"/>
      <c r="H37" s="566"/>
      <c r="I37" s="566"/>
    </row>
    <row r="38" spans="1:9" ht="32.25" customHeight="1">
      <c r="A38" s="556" t="s">
        <v>477</v>
      </c>
      <c r="B38" s="753" t="s">
        <v>478</v>
      </c>
      <c r="C38" s="754"/>
      <c r="D38" s="754"/>
      <c r="E38" s="754"/>
      <c r="F38" s="754"/>
      <c r="G38" s="754"/>
      <c r="H38" s="754"/>
      <c r="I38" s="754"/>
    </row>
    <row r="39" spans="1:9">
      <c r="A39" s="564"/>
      <c r="B39" s="568"/>
      <c r="C39" s="569"/>
      <c r="D39" s="569"/>
      <c r="E39" s="566"/>
      <c r="F39" s="566"/>
      <c r="G39" s="566"/>
      <c r="H39" s="566"/>
      <c r="I39" s="566"/>
    </row>
    <row r="40" spans="1:9" ht="15.6">
      <c r="A40" s="564"/>
      <c r="B40" s="565" t="s">
        <v>476</v>
      </c>
      <c r="C40" s="186" t="s">
        <v>479</v>
      </c>
      <c r="D40" s="755" t="s">
        <v>480</v>
      </c>
      <c r="E40" s="755"/>
      <c r="F40" s="755" t="s">
        <v>481</v>
      </c>
      <c r="G40" s="755"/>
      <c r="H40" s="566"/>
      <c r="I40" s="566"/>
    </row>
    <row r="41" spans="1:9">
      <c r="A41" s="564"/>
      <c r="B41" s="567">
        <v>1</v>
      </c>
      <c r="C41" s="351" t="s">
        <v>482</v>
      </c>
      <c r="D41" s="756" t="s">
        <v>589</v>
      </c>
      <c r="E41" s="756"/>
      <c r="F41" s="757">
        <v>150</v>
      </c>
      <c r="G41" s="757"/>
      <c r="H41" s="566"/>
      <c r="I41" s="566"/>
    </row>
    <row r="42" spans="1:9">
      <c r="A42" s="564"/>
      <c r="B42" s="567">
        <v>2</v>
      </c>
      <c r="C42" s="351" t="s">
        <v>483</v>
      </c>
      <c r="D42" s="758" t="s">
        <v>590</v>
      </c>
      <c r="E42" s="756"/>
      <c r="F42" s="757" t="s">
        <v>484</v>
      </c>
      <c r="G42" s="757"/>
      <c r="H42" s="566"/>
      <c r="I42" s="566"/>
    </row>
    <row r="43" spans="1:9">
      <c r="A43" s="564"/>
      <c r="B43" s="567">
        <v>3</v>
      </c>
      <c r="C43" s="351" t="s">
        <v>483</v>
      </c>
      <c r="D43" s="758" t="s">
        <v>591</v>
      </c>
      <c r="E43" s="756"/>
      <c r="F43" s="757" t="s">
        <v>484</v>
      </c>
      <c r="G43" s="757"/>
      <c r="H43" s="566"/>
      <c r="I43" s="566"/>
    </row>
    <row r="44" spans="1:9" ht="30.6" customHeight="1">
      <c r="A44" s="564"/>
      <c r="B44" s="567">
        <v>4</v>
      </c>
      <c r="C44" s="351" t="s">
        <v>485</v>
      </c>
      <c r="D44" s="758" t="s">
        <v>592</v>
      </c>
      <c r="E44" s="756"/>
      <c r="F44" s="757" t="s">
        <v>484</v>
      </c>
      <c r="G44" s="757"/>
      <c r="H44" s="566"/>
      <c r="I44" s="566"/>
    </row>
    <row r="45" spans="1:9" s="281" customFormat="1">
      <c r="A45" s="564"/>
      <c r="B45" s="662" t="s">
        <v>583</v>
      </c>
      <c r="C45" s="569"/>
      <c r="D45" s="661"/>
      <c r="E45" s="569"/>
      <c r="F45" s="660"/>
      <c r="G45" s="660"/>
      <c r="H45" s="566"/>
      <c r="I45" s="566"/>
    </row>
    <row r="46" spans="1:9">
      <c r="A46" s="327"/>
      <c r="B46" s="553"/>
      <c r="C46" s="553"/>
      <c r="D46" s="281"/>
      <c r="E46" s="281"/>
      <c r="F46" s="281"/>
      <c r="G46" s="281"/>
      <c r="H46" s="281"/>
      <c r="I46" s="281"/>
    </row>
    <row r="47" spans="1:9" ht="15.6">
      <c r="A47" s="570" t="s">
        <v>486</v>
      </c>
      <c r="B47" s="553"/>
      <c r="C47" s="553"/>
      <c r="D47" s="281"/>
      <c r="E47" s="281"/>
      <c r="F47" s="281"/>
      <c r="G47" s="281"/>
      <c r="H47" s="281"/>
      <c r="I47" s="281"/>
    </row>
    <row r="48" spans="1:9">
      <c r="A48" s="327"/>
      <c r="B48" s="553"/>
      <c r="C48" s="553"/>
      <c r="D48" s="281"/>
      <c r="E48" s="281"/>
      <c r="F48" s="281"/>
      <c r="G48" s="281"/>
      <c r="H48" s="281"/>
      <c r="I48" s="281"/>
    </row>
    <row r="49" spans="1:10" ht="30.75" customHeight="1">
      <c r="A49" s="556" t="s">
        <v>458</v>
      </c>
      <c r="B49" s="759" t="s">
        <v>487</v>
      </c>
      <c r="C49" s="759"/>
      <c r="D49" s="759"/>
      <c r="E49" s="759"/>
      <c r="F49" s="759"/>
      <c r="G49" s="759"/>
      <c r="H49" s="759"/>
      <c r="I49" s="759"/>
    </row>
    <row r="50" spans="1:10">
      <c r="A50" s="327"/>
      <c r="B50" s="553"/>
      <c r="C50" s="553"/>
      <c r="D50" s="281"/>
      <c r="E50" s="281"/>
      <c r="F50" s="281"/>
      <c r="G50" s="281"/>
      <c r="H50" s="281"/>
      <c r="I50" s="281"/>
    </row>
    <row r="51" spans="1:10">
      <c r="A51" s="556" t="s">
        <v>584</v>
      </c>
      <c r="B51" s="566" t="s">
        <v>488</v>
      </c>
      <c r="C51" s="553"/>
      <c r="D51" s="281"/>
      <c r="E51" s="281"/>
      <c r="F51" s="281"/>
      <c r="G51" s="281"/>
      <c r="H51" s="281"/>
      <c r="I51" s="281"/>
    </row>
    <row r="52" spans="1:10">
      <c r="A52" s="556"/>
      <c r="B52" s="566"/>
      <c r="C52" s="553"/>
      <c r="D52" s="281"/>
      <c r="E52" s="281"/>
      <c r="F52" s="281"/>
      <c r="G52" s="281"/>
      <c r="H52" s="281"/>
      <c r="I52" s="281"/>
    </row>
    <row r="53" spans="1:10" ht="30.6" customHeight="1">
      <c r="A53" s="556" t="s">
        <v>585</v>
      </c>
      <c r="B53" s="760" t="s">
        <v>586</v>
      </c>
      <c r="C53" s="760"/>
      <c r="D53" s="760"/>
      <c r="E53" s="760"/>
      <c r="F53" s="760"/>
      <c r="G53" s="760"/>
      <c r="H53" s="760"/>
      <c r="I53" s="760"/>
    </row>
    <row r="54" spans="1:10" ht="15.75" customHeight="1">
      <c r="A54" s="327"/>
      <c r="B54" s="553"/>
      <c r="C54" s="553"/>
      <c r="D54" s="281"/>
      <c r="E54" s="281"/>
      <c r="F54" s="281"/>
      <c r="G54" s="281"/>
      <c r="H54" s="281"/>
      <c r="I54" s="281"/>
    </row>
    <row r="55" spans="1:10">
      <c r="A55" s="571" t="s">
        <v>462</v>
      </c>
      <c r="B55" s="752" t="s">
        <v>489</v>
      </c>
      <c r="C55" s="752"/>
      <c r="D55" s="752"/>
      <c r="E55" s="752"/>
      <c r="F55" s="752"/>
      <c r="G55" s="752"/>
      <c r="H55" s="752"/>
      <c r="I55" s="752"/>
      <c r="J55" s="572"/>
    </row>
    <row r="56" spans="1:10">
      <c r="A56" s="327"/>
      <c r="B56" s="553"/>
      <c r="C56" s="553"/>
      <c r="D56" s="281"/>
      <c r="E56" s="281"/>
      <c r="F56" s="281"/>
      <c r="G56" s="281"/>
      <c r="H56" s="281"/>
      <c r="I56" s="281"/>
    </row>
    <row r="57" spans="1:10">
      <c r="A57" s="571" t="s">
        <v>464</v>
      </c>
      <c r="B57" s="744" t="s">
        <v>490</v>
      </c>
      <c r="C57" s="744"/>
      <c r="D57" s="744"/>
      <c r="E57" s="744"/>
      <c r="F57" s="744"/>
      <c r="G57" s="744"/>
      <c r="H57" s="744"/>
      <c r="I57" s="744"/>
      <c r="J57" s="572"/>
    </row>
    <row r="58" spans="1:10">
      <c r="A58" s="573"/>
      <c r="B58" s="566"/>
      <c r="C58" s="566"/>
      <c r="D58" s="566"/>
      <c r="E58" s="566"/>
      <c r="F58" s="566"/>
      <c r="G58" s="566"/>
      <c r="H58" s="566"/>
      <c r="I58" s="566"/>
      <c r="J58" s="572"/>
    </row>
    <row r="59" spans="1:10">
      <c r="A59" s="571" t="s">
        <v>475</v>
      </c>
      <c r="B59" s="745" t="s">
        <v>491</v>
      </c>
      <c r="C59" s="746"/>
      <c r="D59" s="746"/>
      <c r="E59" s="746"/>
      <c r="F59" s="746"/>
      <c r="G59" s="746"/>
      <c r="H59" s="746"/>
      <c r="I59" s="746"/>
      <c r="J59" s="572"/>
    </row>
    <row r="60" spans="1:10">
      <c r="A60" s="574"/>
      <c r="B60" s="562"/>
      <c r="C60" s="563"/>
      <c r="D60" s="563"/>
      <c r="E60" s="563"/>
      <c r="F60" s="563"/>
      <c r="G60" s="563"/>
      <c r="H60" s="563"/>
      <c r="I60" s="563"/>
      <c r="J60" s="572"/>
    </row>
    <row r="61" spans="1:10">
      <c r="A61" s="575" t="s">
        <v>477</v>
      </c>
      <c r="B61" s="744" t="s">
        <v>492</v>
      </c>
      <c r="C61" s="744"/>
      <c r="D61" s="744"/>
      <c r="E61" s="744"/>
      <c r="F61" s="744"/>
      <c r="G61" s="744"/>
      <c r="H61" s="744"/>
      <c r="I61" s="744"/>
      <c r="J61" s="572"/>
    </row>
    <row r="62" spans="1:10">
      <c r="A62" s="574"/>
      <c r="B62" s="562"/>
      <c r="C62" s="563"/>
      <c r="D62" s="563"/>
      <c r="E62" s="563"/>
      <c r="F62" s="563"/>
      <c r="G62" s="563"/>
      <c r="H62" s="563"/>
      <c r="I62" s="563"/>
      <c r="J62" s="572"/>
    </row>
    <row r="63" spans="1:10" ht="15.6">
      <c r="A63" s="564"/>
      <c r="B63" s="576" t="s">
        <v>493</v>
      </c>
      <c r="C63" s="566"/>
      <c r="D63" s="566"/>
      <c r="E63" s="566"/>
      <c r="F63" s="566"/>
      <c r="G63" s="566"/>
      <c r="H63" s="566"/>
      <c r="I63" s="566"/>
      <c r="J63" s="572"/>
    </row>
    <row r="64" spans="1:10">
      <c r="A64" s="577"/>
      <c r="B64" s="566"/>
      <c r="C64" s="566"/>
      <c r="D64" s="566"/>
      <c r="E64" s="566"/>
      <c r="F64" s="566"/>
      <c r="G64" s="566"/>
      <c r="H64" s="566"/>
      <c r="I64" s="566"/>
      <c r="J64" s="572"/>
    </row>
    <row r="65" spans="1:10" ht="20.100000000000001" customHeight="1">
      <c r="A65" s="577"/>
      <c r="B65" s="747" t="s">
        <v>494</v>
      </c>
      <c r="C65" s="578" t="s">
        <v>495</v>
      </c>
      <c r="D65" s="748" t="s">
        <v>70</v>
      </c>
      <c r="E65" s="566"/>
      <c r="F65" s="566"/>
      <c r="G65" s="566"/>
      <c r="H65" s="566"/>
      <c r="I65" s="566"/>
      <c r="J65" s="572"/>
    </row>
    <row r="66" spans="1:10" ht="20.100000000000001" customHeight="1">
      <c r="A66" s="577"/>
      <c r="B66" s="748"/>
      <c r="C66" s="579" t="s">
        <v>496</v>
      </c>
      <c r="D66" s="748"/>
      <c r="E66" s="566"/>
      <c r="F66" s="566"/>
      <c r="G66" s="566"/>
      <c r="H66" s="566"/>
      <c r="I66" s="566"/>
      <c r="J66" s="572"/>
    </row>
    <row r="67" spans="1:10">
      <c r="A67" s="577"/>
      <c r="B67" s="580">
        <v>1</v>
      </c>
      <c r="C67" s="580" t="s">
        <v>497</v>
      </c>
      <c r="D67" s="581">
        <v>2</v>
      </c>
      <c r="E67" s="566"/>
      <c r="F67" s="566"/>
      <c r="G67" s="566"/>
      <c r="H67" s="566"/>
      <c r="I67" s="566"/>
      <c r="J67" s="572"/>
    </row>
    <row r="68" spans="1:10">
      <c r="A68" s="577"/>
      <c r="B68" s="580">
        <v>2</v>
      </c>
      <c r="C68" s="582" t="s">
        <v>498</v>
      </c>
      <c r="D68" s="583">
        <v>1.5</v>
      </c>
      <c r="E68" s="566"/>
      <c r="F68" s="566"/>
      <c r="G68" s="566"/>
      <c r="H68" s="566"/>
      <c r="I68" s="566"/>
      <c r="J68" s="572"/>
    </row>
    <row r="69" spans="1:10">
      <c r="A69" s="577"/>
      <c r="B69" s="580">
        <v>3</v>
      </c>
      <c r="C69" s="351" t="s">
        <v>499</v>
      </c>
      <c r="D69" s="581">
        <v>1</v>
      </c>
      <c r="E69" s="566"/>
      <c r="F69" s="566"/>
      <c r="G69" s="566"/>
      <c r="H69" s="566"/>
      <c r="I69" s="566"/>
      <c r="J69" s="572"/>
    </row>
    <row r="70" spans="1:10">
      <c r="A70" s="577"/>
      <c r="B70" s="580">
        <v>4</v>
      </c>
      <c r="C70" s="351" t="s">
        <v>500</v>
      </c>
      <c r="D70" s="581">
        <v>0.5</v>
      </c>
      <c r="E70" s="566"/>
      <c r="F70" s="566"/>
      <c r="G70" s="566"/>
      <c r="H70" s="566"/>
      <c r="I70" s="566"/>
      <c r="J70" s="572"/>
    </row>
    <row r="71" spans="1:10">
      <c r="A71" s="577"/>
      <c r="B71" s="580">
        <v>5</v>
      </c>
      <c r="C71" s="351" t="s">
        <v>501</v>
      </c>
      <c r="D71" s="583">
        <v>0</v>
      </c>
      <c r="E71" s="553"/>
      <c r="F71" s="566"/>
      <c r="G71" s="566"/>
      <c r="H71" s="566"/>
      <c r="I71" s="566"/>
      <c r="J71" s="572"/>
    </row>
    <row r="72" spans="1:10">
      <c r="A72" s="577"/>
      <c r="B72" s="566" t="s">
        <v>502</v>
      </c>
      <c r="C72" s="566"/>
      <c r="D72" s="566"/>
      <c r="E72" s="566"/>
      <c r="F72" s="566"/>
      <c r="G72" s="566"/>
      <c r="H72" s="566"/>
      <c r="I72" s="566"/>
      <c r="J72" s="572"/>
    </row>
    <row r="73" spans="1:10">
      <c r="A73" s="577"/>
      <c r="B73" s="566" t="s">
        <v>503</v>
      </c>
      <c r="C73" s="566"/>
      <c r="D73" s="566"/>
      <c r="E73" s="566"/>
      <c r="F73" s="566"/>
      <c r="G73" s="566"/>
      <c r="H73" s="566"/>
      <c r="I73" s="566"/>
      <c r="J73" s="572"/>
    </row>
    <row r="74" spans="1:10">
      <c r="A74" s="577"/>
      <c r="B74" s="566"/>
      <c r="C74" s="566"/>
      <c r="D74" s="566"/>
      <c r="E74" s="566"/>
      <c r="F74" s="566"/>
      <c r="G74" s="566"/>
      <c r="H74" s="566"/>
      <c r="I74" s="566"/>
      <c r="J74" s="572"/>
    </row>
    <row r="75" spans="1:10" ht="15.6">
      <c r="A75" s="577"/>
      <c r="B75" s="576" t="s">
        <v>504</v>
      </c>
      <c r="C75" s="566"/>
      <c r="D75" s="566"/>
      <c r="E75" s="566"/>
      <c r="F75" s="566"/>
      <c r="G75" s="566"/>
      <c r="H75" s="566"/>
      <c r="I75" s="566"/>
      <c r="J75" s="572"/>
    </row>
    <row r="76" spans="1:10" ht="15.6">
      <c r="A76" s="577"/>
      <c r="B76" s="576"/>
      <c r="C76" s="566"/>
      <c r="D76" s="566"/>
      <c r="E76" s="566"/>
      <c r="F76" s="566"/>
      <c r="G76" s="566"/>
      <c r="H76" s="566"/>
      <c r="I76" s="566"/>
      <c r="J76" s="572"/>
    </row>
    <row r="77" spans="1:10" ht="15.6">
      <c r="A77" s="577"/>
      <c r="B77" s="566"/>
      <c r="C77" s="584" t="s">
        <v>72</v>
      </c>
      <c r="D77" s="585">
        <v>1</v>
      </c>
      <c r="E77" s="585">
        <v>2</v>
      </c>
      <c r="F77" s="585">
        <v>3</v>
      </c>
      <c r="G77" s="585">
        <v>4</v>
      </c>
      <c r="H77" s="585">
        <v>5</v>
      </c>
      <c r="I77" s="585">
        <v>6</v>
      </c>
      <c r="J77" s="586"/>
    </row>
    <row r="78" spans="1:10" ht="21.75" customHeight="1">
      <c r="A78" s="587"/>
      <c r="B78" s="588"/>
      <c r="C78" s="589" t="s">
        <v>505</v>
      </c>
      <c r="D78" s="590" t="s">
        <v>506</v>
      </c>
      <c r="E78" s="590" t="s">
        <v>507</v>
      </c>
      <c r="F78" s="590" t="s">
        <v>508</v>
      </c>
      <c r="G78" s="590" t="s">
        <v>509</v>
      </c>
      <c r="H78" s="590" t="s">
        <v>510</v>
      </c>
      <c r="I78" s="590" t="s">
        <v>511</v>
      </c>
      <c r="J78" s="586"/>
    </row>
    <row r="79" spans="1:10" ht="15.6">
      <c r="A79" s="577"/>
      <c r="B79" s="591"/>
      <c r="C79" s="592"/>
      <c r="D79" s="748" t="s">
        <v>506</v>
      </c>
      <c r="E79" s="590" t="s">
        <v>512</v>
      </c>
      <c r="F79" s="590" t="s">
        <v>513</v>
      </c>
      <c r="G79" s="590" t="s">
        <v>514</v>
      </c>
      <c r="H79" s="593" t="s">
        <v>515</v>
      </c>
      <c r="I79" s="590" t="s">
        <v>516</v>
      </c>
      <c r="J79" s="586"/>
    </row>
    <row r="80" spans="1:10" ht="15.6">
      <c r="A80" s="577"/>
      <c r="B80" s="594" t="s">
        <v>517</v>
      </c>
      <c r="C80" s="595"/>
      <c r="D80" s="749"/>
      <c r="E80" s="590" t="s">
        <v>518</v>
      </c>
      <c r="F80" s="590" t="s">
        <v>518</v>
      </c>
      <c r="G80" s="590" t="s">
        <v>518</v>
      </c>
      <c r="H80" s="590" t="s">
        <v>518</v>
      </c>
      <c r="I80" s="590" t="s">
        <v>518</v>
      </c>
      <c r="J80" s="586"/>
    </row>
    <row r="81" spans="1:10">
      <c r="A81" s="577"/>
      <c r="B81" s="750" t="s">
        <v>519</v>
      </c>
      <c r="C81" s="751"/>
      <c r="D81" s="596">
        <v>3</v>
      </c>
      <c r="E81" s="596">
        <v>3</v>
      </c>
      <c r="F81" s="596">
        <v>3</v>
      </c>
      <c r="G81" s="596">
        <v>2.5</v>
      </c>
      <c r="H81" s="596">
        <v>1.5</v>
      </c>
      <c r="I81" s="596">
        <v>0</v>
      </c>
      <c r="J81" s="586"/>
    </row>
    <row r="82" spans="1:10">
      <c r="A82" s="577"/>
      <c r="B82" s="750" t="s">
        <v>520</v>
      </c>
      <c r="C82" s="751"/>
      <c r="D82" s="597">
        <v>3</v>
      </c>
      <c r="E82" s="597">
        <v>3</v>
      </c>
      <c r="F82" s="596">
        <v>2.5</v>
      </c>
      <c r="G82" s="596">
        <v>1.5</v>
      </c>
      <c r="H82" s="596">
        <v>1</v>
      </c>
      <c r="I82" s="596">
        <v>0</v>
      </c>
      <c r="J82" s="586"/>
    </row>
    <row r="83" spans="1:10">
      <c r="A83" s="577"/>
      <c r="B83" s="750" t="s">
        <v>521</v>
      </c>
      <c r="C83" s="751"/>
      <c r="D83" s="596">
        <v>3</v>
      </c>
      <c r="E83" s="596">
        <v>2.5</v>
      </c>
      <c r="F83" s="596">
        <v>1.5</v>
      </c>
      <c r="G83" s="596">
        <v>1</v>
      </c>
      <c r="H83" s="596">
        <v>0</v>
      </c>
      <c r="I83" s="596">
        <v>0</v>
      </c>
      <c r="J83" s="586"/>
    </row>
    <row r="84" spans="1:10">
      <c r="A84" s="577"/>
      <c r="B84" s="750" t="s">
        <v>522</v>
      </c>
      <c r="C84" s="751"/>
      <c r="D84" s="596">
        <v>3</v>
      </c>
      <c r="E84" s="596">
        <v>1.5</v>
      </c>
      <c r="F84" s="596">
        <v>1</v>
      </c>
      <c r="G84" s="596">
        <v>0</v>
      </c>
      <c r="H84" s="596">
        <v>0</v>
      </c>
      <c r="I84" s="596">
        <v>0</v>
      </c>
      <c r="J84" s="586"/>
    </row>
    <row r="85" spans="1:10">
      <c r="A85" s="577"/>
      <c r="B85" s="750" t="s">
        <v>523</v>
      </c>
      <c r="C85" s="751"/>
      <c r="D85" s="597">
        <v>3</v>
      </c>
      <c r="E85" s="597">
        <v>1</v>
      </c>
      <c r="F85" s="596">
        <v>0</v>
      </c>
      <c r="G85" s="596">
        <v>0</v>
      </c>
      <c r="H85" s="596">
        <v>0</v>
      </c>
      <c r="I85" s="596">
        <v>0</v>
      </c>
      <c r="J85" s="586"/>
    </row>
    <row r="86" spans="1:10" ht="15.6">
      <c r="A86" s="577"/>
      <c r="B86" s="598" t="s">
        <v>524</v>
      </c>
      <c r="C86" s="569"/>
      <c r="D86" s="278"/>
      <c r="E86" s="278"/>
      <c r="F86" s="278"/>
      <c r="G86" s="278"/>
      <c r="H86" s="278"/>
      <c r="I86" s="566"/>
      <c r="J86" s="572"/>
    </row>
    <row r="87" spans="1:10">
      <c r="A87" s="577"/>
      <c r="B87" s="598"/>
      <c r="C87" s="569"/>
      <c r="D87" s="278"/>
      <c r="E87" s="278"/>
      <c r="F87" s="278"/>
      <c r="G87" s="278"/>
      <c r="H87" s="278"/>
      <c r="I87" s="566"/>
      <c r="J87" s="572"/>
    </row>
    <row r="88" spans="1:10" ht="29.25" customHeight="1">
      <c r="A88" s="558" t="s">
        <v>525</v>
      </c>
      <c r="B88" s="743" t="s">
        <v>526</v>
      </c>
      <c r="C88" s="743"/>
      <c r="D88" s="743"/>
      <c r="E88" s="743"/>
      <c r="F88" s="743"/>
      <c r="G88" s="743"/>
      <c r="H88" s="743"/>
      <c r="I88" s="743"/>
    </row>
    <row r="89" spans="1:10">
      <c r="A89" s="327"/>
      <c r="B89" s="553"/>
      <c r="C89" s="553"/>
      <c r="D89" s="281"/>
      <c r="E89" s="281"/>
      <c r="F89" s="281"/>
      <c r="G89" s="281"/>
      <c r="H89" s="281"/>
      <c r="I89" s="281"/>
    </row>
    <row r="90" spans="1:10" ht="15.6">
      <c r="A90" s="327"/>
      <c r="B90" s="734" t="s">
        <v>527</v>
      </c>
      <c r="C90" s="734"/>
      <c r="D90" s="734"/>
      <c r="E90" s="734"/>
      <c r="F90" s="281"/>
      <c r="G90" s="281"/>
      <c r="H90" s="281"/>
      <c r="I90" s="281"/>
    </row>
    <row r="91" spans="1:10" ht="15.6">
      <c r="A91" s="327"/>
      <c r="B91" s="734" t="s">
        <v>528</v>
      </c>
      <c r="C91" s="734"/>
      <c r="D91" s="599" t="s">
        <v>529</v>
      </c>
      <c r="E91" s="599" t="s">
        <v>530</v>
      </c>
      <c r="F91" s="281"/>
      <c r="G91" s="281"/>
      <c r="H91" s="281"/>
      <c r="I91" s="281"/>
    </row>
    <row r="92" spans="1:10">
      <c r="A92" s="327"/>
      <c r="B92" s="720" t="s">
        <v>413</v>
      </c>
      <c r="C92" s="720"/>
      <c r="D92" s="39" t="s">
        <v>365</v>
      </c>
      <c r="E92" s="353" t="s">
        <v>325</v>
      </c>
      <c r="F92" s="281"/>
      <c r="G92" s="281"/>
      <c r="H92" s="281"/>
      <c r="I92" s="281"/>
    </row>
    <row r="93" spans="1:10" ht="15" customHeight="1">
      <c r="A93" s="327"/>
      <c r="B93" s="735" t="s">
        <v>363</v>
      </c>
      <c r="C93" s="735"/>
      <c r="D93" s="39" t="s">
        <v>366</v>
      </c>
      <c r="E93" s="353" t="s">
        <v>326</v>
      </c>
      <c r="F93" s="281"/>
      <c r="G93" s="281"/>
      <c r="H93" s="281"/>
      <c r="I93" s="281"/>
    </row>
    <row r="94" spans="1:10">
      <c r="A94" s="327"/>
      <c r="B94" s="736" t="s">
        <v>364</v>
      </c>
      <c r="C94" s="737"/>
      <c r="D94" s="39" t="s">
        <v>367</v>
      </c>
      <c r="E94" s="353" t="s">
        <v>327</v>
      </c>
      <c r="F94" s="281"/>
      <c r="G94" s="281"/>
      <c r="H94" s="281"/>
      <c r="I94" s="281"/>
    </row>
    <row r="95" spans="1:10" ht="15" customHeight="1">
      <c r="A95" s="327"/>
      <c r="B95" s="735" t="s">
        <v>319</v>
      </c>
      <c r="C95" s="735"/>
      <c r="D95" s="39" t="s">
        <v>368</v>
      </c>
      <c r="E95" s="353" t="s">
        <v>328</v>
      </c>
      <c r="F95" s="281"/>
      <c r="G95" s="281"/>
      <c r="H95" s="281"/>
      <c r="I95" s="281"/>
    </row>
    <row r="96" spans="1:10" ht="15" customHeight="1">
      <c r="A96" s="327"/>
      <c r="B96" s="736" t="s">
        <v>320</v>
      </c>
      <c r="C96" s="737"/>
      <c r="D96" s="39" t="s">
        <v>369</v>
      </c>
      <c r="E96" s="600"/>
      <c r="F96" s="281"/>
      <c r="G96" s="281"/>
      <c r="H96" s="281"/>
      <c r="I96" s="281"/>
    </row>
    <row r="97" spans="1:10" ht="15" customHeight="1">
      <c r="A97" s="327"/>
      <c r="B97" s="736" t="s">
        <v>321</v>
      </c>
      <c r="C97" s="737"/>
      <c r="D97" s="39" t="s">
        <v>370</v>
      </c>
      <c r="E97" s="600"/>
      <c r="F97" s="281"/>
      <c r="G97" s="281"/>
      <c r="H97" s="281"/>
      <c r="I97" s="281"/>
    </row>
    <row r="98" spans="1:10">
      <c r="A98" s="327"/>
      <c r="B98" s="738" t="s">
        <v>322</v>
      </c>
      <c r="C98" s="739"/>
      <c r="D98" s="350" t="s">
        <v>323</v>
      </c>
      <c r="E98" s="601"/>
      <c r="F98" s="281"/>
      <c r="G98" s="281"/>
      <c r="H98" s="281"/>
      <c r="I98" s="281"/>
    </row>
    <row r="99" spans="1:10">
      <c r="A99" s="327"/>
      <c r="B99" s="740"/>
      <c r="C99" s="741"/>
      <c r="D99" s="350" t="s">
        <v>324</v>
      </c>
      <c r="E99" s="601"/>
      <c r="F99" s="281"/>
      <c r="G99" s="281"/>
      <c r="H99" s="281"/>
      <c r="I99" s="281"/>
    </row>
    <row r="100" spans="1:10">
      <c r="A100" s="577"/>
      <c r="B100" s="598"/>
      <c r="C100" s="569"/>
      <c r="D100" s="278"/>
      <c r="E100" s="278"/>
      <c r="F100" s="278"/>
      <c r="G100" s="278"/>
      <c r="H100" s="278"/>
      <c r="I100" s="566"/>
      <c r="J100" s="572"/>
    </row>
    <row r="101" spans="1:10">
      <c r="A101" s="577"/>
      <c r="B101" s="598"/>
      <c r="C101" s="569"/>
      <c r="D101" s="278"/>
      <c r="E101" s="278"/>
      <c r="F101" s="278"/>
      <c r="G101" s="278"/>
      <c r="H101" s="278"/>
      <c r="I101" s="566"/>
      <c r="J101" s="572"/>
    </row>
    <row r="102" spans="1:10">
      <c r="A102" s="577"/>
      <c r="B102" s="598"/>
      <c r="C102" s="569"/>
      <c r="D102" s="278"/>
      <c r="E102" s="278"/>
      <c r="F102" s="278"/>
      <c r="G102" s="278"/>
      <c r="H102" s="278"/>
      <c r="I102" s="566"/>
      <c r="J102" s="572"/>
    </row>
    <row r="103" spans="1:10">
      <c r="A103" s="575" t="s">
        <v>531</v>
      </c>
      <c r="B103" s="742" t="s">
        <v>532</v>
      </c>
      <c r="C103" s="742"/>
      <c r="D103" s="742"/>
      <c r="E103" s="742"/>
      <c r="F103" s="742"/>
      <c r="G103" s="742"/>
      <c r="H103" s="742"/>
      <c r="I103" s="742"/>
      <c r="J103" s="572"/>
    </row>
    <row r="104" spans="1:10">
      <c r="A104" s="577"/>
      <c r="B104" s="602"/>
      <c r="C104" s="602"/>
      <c r="D104" s="602"/>
      <c r="E104" s="602"/>
      <c r="F104" s="602"/>
      <c r="G104" s="602"/>
      <c r="H104" s="602"/>
      <c r="I104" s="602"/>
      <c r="J104" s="572"/>
    </row>
    <row r="105" spans="1:10" ht="33" customHeight="1">
      <c r="A105" s="587"/>
      <c r="B105" s="603" t="s">
        <v>476</v>
      </c>
      <c r="C105" s="730" t="s">
        <v>533</v>
      </c>
      <c r="D105" s="730"/>
      <c r="E105" s="731" t="s">
        <v>534</v>
      </c>
      <c r="F105" s="732"/>
      <c r="G105" s="733"/>
      <c r="H105" s="602"/>
      <c r="I105" s="553"/>
    </row>
    <row r="106" spans="1:10" ht="61.2" customHeight="1">
      <c r="A106" s="577"/>
      <c r="B106" s="354">
        <v>1</v>
      </c>
      <c r="C106" s="721" t="s">
        <v>535</v>
      </c>
      <c r="D106" s="721"/>
      <c r="E106" s="722" t="s">
        <v>553</v>
      </c>
      <c r="F106" s="723"/>
      <c r="G106" s="724"/>
      <c r="H106" s="602"/>
      <c r="I106" s="553"/>
    </row>
    <row r="107" spans="1:10" ht="356.25" customHeight="1">
      <c r="A107" s="577"/>
      <c r="B107" s="354">
        <v>2</v>
      </c>
      <c r="C107" s="721" t="s">
        <v>556</v>
      </c>
      <c r="D107" s="721"/>
      <c r="E107" s="722" t="s">
        <v>554</v>
      </c>
      <c r="F107" s="723"/>
      <c r="G107" s="724"/>
      <c r="H107" s="602"/>
      <c r="I107" s="553"/>
    </row>
    <row r="108" spans="1:10" ht="320.25" customHeight="1">
      <c r="A108" s="577"/>
      <c r="B108" s="354">
        <v>3</v>
      </c>
      <c r="C108" s="721" t="s">
        <v>558</v>
      </c>
      <c r="D108" s="721"/>
      <c r="E108" s="722" t="s">
        <v>555</v>
      </c>
      <c r="F108" s="723"/>
      <c r="G108" s="724"/>
      <c r="H108" s="602"/>
      <c r="I108" s="553"/>
    </row>
    <row r="109" spans="1:10" ht="408.75" customHeight="1">
      <c r="A109" s="577"/>
      <c r="B109" s="354">
        <v>4</v>
      </c>
      <c r="C109" s="725" t="s">
        <v>559</v>
      </c>
      <c r="D109" s="725"/>
      <c r="E109" s="726" t="s">
        <v>557</v>
      </c>
      <c r="F109" s="723"/>
      <c r="G109" s="724"/>
      <c r="H109" s="602"/>
      <c r="I109" s="553"/>
    </row>
    <row r="110" spans="1:10">
      <c r="A110" s="577"/>
      <c r="B110" s="727" t="s">
        <v>536</v>
      </c>
      <c r="C110" s="727"/>
      <c r="D110" s="727"/>
      <c r="E110" s="727"/>
      <c r="F110" s="727"/>
      <c r="G110" s="727"/>
      <c r="H110" s="602"/>
      <c r="I110" s="553"/>
    </row>
    <row r="111" spans="1:10">
      <c r="A111" s="577"/>
      <c r="B111" s="604"/>
      <c r="C111" s="604"/>
      <c r="D111" s="604"/>
      <c r="E111" s="604"/>
      <c r="F111" s="604"/>
      <c r="G111" s="604"/>
      <c r="H111" s="602"/>
      <c r="I111" s="553"/>
    </row>
    <row r="112" spans="1:10">
      <c r="A112" s="571" t="s">
        <v>537</v>
      </c>
      <c r="B112" s="728" t="s">
        <v>538</v>
      </c>
      <c r="C112" s="728"/>
      <c r="D112" s="728"/>
      <c r="E112" s="728"/>
      <c r="F112" s="728"/>
      <c r="G112" s="728"/>
      <c r="H112" s="728"/>
      <c r="I112" s="728"/>
    </row>
    <row r="113" spans="1:10">
      <c r="A113" s="577"/>
      <c r="B113" s="604"/>
      <c r="C113" s="604"/>
      <c r="D113" s="604"/>
      <c r="E113" s="604"/>
      <c r="F113" s="604"/>
      <c r="G113" s="604"/>
      <c r="H113" s="602"/>
      <c r="I113" s="553"/>
    </row>
    <row r="114" spans="1:10" ht="15.75" customHeight="1">
      <c r="A114" s="577"/>
      <c r="B114" s="605" t="s">
        <v>539</v>
      </c>
      <c r="C114" s="729" t="s">
        <v>540</v>
      </c>
      <c r="D114" s="729"/>
      <c r="E114" s="606"/>
      <c r="F114" s="604"/>
      <c r="G114" s="604"/>
      <c r="H114" s="602"/>
      <c r="I114" s="553"/>
    </row>
    <row r="115" spans="1:10">
      <c r="A115" s="577"/>
      <c r="B115" s="354">
        <v>1</v>
      </c>
      <c r="C115" s="720" t="s">
        <v>362</v>
      </c>
      <c r="D115" s="720"/>
      <c r="E115" s="604"/>
      <c r="F115" s="604"/>
      <c r="G115" s="604"/>
      <c r="H115" s="602"/>
      <c r="I115" s="553"/>
    </row>
    <row r="116" spans="1:10">
      <c r="A116" s="577"/>
      <c r="B116" s="354">
        <v>2</v>
      </c>
      <c r="C116" s="716" t="s">
        <v>360</v>
      </c>
      <c r="D116" s="716"/>
      <c r="E116" s="604"/>
      <c r="F116" s="604"/>
      <c r="G116" s="604"/>
      <c r="H116" s="602"/>
      <c r="I116" s="553"/>
    </row>
    <row r="117" spans="1:10">
      <c r="A117" s="577"/>
      <c r="B117" s="354">
        <v>3</v>
      </c>
      <c r="C117" s="716" t="s">
        <v>361</v>
      </c>
      <c r="D117" s="716"/>
      <c r="E117" s="604"/>
      <c r="F117" s="604"/>
      <c r="G117" s="604"/>
      <c r="H117" s="602"/>
      <c r="I117" s="553"/>
    </row>
    <row r="118" spans="1:10">
      <c r="A118" s="577"/>
      <c r="B118" s="604"/>
      <c r="C118" s="604"/>
      <c r="D118" s="604"/>
      <c r="E118" s="604"/>
      <c r="F118" s="604"/>
      <c r="G118" s="604"/>
      <c r="H118" s="602"/>
      <c r="I118" s="553"/>
    </row>
    <row r="119" spans="1:10">
      <c r="A119" s="577"/>
      <c r="B119" s="602"/>
      <c r="C119" s="602"/>
      <c r="D119" s="602"/>
      <c r="E119" s="602"/>
      <c r="F119" s="602"/>
      <c r="G119" s="602"/>
      <c r="H119" s="602"/>
      <c r="I119" s="602"/>
      <c r="J119" s="572"/>
    </row>
    <row r="120" spans="1:10" ht="15.6">
      <c r="A120" s="570" t="s">
        <v>541</v>
      </c>
      <c r="B120" s="607"/>
      <c r="C120" s="608"/>
      <c r="D120" s="608"/>
      <c r="E120" s="608"/>
      <c r="F120" s="609"/>
      <c r="G120" s="609"/>
      <c r="H120" s="610"/>
      <c r="I120" s="566"/>
      <c r="J120" s="572"/>
    </row>
    <row r="121" spans="1:10" ht="17.25" customHeight="1">
      <c r="A121" s="611" t="s">
        <v>458</v>
      </c>
      <c r="B121" s="717" t="s">
        <v>542</v>
      </c>
      <c r="C121" s="717"/>
      <c r="D121" s="717"/>
      <c r="E121" s="717"/>
      <c r="F121" s="717"/>
      <c r="G121" s="717"/>
      <c r="H121" s="717"/>
      <c r="I121" s="717"/>
      <c r="J121" s="572"/>
    </row>
    <row r="122" spans="1:10" ht="16.5" customHeight="1">
      <c r="A122" s="571"/>
      <c r="B122" s="612" t="s">
        <v>543</v>
      </c>
      <c r="C122" s="313" t="s">
        <v>544</v>
      </c>
      <c r="D122" s="313"/>
      <c r="E122" s="613"/>
      <c r="F122" s="613"/>
      <c r="G122" s="613"/>
      <c r="H122" s="613"/>
      <c r="I122" s="613"/>
      <c r="J122" s="572"/>
    </row>
    <row r="123" spans="1:10" ht="16.5" customHeight="1">
      <c r="A123" s="571"/>
      <c r="B123" s="329" t="s">
        <v>545</v>
      </c>
      <c r="C123" s="279" t="s">
        <v>546</v>
      </c>
      <c r="D123" s="279"/>
      <c r="E123" s="613"/>
      <c r="F123" s="613"/>
      <c r="G123" s="613"/>
      <c r="H123" s="613"/>
      <c r="I123" s="613"/>
      <c r="J123" s="572"/>
    </row>
    <row r="124" spans="1:10">
      <c r="A124" s="573"/>
      <c r="B124" s="329" t="s">
        <v>547</v>
      </c>
      <c r="C124" s="313" t="s">
        <v>548</v>
      </c>
      <c r="D124" s="566"/>
      <c r="E124" s="566"/>
      <c r="F124" s="566"/>
      <c r="G124" s="566"/>
      <c r="H124" s="566"/>
      <c r="I124" s="566"/>
      <c r="J124" s="572"/>
    </row>
    <row r="125" spans="1:10">
      <c r="A125" s="573"/>
      <c r="B125" s="329" t="s">
        <v>549</v>
      </c>
      <c r="C125" s="718" t="s">
        <v>550</v>
      </c>
      <c r="D125" s="718"/>
      <c r="E125" s="718"/>
      <c r="F125" s="566"/>
      <c r="G125" s="566"/>
      <c r="H125" s="566"/>
      <c r="I125" s="566"/>
      <c r="J125" s="572"/>
    </row>
    <row r="126" spans="1:10">
      <c r="A126" s="573"/>
      <c r="B126" s="329" t="s">
        <v>551</v>
      </c>
      <c r="C126" s="719" t="s">
        <v>552</v>
      </c>
      <c r="D126" s="719"/>
      <c r="E126" s="719"/>
      <c r="F126" s="719"/>
      <c r="G126" s="719"/>
      <c r="H126" s="719"/>
      <c r="I126" s="719"/>
      <c r="J126" s="572"/>
    </row>
    <row r="127" spans="1:10" ht="15.6">
      <c r="A127" s="573"/>
      <c r="B127" s="281"/>
      <c r="C127" s="614"/>
      <c r="D127" s="566"/>
      <c r="E127" s="566"/>
      <c r="F127" s="566"/>
      <c r="G127" s="566"/>
      <c r="H127" s="566"/>
      <c r="I127" s="566"/>
      <c r="J127" s="572"/>
    </row>
    <row r="128" spans="1:10">
      <c r="A128" s="615"/>
      <c r="B128" s="616"/>
      <c r="C128" s="586"/>
      <c r="D128" s="586"/>
      <c r="E128" s="586"/>
      <c r="F128" s="586"/>
      <c r="G128" s="617"/>
      <c r="H128" s="617"/>
      <c r="I128" s="586"/>
      <c r="J128" s="572"/>
    </row>
    <row r="129" spans="1:10">
      <c r="A129" s="618"/>
      <c r="B129" s="616"/>
      <c r="C129" s="586"/>
      <c r="D129" s="586"/>
      <c r="E129" s="586"/>
      <c r="F129" s="586"/>
      <c r="G129" s="586"/>
      <c r="H129" s="586"/>
      <c r="I129" s="586"/>
      <c r="J129" s="572"/>
    </row>
  </sheetData>
  <sheetProtection algorithmName="SHA-512" hashValue="J07yo2mXb2cmAkHlSswYzCDIo0GWLDTCG+rY/PGQXliZ2LbJQaDj7rdLpV2ybb20N8sApMQ0IIIsil/VUia8NQ==" saltValue="Vi+CrFcJ7YCMOm3Q7M+6Kw==" spinCount="100000" sheet="1" selectLockedCells="1"/>
  <mergeCells count="80">
    <mergeCell ref="B15:C15"/>
    <mergeCell ref="B6:I6"/>
    <mergeCell ref="B8:I8"/>
    <mergeCell ref="B10:I10"/>
    <mergeCell ref="B12:I12"/>
    <mergeCell ref="B14:C14"/>
    <mergeCell ref="B16:C18"/>
    <mergeCell ref="D16:D18"/>
    <mergeCell ref="F16:F18"/>
    <mergeCell ref="B19:C23"/>
    <mergeCell ref="D19:D23"/>
    <mergeCell ref="F19:F23"/>
    <mergeCell ref="C36:D36"/>
    <mergeCell ref="B24:C25"/>
    <mergeCell ref="D24:D25"/>
    <mergeCell ref="F24:F25"/>
    <mergeCell ref="B27:I27"/>
    <mergeCell ref="C29:D29"/>
    <mergeCell ref="C30:D30"/>
    <mergeCell ref="C31:D31"/>
    <mergeCell ref="C32:D32"/>
    <mergeCell ref="C33:D33"/>
    <mergeCell ref="C34:D34"/>
    <mergeCell ref="C35:D35"/>
    <mergeCell ref="B55:I55"/>
    <mergeCell ref="B38:I38"/>
    <mergeCell ref="D40:E40"/>
    <mergeCell ref="F40:G40"/>
    <mergeCell ref="D41:E41"/>
    <mergeCell ref="F41:G41"/>
    <mergeCell ref="D42:E42"/>
    <mergeCell ref="F42:G42"/>
    <mergeCell ref="D43:E43"/>
    <mergeCell ref="F43:G43"/>
    <mergeCell ref="D44:E44"/>
    <mergeCell ref="F44:G44"/>
    <mergeCell ref="B49:I49"/>
    <mergeCell ref="B53:I53"/>
    <mergeCell ref="B88:I88"/>
    <mergeCell ref="B57:I57"/>
    <mergeCell ref="B59:I59"/>
    <mergeCell ref="B61:I61"/>
    <mergeCell ref="B65:B66"/>
    <mergeCell ref="D65:D66"/>
    <mergeCell ref="D79:D80"/>
    <mergeCell ref="B81:C81"/>
    <mergeCell ref="B82:C82"/>
    <mergeCell ref="B83:C83"/>
    <mergeCell ref="B84:C84"/>
    <mergeCell ref="B85:C85"/>
    <mergeCell ref="C105:D105"/>
    <mergeCell ref="E105:G105"/>
    <mergeCell ref="B90:E90"/>
    <mergeCell ref="B91:C91"/>
    <mergeCell ref="B92:C92"/>
    <mergeCell ref="B93:C93"/>
    <mergeCell ref="B94:C94"/>
    <mergeCell ref="B95:C95"/>
    <mergeCell ref="B96:C96"/>
    <mergeCell ref="B97:C97"/>
    <mergeCell ref="B98:C98"/>
    <mergeCell ref="B99:C99"/>
    <mergeCell ref="B103:I103"/>
    <mergeCell ref="C115:D115"/>
    <mergeCell ref="C106:D106"/>
    <mergeCell ref="E106:G106"/>
    <mergeCell ref="C107:D107"/>
    <mergeCell ref="E107:G107"/>
    <mergeCell ref="C108:D108"/>
    <mergeCell ref="E108:G108"/>
    <mergeCell ref="C109:D109"/>
    <mergeCell ref="E109:G109"/>
    <mergeCell ref="B110:G110"/>
    <mergeCell ref="B112:I112"/>
    <mergeCell ref="C114:D114"/>
    <mergeCell ref="C116:D116"/>
    <mergeCell ref="C117:D117"/>
    <mergeCell ref="B121:I121"/>
    <mergeCell ref="C125:E125"/>
    <mergeCell ref="C126:I126"/>
  </mergeCells>
  <pageMargins left="0.25" right="0.25" top="0.75" bottom="0.75" header="0.3" footer="0.3"/>
  <pageSetup paperSize="8" scale="69" fitToHeight="0" orientation="portrait" r:id="rId1"/>
  <headerFooter>
    <oddFooter>&amp;F</oddFooter>
  </headerFooter>
  <rowBreaks count="2" manualBreakCount="2">
    <brk id="74" max="8" man="1"/>
    <brk id="108"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L298"/>
  <sheetViews>
    <sheetView tabSelected="1" zoomScaleNormal="100" zoomScaleSheetLayoutView="85" zoomScalePageLayoutView="70" workbookViewId="0">
      <selection activeCell="A6" sqref="A6:G6"/>
    </sheetView>
  </sheetViews>
  <sheetFormatPr defaultColWidth="9.109375" defaultRowHeight="15"/>
  <cols>
    <col min="1" max="1" width="57.5546875" style="3" customWidth="1"/>
    <col min="2" max="2" width="15" style="3" customWidth="1"/>
    <col min="3" max="3" width="21" style="3" customWidth="1"/>
    <col min="4" max="5" width="15" style="3" customWidth="1"/>
    <col min="6" max="6" width="14.33203125" style="10" customWidth="1"/>
    <col min="7" max="7" width="15.6640625" style="3" customWidth="1"/>
    <col min="8" max="8" width="9.109375" style="3" customWidth="1"/>
    <col min="9" max="9" width="87.5546875" style="3" hidden="1" customWidth="1"/>
    <col min="10" max="10" width="19" style="3" hidden="1" customWidth="1"/>
    <col min="11" max="11" width="43.5546875" style="3" hidden="1" customWidth="1"/>
    <col min="12" max="12" width="43" style="3" hidden="1" customWidth="1"/>
    <col min="13" max="13" width="18.44140625" style="3" customWidth="1"/>
    <col min="14" max="16384" width="9.109375" style="3"/>
  </cols>
  <sheetData>
    <row r="1" spans="1:9" ht="15" customHeight="1">
      <c r="A1" s="801" t="s">
        <v>377</v>
      </c>
      <c r="B1" s="802"/>
      <c r="C1" s="802"/>
      <c r="D1" s="802"/>
      <c r="E1" s="802"/>
      <c r="F1" s="802"/>
      <c r="G1" s="803"/>
      <c r="I1" s="3" t="s">
        <v>41</v>
      </c>
    </row>
    <row r="2" spans="1:9" ht="15.75" customHeight="1" thickBot="1">
      <c r="A2" s="804"/>
      <c r="B2" s="805"/>
      <c r="C2" s="805"/>
      <c r="D2" s="805"/>
      <c r="E2" s="805"/>
      <c r="F2" s="805"/>
      <c r="G2" s="806"/>
      <c r="I2" s="148" t="s">
        <v>428</v>
      </c>
    </row>
    <row r="3" spans="1:9" s="4" customFormat="1" ht="21.75" customHeight="1" thickBot="1">
      <c r="A3" s="12" t="s">
        <v>32</v>
      </c>
      <c r="B3" s="13"/>
      <c r="C3" s="13"/>
      <c r="D3" s="13"/>
      <c r="E3" s="13"/>
      <c r="F3" s="13"/>
      <c r="G3" s="14"/>
      <c r="I3" s="148" t="s">
        <v>45</v>
      </c>
    </row>
    <row r="4" spans="1:9">
      <c r="A4" s="280"/>
      <c r="B4" s="281"/>
      <c r="C4" s="281"/>
      <c r="D4" s="281"/>
      <c r="E4" s="281"/>
      <c r="F4" s="282"/>
      <c r="G4" s="283"/>
      <c r="I4" s="148" t="s">
        <v>15</v>
      </c>
    </row>
    <row r="5" spans="1:9" ht="15.6">
      <c r="A5" s="284" t="s">
        <v>24</v>
      </c>
      <c r="B5" s="281"/>
      <c r="C5" s="281"/>
      <c r="D5" s="281"/>
      <c r="E5" s="281"/>
      <c r="F5" s="282"/>
      <c r="G5" s="283"/>
      <c r="I5" s="148" t="s">
        <v>16</v>
      </c>
    </row>
    <row r="6" spans="1:9">
      <c r="A6" s="807"/>
      <c r="B6" s="808"/>
      <c r="C6" s="808"/>
      <c r="D6" s="808"/>
      <c r="E6" s="808"/>
      <c r="F6" s="808"/>
      <c r="G6" s="809"/>
      <c r="I6" s="148" t="s">
        <v>427</v>
      </c>
    </row>
    <row r="7" spans="1:9">
      <c r="A7" s="285"/>
      <c r="B7" s="279"/>
      <c r="C7" s="279"/>
      <c r="D7" s="279"/>
      <c r="E7" s="279"/>
      <c r="F7" s="282"/>
      <c r="G7" s="283"/>
      <c r="I7" s="29" t="s">
        <v>426</v>
      </c>
    </row>
    <row r="8" spans="1:9" ht="15.6">
      <c r="A8" s="284" t="s">
        <v>25</v>
      </c>
      <c r="B8" s="281"/>
      <c r="C8" s="281"/>
      <c r="D8" s="281"/>
      <c r="E8" s="281"/>
      <c r="F8" s="282"/>
      <c r="G8" s="283"/>
    </row>
    <row r="9" spans="1:9" ht="78.75" customHeight="1">
      <c r="A9" s="810"/>
      <c r="B9" s="811"/>
      <c r="C9" s="811"/>
      <c r="D9" s="811"/>
      <c r="E9" s="811"/>
      <c r="F9" s="811"/>
      <c r="G9" s="812"/>
    </row>
    <row r="10" spans="1:9" ht="13.5" customHeight="1">
      <c r="A10" s="286"/>
      <c r="B10" s="517"/>
      <c r="C10" s="517"/>
      <c r="D10" s="517"/>
      <c r="E10" s="517"/>
      <c r="F10" s="277"/>
      <c r="G10" s="283"/>
    </row>
    <row r="11" spans="1:9" ht="15.6">
      <c r="A11" s="284" t="s">
        <v>26</v>
      </c>
      <c r="B11" s="281"/>
      <c r="C11" s="281"/>
      <c r="D11" s="281"/>
      <c r="E11" s="281"/>
      <c r="F11" s="282"/>
      <c r="G11" s="283"/>
    </row>
    <row r="12" spans="1:9" ht="29.25" customHeight="1">
      <c r="A12" s="813"/>
      <c r="B12" s="814"/>
      <c r="C12" s="814"/>
      <c r="D12" s="814"/>
      <c r="E12" s="814"/>
      <c r="F12" s="814"/>
      <c r="G12" s="815"/>
    </row>
    <row r="13" spans="1:9">
      <c r="A13" s="280"/>
      <c r="B13" s="281"/>
      <c r="C13" s="281"/>
      <c r="D13" s="281"/>
      <c r="E13" s="281"/>
      <c r="F13" s="282"/>
      <c r="G13" s="283"/>
    </row>
    <row r="14" spans="1:9" ht="15.6">
      <c r="A14" s="284" t="s">
        <v>92</v>
      </c>
      <c r="B14" s="281"/>
      <c r="C14" s="281"/>
      <c r="D14" s="281"/>
      <c r="E14" s="281"/>
      <c r="F14" s="282"/>
      <c r="G14" s="283"/>
    </row>
    <row r="15" spans="1:9">
      <c r="A15" s="280" t="s">
        <v>93</v>
      </c>
      <c r="B15" s="819"/>
      <c r="C15" s="808"/>
      <c r="D15" s="808"/>
      <c r="E15" s="808"/>
      <c r="F15" s="808"/>
      <c r="G15" s="809"/>
    </row>
    <row r="16" spans="1:9">
      <c r="A16" s="280" t="s">
        <v>106</v>
      </c>
      <c r="B16" s="819"/>
      <c r="C16" s="808"/>
      <c r="D16" s="808"/>
      <c r="E16" s="808"/>
      <c r="F16" s="808"/>
      <c r="G16" s="809"/>
    </row>
    <row r="17" spans="1:7">
      <c r="A17" s="280" t="s">
        <v>94</v>
      </c>
      <c r="B17" s="819"/>
      <c r="C17" s="808"/>
      <c r="D17" s="808"/>
      <c r="E17" s="808"/>
      <c r="F17" s="808"/>
      <c r="G17" s="809"/>
    </row>
    <row r="18" spans="1:7" s="29" customFormat="1" ht="51" customHeight="1">
      <c r="A18" s="287" t="s">
        <v>95</v>
      </c>
      <c r="B18" s="820"/>
      <c r="C18" s="821"/>
      <c r="D18" s="821"/>
      <c r="E18" s="821"/>
      <c r="F18" s="821"/>
      <c r="G18" s="822"/>
    </row>
    <row r="19" spans="1:7">
      <c r="A19" s="280" t="s">
        <v>96</v>
      </c>
      <c r="B19" s="823"/>
      <c r="C19" s="808"/>
      <c r="D19" s="808"/>
      <c r="E19" s="808"/>
      <c r="F19" s="808"/>
      <c r="G19" s="809"/>
    </row>
    <row r="20" spans="1:7">
      <c r="A20" s="280" t="s">
        <v>97</v>
      </c>
      <c r="B20" s="819"/>
      <c r="C20" s="808"/>
      <c r="D20" s="808"/>
      <c r="E20" s="808"/>
      <c r="F20" s="808"/>
      <c r="G20" s="809"/>
    </row>
    <row r="21" spans="1:7">
      <c r="A21" s="280" t="s">
        <v>98</v>
      </c>
      <c r="B21" s="819"/>
      <c r="C21" s="808"/>
      <c r="D21" s="808"/>
      <c r="E21" s="808"/>
      <c r="F21" s="808"/>
      <c r="G21" s="809"/>
    </row>
    <row r="22" spans="1:7">
      <c r="A22" s="280"/>
      <c r="B22" s="281"/>
      <c r="C22" s="281"/>
      <c r="D22" s="281"/>
      <c r="E22" s="281"/>
      <c r="F22" s="282"/>
      <c r="G22" s="283"/>
    </row>
    <row r="23" spans="1:7" ht="15.6">
      <c r="A23" s="284" t="s">
        <v>99</v>
      </c>
      <c r="B23" s="281"/>
      <c r="C23" s="281"/>
      <c r="D23" s="281"/>
      <c r="E23" s="281"/>
      <c r="F23" s="282"/>
      <c r="G23" s="283"/>
    </row>
    <row r="24" spans="1:7">
      <c r="A24" s="280" t="s">
        <v>93</v>
      </c>
      <c r="B24" s="819"/>
      <c r="C24" s="808"/>
      <c r="D24" s="808"/>
      <c r="E24" s="808"/>
      <c r="F24" s="808"/>
      <c r="G24" s="809"/>
    </row>
    <row r="25" spans="1:7">
      <c r="A25" s="280" t="s">
        <v>106</v>
      </c>
      <c r="B25" s="819"/>
      <c r="C25" s="808"/>
      <c r="D25" s="808"/>
      <c r="E25" s="808"/>
      <c r="F25" s="808"/>
      <c r="G25" s="809"/>
    </row>
    <row r="26" spans="1:7">
      <c r="A26" s="280" t="s">
        <v>94</v>
      </c>
      <c r="B26" s="819"/>
      <c r="C26" s="808"/>
      <c r="D26" s="808"/>
      <c r="E26" s="808"/>
      <c r="F26" s="808"/>
      <c r="G26" s="809"/>
    </row>
    <row r="27" spans="1:7" s="29" customFormat="1" ht="51" customHeight="1">
      <c r="A27" s="287" t="s">
        <v>95</v>
      </c>
      <c r="B27" s="826"/>
      <c r="C27" s="821"/>
      <c r="D27" s="821"/>
      <c r="E27" s="821"/>
      <c r="F27" s="821"/>
      <c r="G27" s="822"/>
    </row>
    <row r="28" spans="1:7">
      <c r="A28" s="280" t="s">
        <v>96</v>
      </c>
      <c r="B28" s="819"/>
      <c r="C28" s="808"/>
      <c r="D28" s="808"/>
      <c r="E28" s="808"/>
      <c r="F28" s="808"/>
      <c r="G28" s="809"/>
    </row>
    <row r="29" spans="1:7">
      <c r="A29" s="280" t="s">
        <v>97</v>
      </c>
      <c r="B29" s="819"/>
      <c r="C29" s="808"/>
      <c r="D29" s="808"/>
      <c r="E29" s="808"/>
      <c r="F29" s="808"/>
      <c r="G29" s="809"/>
    </row>
    <row r="30" spans="1:7">
      <c r="A30" s="280" t="s">
        <v>98</v>
      </c>
      <c r="B30" s="819"/>
      <c r="C30" s="808"/>
      <c r="D30" s="808"/>
      <c r="E30" s="808"/>
      <c r="F30" s="808"/>
      <c r="G30" s="809"/>
    </row>
    <row r="31" spans="1:7">
      <c r="A31" s="280"/>
      <c r="B31" s="281"/>
      <c r="C31" s="281"/>
      <c r="D31" s="281"/>
      <c r="E31" s="281"/>
      <c r="F31" s="282"/>
      <c r="G31" s="283"/>
    </row>
    <row r="32" spans="1:7" ht="15.6">
      <c r="A32" s="284" t="s">
        <v>560</v>
      </c>
      <c r="B32" s="281"/>
      <c r="C32" s="281"/>
      <c r="D32" s="281"/>
      <c r="E32" s="281"/>
      <c r="F32" s="282"/>
      <c r="G32" s="283"/>
    </row>
    <row r="33" spans="1:9">
      <c r="A33" s="280" t="s">
        <v>93</v>
      </c>
      <c r="B33" s="819"/>
      <c r="C33" s="808"/>
      <c r="D33" s="808"/>
      <c r="E33" s="808"/>
      <c r="F33" s="808"/>
      <c r="G33" s="809"/>
    </row>
    <row r="34" spans="1:9">
      <c r="A34" s="280" t="s">
        <v>106</v>
      </c>
      <c r="B34" s="819"/>
      <c r="C34" s="808"/>
      <c r="D34" s="808"/>
      <c r="E34" s="808"/>
      <c r="F34" s="808"/>
      <c r="G34" s="809"/>
    </row>
    <row r="35" spans="1:9">
      <c r="A35" s="280" t="s">
        <v>94</v>
      </c>
      <c r="B35" s="819"/>
      <c r="C35" s="808"/>
      <c r="D35" s="808"/>
      <c r="E35" s="808"/>
      <c r="F35" s="808"/>
      <c r="G35" s="809"/>
    </row>
    <row r="36" spans="1:9" s="29" customFormat="1" ht="51" customHeight="1">
      <c r="A36" s="287" t="s">
        <v>95</v>
      </c>
      <c r="B36" s="826"/>
      <c r="C36" s="821"/>
      <c r="D36" s="821"/>
      <c r="E36" s="821"/>
      <c r="F36" s="821"/>
      <c r="G36" s="822"/>
    </row>
    <row r="37" spans="1:9">
      <c r="A37" s="280" t="s">
        <v>96</v>
      </c>
      <c r="B37" s="819"/>
      <c r="C37" s="808"/>
      <c r="D37" s="808"/>
      <c r="E37" s="808"/>
      <c r="F37" s="808"/>
      <c r="G37" s="809"/>
    </row>
    <row r="38" spans="1:9">
      <c r="A38" s="280" t="s">
        <v>97</v>
      </c>
      <c r="B38" s="819"/>
      <c r="C38" s="808"/>
      <c r="D38" s="808"/>
      <c r="E38" s="808"/>
      <c r="F38" s="808"/>
      <c r="G38" s="809"/>
    </row>
    <row r="39" spans="1:9">
      <c r="A39" s="280" t="s">
        <v>98</v>
      </c>
      <c r="B39" s="819"/>
      <c r="C39" s="808"/>
      <c r="D39" s="808"/>
      <c r="E39" s="808"/>
      <c r="F39" s="808"/>
      <c r="G39" s="809"/>
    </row>
    <row r="40" spans="1:9">
      <c r="A40" s="280"/>
      <c r="B40" s="281"/>
      <c r="C40" s="281"/>
      <c r="D40" s="281"/>
      <c r="E40" s="281"/>
      <c r="F40" s="282"/>
      <c r="G40" s="283"/>
    </row>
    <row r="41" spans="1:9" ht="15.6">
      <c r="A41" s="284" t="s">
        <v>561</v>
      </c>
      <c r="B41" s="281"/>
      <c r="C41" s="281"/>
      <c r="D41" s="281"/>
      <c r="E41" s="281"/>
      <c r="F41" s="282"/>
      <c r="G41" s="283"/>
    </row>
    <row r="42" spans="1:9">
      <c r="A42" s="280" t="s">
        <v>93</v>
      </c>
      <c r="B42" s="819"/>
      <c r="C42" s="808"/>
      <c r="D42" s="808"/>
      <c r="E42" s="808"/>
      <c r="F42" s="808"/>
      <c r="G42" s="809"/>
    </row>
    <row r="43" spans="1:9">
      <c r="A43" s="280" t="s">
        <v>106</v>
      </c>
      <c r="B43" s="819"/>
      <c r="C43" s="808"/>
      <c r="D43" s="808"/>
      <c r="E43" s="808"/>
      <c r="F43" s="808"/>
      <c r="G43" s="809"/>
    </row>
    <row r="44" spans="1:9">
      <c r="A44" s="280" t="s">
        <v>94</v>
      </c>
      <c r="B44" s="819"/>
      <c r="C44" s="808"/>
      <c r="D44" s="808"/>
      <c r="E44" s="808"/>
      <c r="F44" s="808"/>
      <c r="G44" s="809"/>
    </row>
    <row r="45" spans="1:9" ht="51" customHeight="1">
      <c r="A45" s="287" t="s">
        <v>95</v>
      </c>
      <c r="B45" s="826"/>
      <c r="C45" s="821"/>
      <c r="D45" s="821"/>
      <c r="E45" s="821"/>
      <c r="F45" s="821"/>
      <c r="G45" s="822"/>
    </row>
    <row r="46" spans="1:9">
      <c r="A46" s="280" t="s">
        <v>96</v>
      </c>
      <c r="B46" s="819"/>
      <c r="C46" s="808"/>
      <c r="D46" s="808"/>
      <c r="E46" s="808"/>
      <c r="F46" s="808"/>
      <c r="G46" s="809"/>
    </row>
    <row r="47" spans="1:9">
      <c r="A47" s="280" t="s">
        <v>97</v>
      </c>
      <c r="B47" s="819"/>
      <c r="C47" s="808"/>
      <c r="D47" s="808"/>
      <c r="E47" s="808"/>
      <c r="F47" s="808"/>
      <c r="G47" s="809"/>
      <c r="I47" s="3" t="s">
        <v>576</v>
      </c>
    </row>
    <row r="48" spans="1:9">
      <c r="A48" s="280" t="s">
        <v>98</v>
      </c>
      <c r="B48" s="819"/>
      <c r="C48" s="808"/>
      <c r="D48" s="808"/>
      <c r="E48" s="808"/>
      <c r="F48" s="808"/>
      <c r="G48" s="809"/>
      <c r="I48" s="3" t="s">
        <v>579</v>
      </c>
    </row>
    <row r="49" spans="1:10">
      <c r="A49" s="280"/>
      <c r="B49" s="281"/>
      <c r="C49" s="281"/>
      <c r="D49" s="281"/>
      <c r="E49" s="281"/>
      <c r="F49" s="282"/>
      <c r="G49" s="283"/>
    </row>
    <row r="50" spans="1:10" ht="15.6">
      <c r="A50" s="284" t="s">
        <v>31</v>
      </c>
      <c r="B50" s="281"/>
      <c r="C50" s="281"/>
      <c r="D50" s="281"/>
      <c r="E50" s="281"/>
      <c r="F50" s="282"/>
      <c r="G50" s="619" t="s">
        <v>563</v>
      </c>
      <c r="I50" s="4" t="s">
        <v>581</v>
      </c>
      <c r="J50" s="4" t="s">
        <v>576</v>
      </c>
    </row>
    <row r="51" spans="1:10" ht="35.4" customHeight="1">
      <c r="A51" s="833" t="s">
        <v>562</v>
      </c>
      <c r="B51" s="834"/>
      <c r="C51" s="834"/>
      <c r="D51" s="834"/>
      <c r="E51" s="834"/>
      <c r="F51" s="834"/>
      <c r="G51" s="627"/>
      <c r="I51" s="623" t="s">
        <v>565</v>
      </c>
      <c r="J51" s="531" t="s">
        <v>569</v>
      </c>
    </row>
    <row r="52" spans="1:10" ht="50.4" customHeight="1">
      <c r="A52" s="833" t="s">
        <v>580</v>
      </c>
      <c r="B52" s="834"/>
      <c r="C52" s="834"/>
      <c r="D52" s="834"/>
      <c r="E52" s="834"/>
      <c r="F52" s="834"/>
      <c r="G52" s="627"/>
      <c r="I52" s="623" t="s">
        <v>564</v>
      </c>
      <c r="J52" s="531" t="s">
        <v>569</v>
      </c>
    </row>
    <row r="53" spans="1:10" ht="34.950000000000003" customHeight="1">
      <c r="A53" s="833" t="s">
        <v>582</v>
      </c>
      <c r="B53" s="834"/>
      <c r="C53" s="834"/>
      <c r="D53" s="834"/>
      <c r="E53" s="834"/>
      <c r="F53" s="835"/>
      <c r="G53" s="829" t="s">
        <v>576</v>
      </c>
      <c r="I53" s="623" t="s">
        <v>566</v>
      </c>
      <c r="J53" s="531" t="s">
        <v>570</v>
      </c>
    </row>
    <row r="54" spans="1:10" ht="50.4" customHeight="1" thickBot="1">
      <c r="A54" s="831" t="s">
        <v>581</v>
      </c>
      <c r="B54" s="832"/>
      <c r="C54" s="832"/>
      <c r="D54" s="832"/>
      <c r="E54" s="832"/>
      <c r="F54" s="647" t="str">
        <f>VLOOKUP(A54,I50:J57,2,FALSE)</f>
        <v xml:space="preserve"> </v>
      </c>
      <c r="G54" s="830"/>
      <c r="I54" s="623" t="s">
        <v>567</v>
      </c>
      <c r="J54" s="531" t="s">
        <v>571</v>
      </c>
    </row>
    <row r="55" spans="1:10" ht="16.2" customHeight="1">
      <c r="A55" s="648"/>
      <c r="B55" s="316"/>
      <c r="C55" s="316"/>
      <c r="D55" s="316"/>
      <c r="E55" s="316"/>
      <c r="F55" s="649"/>
      <c r="G55" s="650"/>
      <c r="I55" s="623" t="s">
        <v>568</v>
      </c>
      <c r="J55" s="531" t="s">
        <v>570</v>
      </c>
    </row>
    <row r="56" spans="1:10" ht="16.2" customHeight="1">
      <c r="A56" s="816" t="s">
        <v>71</v>
      </c>
      <c r="B56" s="817"/>
      <c r="C56" s="817"/>
      <c r="D56" s="817"/>
      <c r="E56" s="817"/>
      <c r="F56" s="817"/>
      <c r="G56" s="818"/>
      <c r="I56" s="623" t="s">
        <v>573</v>
      </c>
      <c r="J56" s="531" t="s">
        <v>572</v>
      </c>
    </row>
    <row r="57" spans="1:10" ht="18" customHeight="1">
      <c r="A57" s="533"/>
      <c r="B57" s="534"/>
      <c r="C57" s="534"/>
      <c r="D57" s="534"/>
      <c r="E57" s="534"/>
      <c r="F57" s="288"/>
      <c r="G57" s="283"/>
      <c r="I57" s="623" t="s">
        <v>574</v>
      </c>
      <c r="J57" s="531" t="s">
        <v>575</v>
      </c>
    </row>
    <row r="58" spans="1:10" ht="15.6">
      <c r="A58" s="825" t="s">
        <v>107</v>
      </c>
      <c r="B58" s="281"/>
      <c r="C58" s="289" t="s">
        <v>27</v>
      </c>
      <c r="D58" s="281"/>
      <c r="E58" s="289" t="s">
        <v>28</v>
      </c>
      <c r="F58" s="282"/>
      <c r="G58" s="283"/>
    </row>
    <row r="59" spans="1:10" ht="15.6">
      <c r="A59" s="825"/>
      <c r="B59" s="281"/>
      <c r="C59" s="289"/>
      <c r="D59" s="281"/>
      <c r="E59" s="289"/>
      <c r="F59" s="282"/>
      <c r="G59" s="283"/>
    </row>
    <row r="60" spans="1:10" ht="15.6">
      <c r="A60" s="629" t="s">
        <v>41</v>
      </c>
      <c r="B60" s="281"/>
      <c r="C60" s="628"/>
      <c r="D60" s="281" t="s">
        <v>33</v>
      </c>
      <c r="E60" s="628"/>
      <c r="F60" s="279" t="s">
        <v>33</v>
      </c>
      <c r="G60" s="283"/>
    </row>
    <row r="61" spans="1:10" ht="15.6">
      <c r="A61" s="629" t="s">
        <v>41</v>
      </c>
      <c r="B61" s="281"/>
      <c r="C61" s="628"/>
      <c r="D61" s="281" t="s">
        <v>33</v>
      </c>
      <c r="E61" s="628"/>
      <c r="F61" s="279" t="s">
        <v>33</v>
      </c>
      <c r="G61" s="283"/>
    </row>
    <row r="62" spans="1:10" ht="15.6">
      <c r="A62" s="629" t="s">
        <v>41</v>
      </c>
      <c r="B62" s="281"/>
      <c r="C62" s="628"/>
      <c r="D62" s="281" t="s">
        <v>33</v>
      </c>
      <c r="E62" s="628"/>
      <c r="F62" s="279" t="s">
        <v>33</v>
      </c>
      <c r="G62" s="283"/>
    </row>
    <row r="63" spans="1:10" ht="15.6">
      <c r="A63" s="629" t="s">
        <v>41</v>
      </c>
      <c r="B63" s="281"/>
      <c r="C63" s="628"/>
      <c r="D63" s="281" t="s">
        <v>33</v>
      </c>
      <c r="E63" s="628"/>
      <c r="F63" s="279" t="s">
        <v>33</v>
      </c>
      <c r="G63" s="283"/>
    </row>
    <row r="64" spans="1:10" ht="15.6">
      <c r="A64" s="284" t="s">
        <v>29</v>
      </c>
      <c r="B64" s="281"/>
      <c r="C64" s="290">
        <f>SUM(C60:C63)</f>
        <v>0</v>
      </c>
      <c r="D64" s="281" t="s">
        <v>33</v>
      </c>
      <c r="E64" s="290">
        <f>SUM(E60:E63)</f>
        <v>0</v>
      </c>
      <c r="F64" s="279" t="s">
        <v>33</v>
      </c>
      <c r="G64" s="283"/>
    </row>
    <row r="65" spans="1:7" ht="15.6">
      <c r="A65" s="284" t="s">
        <v>30</v>
      </c>
      <c r="B65" s="281"/>
      <c r="C65" s="290">
        <f>SUM(C64+E64)</f>
        <v>0</v>
      </c>
      <c r="D65" s="281" t="s">
        <v>33</v>
      </c>
      <c r="E65" s="281"/>
      <c r="F65" s="282"/>
      <c r="G65" s="283"/>
    </row>
    <row r="66" spans="1:7">
      <c r="A66" s="280"/>
      <c r="B66" s="281"/>
      <c r="C66" s="281"/>
      <c r="D66" s="281"/>
      <c r="E66" s="281"/>
      <c r="F66" s="282"/>
      <c r="G66" s="283"/>
    </row>
    <row r="67" spans="1:7" ht="15.6">
      <c r="A67" s="291" t="s">
        <v>108</v>
      </c>
      <c r="B67" s="281"/>
      <c r="C67" s="281"/>
      <c r="D67" s="281"/>
      <c r="E67" s="281"/>
      <c r="F67" s="282"/>
      <c r="G67" s="283"/>
    </row>
    <row r="68" spans="1:7">
      <c r="A68" s="280"/>
      <c r="B68" s="281"/>
      <c r="C68" s="281"/>
      <c r="D68" s="281"/>
      <c r="E68" s="281"/>
      <c r="F68" s="282"/>
      <c r="G68" s="283"/>
    </row>
    <row r="69" spans="1:7" ht="15.6">
      <c r="A69" s="284" t="s">
        <v>31</v>
      </c>
      <c r="B69" s="281"/>
      <c r="C69" s="281"/>
      <c r="D69" s="281"/>
      <c r="E69" s="281"/>
      <c r="F69" s="282"/>
      <c r="G69" s="292" t="s">
        <v>563</v>
      </c>
    </row>
    <row r="70" spans="1:7" s="267" customFormat="1" ht="30.75" customHeight="1">
      <c r="A70" s="799" t="s">
        <v>600</v>
      </c>
      <c r="B70" s="800"/>
      <c r="C70" s="800"/>
      <c r="D70" s="800"/>
      <c r="E70" s="800"/>
      <c r="F70" s="800"/>
      <c r="G70" s="626"/>
    </row>
    <row r="71" spans="1:7" s="267" customFormat="1" ht="34.5" customHeight="1">
      <c r="A71" s="784" t="s">
        <v>379</v>
      </c>
      <c r="B71" s="785"/>
      <c r="C71" s="785"/>
      <c r="D71" s="785"/>
      <c r="E71" s="785"/>
      <c r="F71" s="786"/>
      <c r="G71" s="626"/>
    </row>
    <row r="72" spans="1:7" s="267" customFormat="1" ht="29.25" customHeight="1">
      <c r="A72" s="784" t="s">
        <v>380</v>
      </c>
      <c r="B72" s="785"/>
      <c r="C72" s="785"/>
      <c r="D72" s="785"/>
      <c r="E72" s="785"/>
      <c r="F72" s="786"/>
      <c r="G72" s="626"/>
    </row>
    <row r="73" spans="1:7" s="268" customFormat="1" ht="15.6" thickBot="1">
      <c r="A73" s="293"/>
      <c r="B73" s="294"/>
      <c r="C73" s="294"/>
      <c r="D73" s="294"/>
      <c r="E73" s="294"/>
      <c r="F73" s="277"/>
      <c r="G73" s="295"/>
    </row>
    <row r="74" spans="1:7" s="4" customFormat="1" ht="21.75" customHeight="1" thickBot="1">
      <c r="A74" s="15" t="s">
        <v>34</v>
      </c>
      <c r="B74" s="16"/>
      <c r="C74" s="16"/>
      <c r="D74" s="16"/>
      <c r="E74" s="16"/>
      <c r="F74" s="16"/>
      <c r="G74" s="17"/>
    </row>
    <row r="75" spans="1:7">
      <c r="A75" s="280"/>
      <c r="B75" s="281"/>
      <c r="C75" s="281"/>
      <c r="D75" s="281"/>
      <c r="E75" s="281"/>
      <c r="F75" s="282"/>
      <c r="G75" s="283"/>
    </row>
    <row r="76" spans="1:7" ht="87.75" customHeight="1">
      <c r="A76" s="363" t="s">
        <v>35</v>
      </c>
      <c r="B76" s="364" t="s">
        <v>40</v>
      </c>
      <c r="C76" s="364" t="s">
        <v>55</v>
      </c>
      <c r="D76" s="364" t="s">
        <v>81</v>
      </c>
      <c r="E76" s="364" t="s">
        <v>82</v>
      </c>
      <c r="F76" s="364" t="s">
        <v>54</v>
      </c>
      <c r="G76" s="365" t="s">
        <v>83</v>
      </c>
    </row>
    <row r="77" spans="1:7">
      <c r="A77" s="532"/>
      <c r="B77" s="296">
        <f>'Block 1'!F56</f>
        <v>0</v>
      </c>
      <c r="C77" s="297">
        <f>IFERROR(B77/$B$87,0)</f>
        <v>0</v>
      </c>
      <c r="D77" s="296">
        <f>'Block 1'!F115</f>
        <v>0</v>
      </c>
      <c r="E77" s="297">
        <f>IFERROR(D77/$D$87,0)</f>
        <v>0</v>
      </c>
      <c r="F77" s="296">
        <f>IFERROR('Block 1'!H236,0)</f>
        <v>0</v>
      </c>
      <c r="G77" s="298">
        <f>IFERROR(C77*F77,0)</f>
        <v>0</v>
      </c>
    </row>
    <row r="78" spans="1:7">
      <c r="A78" s="532"/>
      <c r="B78" s="296">
        <f>'Block 2'!F56</f>
        <v>0</v>
      </c>
      <c r="C78" s="297">
        <f t="shared" ref="C78:C82" si="0">IFERROR(B78/$B$87,0)</f>
        <v>0</v>
      </c>
      <c r="D78" s="296">
        <f>'Block 2'!F115</f>
        <v>0</v>
      </c>
      <c r="E78" s="297">
        <f t="shared" ref="E78:E86" si="1">IFERROR(D78/$D$87,0)</f>
        <v>0</v>
      </c>
      <c r="F78" s="296">
        <f>IFERROR('Block 2'!H236,0)</f>
        <v>0</v>
      </c>
      <c r="G78" s="298">
        <f>IFERROR(C78*F78,0)</f>
        <v>0</v>
      </c>
    </row>
    <row r="79" spans="1:7">
      <c r="A79" s="532"/>
      <c r="B79" s="296">
        <f>'Block 3'!F56</f>
        <v>0</v>
      </c>
      <c r="C79" s="297">
        <f t="shared" si="0"/>
        <v>0</v>
      </c>
      <c r="D79" s="296">
        <f>'Block 3'!F115</f>
        <v>0</v>
      </c>
      <c r="E79" s="297">
        <f t="shared" si="1"/>
        <v>0</v>
      </c>
      <c r="F79" s="296">
        <f>IFERROR('Block 3'!H236,0)</f>
        <v>0</v>
      </c>
      <c r="G79" s="298">
        <f>IFERROR(C79*F79,0)</f>
        <v>0</v>
      </c>
    </row>
    <row r="80" spans="1:7">
      <c r="A80" s="532"/>
      <c r="B80" s="296">
        <f>'Block 4'!F56</f>
        <v>0</v>
      </c>
      <c r="C80" s="297">
        <f t="shared" si="0"/>
        <v>0</v>
      </c>
      <c r="D80" s="296">
        <f>'Block 4'!F115</f>
        <v>0</v>
      </c>
      <c r="E80" s="297">
        <f t="shared" si="1"/>
        <v>0</v>
      </c>
      <c r="F80" s="296">
        <f>IFERROR('Block 4'!H236,0)</f>
        <v>0</v>
      </c>
      <c r="G80" s="298">
        <f t="shared" ref="G80" si="2">IFERROR(C80*F80,0)</f>
        <v>0</v>
      </c>
    </row>
    <row r="81" spans="1:7">
      <c r="A81" s="532"/>
      <c r="B81" s="296">
        <f>'Block 5'!F56</f>
        <v>0</v>
      </c>
      <c r="C81" s="297">
        <f t="shared" si="0"/>
        <v>0</v>
      </c>
      <c r="D81" s="296">
        <f>'Block 5'!F115</f>
        <v>0</v>
      </c>
      <c r="E81" s="297">
        <f>IFERROR(D81/$D$87,0)</f>
        <v>0</v>
      </c>
      <c r="F81" s="296">
        <f>IFERROR('Block 5'!H236,0)</f>
        <v>0</v>
      </c>
      <c r="G81" s="298">
        <f t="shared" ref="G81:G86" si="3">IFERROR(C81*F81,0)</f>
        <v>0</v>
      </c>
    </row>
    <row r="82" spans="1:7">
      <c r="A82" s="532"/>
      <c r="B82" s="296">
        <f>'Block 6'!F56</f>
        <v>0</v>
      </c>
      <c r="C82" s="297">
        <f t="shared" si="0"/>
        <v>0</v>
      </c>
      <c r="D82" s="296">
        <f>'Block 6'!F115</f>
        <v>0</v>
      </c>
      <c r="E82" s="297">
        <f t="shared" si="1"/>
        <v>0</v>
      </c>
      <c r="F82" s="296">
        <f>IFERROR('Block 6'!H236,0)</f>
        <v>0</v>
      </c>
      <c r="G82" s="298">
        <f>IFERROR(C82*F82,0)</f>
        <v>0</v>
      </c>
    </row>
    <row r="83" spans="1:7">
      <c r="A83" s="532"/>
      <c r="B83" s="296">
        <f>'Block 7'!F56</f>
        <v>0</v>
      </c>
      <c r="C83" s="297">
        <f t="shared" ref="C83:C85" si="4">IFERROR(B83/$B$87,0)</f>
        <v>0</v>
      </c>
      <c r="D83" s="296">
        <f>'Block 7'!F115</f>
        <v>0</v>
      </c>
      <c r="E83" s="297">
        <f t="shared" si="1"/>
        <v>0</v>
      </c>
      <c r="F83" s="296">
        <f>IFERROR('Block 7'!H236,0)</f>
        <v>0</v>
      </c>
      <c r="G83" s="298">
        <f t="shared" si="3"/>
        <v>0</v>
      </c>
    </row>
    <row r="84" spans="1:7">
      <c r="A84" s="532"/>
      <c r="B84" s="296">
        <f>'Block 8'!F56</f>
        <v>0</v>
      </c>
      <c r="C84" s="297">
        <f>IFERROR(B84/$B$87,0)</f>
        <v>0</v>
      </c>
      <c r="D84" s="296">
        <f>'Block 8'!F115</f>
        <v>0</v>
      </c>
      <c r="E84" s="297">
        <f t="shared" si="1"/>
        <v>0</v>
      </c>
      <c r="F84" s="296">
        <f>IFERROR('Block 8'!H236,0)</f>
        <v>0</v>
      </c>
      <c r="G84" s="298">
        <f t="shared" si="3"/>
        <v>0</v>
      </c>
    </row>
    <row r="85" spans="1:7">
      <c r="A85" s="532"/>
      <c r="B85" s="296">
        <f>'Block 9'!F56</f>
        <v>0</v>
      </c>
      <c r="C85" s="297">
        <f t="shared" si="4"/>
        <v>0</v>
      </c>
      <c r="D85" s="296">
        <f>'Block 9'!F115</f>
        <v>0</v>
      </c>
      <c r="E85" s="297">
        <f t="shared" si="1"/>
        <v>0</v>
      </c>
      <c r="F85" s="296">
        <f>IFERROR('Block 9'!H236,0)</f>
        <v>0</v>
      </c>
      <c r="G85" s="298">
        <f t="shared" si="3"/>
        <v>0</v>
      </c>
    </row>
    <row r="86" spans="1:7">
      <c r="A86" s="532"/>
      <c r="B86" s="296">
        <f>'Block 10'!F56</f>
        <v>0</v>
      </c>
      <c r="C86" s="297">
        <f>IFERROR(B86/$B$87,0)</f>
        <v>0</v>
      </c>
      <c r="D86" s="296">
        <f>'Block 10'!F115</f>
        <v>0</v>
      </c>
      <c r="E86" s="297">
        <f t="shared" si="1"/>
        <v>0</v>
      </c>
      <c r="F86" s="296">
        <f>IFERROR('Block 10'!H236,0)</f>
        <v>0</v>
      </c>
      <c r="G86" s="298">
        <f t="shared" si="3"/>
        <v>0</v>
      </c>
    </row>
    <row r="87" spans="1:7" ht="15.6">
      <c r="A87" s="299" t="s">
        <v>36</v>
      </c>
      <c r="B87" s="300">
        <f>SUM(B77:B86)</f>
        <v>0</v>
      </c>
      <c r="C87" s="301">
        <f>SUM(C77:C86)</f>
        <v>0</v>
      </c>
      <c r="D87" s="300">
        <f>SUM(D77:D86)</f>
        <v>0</v>
      </c>
      <c r="E87" s="301">
        <f>SUM(E77:E86)</f>
        <v>0</v>
      </c>
      <c r="F87" s="290"/>
      <c r="G87" s="19">
        <f>ROUND(SUM(G77:G86),0)</f>
        <v>0</v>
      </c>
    </row>
    <row r="88" spans="1:7" ht="15.6">
      <c r="A88" s="620"/>
      <c r="B88" s="621"/>
      <c r="C88" s="622"/>
      <c r="D88" s="621"/>
      <c r="E88" s="622"/>
      <c r="F88" s="324" t="s">
        <v>577</v>
      </c>
      <c r="G88" s="19">
        <f>IFERROR(SUM((C60/C65*IF(C65&gt;=25000,VLOOKUP(A60,'Min B-Score'!A4:C12,3,FALSE),VLOOKUP(A60,'Min B-Score'!A4:C12,2,FALSE)))+(C61/C65*IF(C65&gt;=25000,VLOOKUP(A61,'Min B-Score'!A4:C12,3,FALSE),VLOOKUP(A61,'Min B-Score'!A4:C12,2,FALSE)))+(C62/C65*IF(C65&gt;=25000,VLOOKUP(A62,'Min B-Score'!A4:C12,3,FALSE),VLOOKUP(A62,'Min B-Score'!A4:C12,2,FALSE)))+(C63/C65*IF(C65&gt;=25000,VLOOKUP(A63,'Min B-Score'!A4:C12,3,FALSE),VLOOKUP(A63,'Min B-Score'!A4:C12,2,FALSE)))+(E64/C65)*'Min B-Score'!B11),0)</f>
        <v>0</v>
      </c>
    </row>
    <row r="89" spans="1:7" ht="15.6" thickBot="1">
      <c r="A89" s="302"/>
      <c r="B89" s="303"/>
      <c r="C89" s="281"/>
      <c r="D89" s="281"/>
      <c r="E89" s="281"/>
      <c r="F89" s="282"/>
      <c r="G89" s="304"/>
    </row>
    <row r="90" spans="1:7" ht="16.2" hidden="1" thickBot="1">
      <c r="A90" s="305" t="s">
        <v>104</v>
      </c>
      <c r="B90" s="349" t="s">
        <v>112</v>
      </c>
      <c r="C90" s="787" t="s">
        <v>116</v>
      </c>
      <c r="D90" s="787"/>
      <c r="E90" s="349" t="s">
        <v>19</v>
      </c>
      <c r="F90" s="306" t="s">
        <v>113</v>
      </c>
      <c r="G90" s="304"/>
    </row>
    <row r="91" spans="1:7" ht="15.6" hidden="1" thickBot="1">
      <c r="A91" s="307" t="s">
        <v>100</v>
      </c>
      <c r="B91" s="308">
        <f>IFERROR('Block 1'!H56*C77+'Block 2'!H56*C78+'Block 3'!H56*C79+'Block 4'!H56*C80+'Block 5'!H56*C81+'Block 6'!H56*C82+'Block 7'!H56*C83+'Block 8'!H56*C84+'Block 9'!H56*C85+'Block 10'!H56*C86,0)</f>
        <v>0</v>
      </c>
      <c r="C91" s="788">
        <f>IFERROR('Block 1'!H82*C77+'Block 2'!H82*C78+'Block 3'!H82*C79+'Block 4'!H82*C80+'Block 5'!H82*C81+'Block 6'!H82*C82+'Block 7'!H82*C83+'Block 8'!H82*C84+'Block 9'!H82*C85+'Block 10'!H82*C86,0)</f>
        <v>0</v>
      </c>
      <c r="D91" s="789"/>
      <c r="E91" s="308">
        <f>SUM(B91:D91)</f>
        <v>0</v>
      </c>
      <c r="F91" s="308">
        <f>IFERROR('Block 1'!H84*C77+'Block 2'!H84*C78+'Block 3'!H84*C79+'Block 4'!H84*C80+'Block 5'!H84*C81+'Block 6'!H84*C82+'Block 7'!H84*C83+'Block 8'!H84*C84+'Block 9'!H84*C85+'Block 10'!H84*C86,0)</f>
        <v>0</v>
      </c>
      <c r="G91" s="304"/>
    </row>
    <row r="92" spans="1:7" ht="15.6" hidden="1" thickBot="1">
      <c r="A92" s="307" t="s">
        <v>101</v>
      </c>
      <c r="B92" s="308">
        <f>IFERROR((('Block 1'!H115+'Block 1'!H138)*C77+('Block 2'!H115+'Block 2'!H138)*C78+('Block 3'!H115+'Block 3'!H138)*C79+('Block 4'!H115+'Block 4'!H138)*C80+('Block 5'!H115+'Block 5'!H138)*C81+('Block 6'!H115+'Block 6'!H138)*C82+('Block 7'!H115+'Block 7'!H138)*C83+('Block 8'!H115+'Block 8'!H138)*C84+('Block 9'!H115+'Block 9'!H138)*C85+('Block 10'!H115+'Block 10'!H138)*C86),0)</f>
        <v>0</v>
      </c>
      <c r="C92" s="788">
        <f>IFERROR((('Block 1'!H173+'Block 1'!H181)*C77+('Block 2'!H173+'Block 2'!H181)*C78+('Block 3'!H173+'Block 3'!H181)*C79+('Block 4'!H173+'Block 4'!H181)*C80+('Block 5'!H173+'Block 5'!H181)*C81+('Block 6'!H173+'Block 6'!H181)*C82+('Block 7'!H173+'Block 7'!H181)*C83+('Block 8'!H173+'Block 8'!H181)*C84+('Block 9'!H173+'Block 9'!H181)*C85+('Block 10'!H173+'Block 10'!H181)*C86),0)</f>
        <v>0</v>
      </c>
      <c r="D92" s="789"/>
      <c r="E92" s="308">
        <f>SUM(B92:D92)</f>
        <v>0</v>
      </c>
      <c r="F92" s="308">
        <f>IFERROR('Block 1'!H183*C77+'Block 2'!H183*C78+'Block 3'!H183*C79+'Block 4'!H183*C80+'Block 5'!H183*C81+'Block 6'!H183*C82+'Block 7'!H183*C83+'Block 8'!H183*C84+'Block 9'!H183*C85+'Block 10'!H183*C86,0)</f>
        <v>0</v>
      </c>
      <c r="G92" s="304"/>
    </row>
    <row r="93" spans="1:7" ht="15.6" hidden="1" thickBot="1">
      <c r="A93" s="307" t="s">
        <v>102</v>
      </c>
      <c r="B93" s="308">
        <f>IFERROR(('Block 1'!H197+'Block 1'!H211)*C77+('Block 2'!H197+'Block 2'!H211)*C78+('Block 3'!H197+'Block 3'!H211)*C79+('Block 4'!H197+'Block 4'!H211)*C80+('Block 5'!H197+'Block 5'!H211)*C81+('Block 6'!H197+'Block 6'!H211)*C82+('Block 7'!H197+'Block 7'!H211)*C83+('Block 8'!H197+'Block 8'!H211)*C84+('Block 9'!H197+'Block 9'!H211)*C85+('Block 10'!H197+'Block 10'!H211)*C86,0)</f>
        <v>0</v>
      </c>
      <c r="C93" s="788">
        <f>IFERROR('Block 1'!H218*C77+'Block 2'!H218*C78+'Block 3'!H218*C79+'Block 4'!H218*C80+'Block 5'!H218*C81+'Block 6'!H218*C82+'Block 7'!H218*C83+'Block 8'!H218*C84+'Block 9'!H218*C85+'Block 10'!H218*C86,0)</f>
        <v>0</v>
      </c>
      <c r="D93" s="789"/>
      <c r="E93" s="308">
        <f>SUM(B93:D93)</f>
        <v>0</v>
      </c>
      <c r="F93" s="308">
        <f>IFERROR('Block 1'!H220*C77+'Block 2'!H220*C78+'Block 3'!H220*C79+'Block 4'!H220*C80+'Block 5'!H220*C81+'Block 6'!H220*C82+'Block 7'!H220*C83+'Block 8'!H220*C84+'Block 9'!H220*C85+'Block 10'!H220*C86,0)</f>
        <v>0</v>
      </c>
      <c r="G93" s="304"/>
    </row>
    <row r="94" spans="1:7" ht="15.6" hidden="1" thickBot="1">
      <c r="A94" s="307" t="s">
        <v>105</v>
      </c>
      <c r="B94" s="308">
        <f>IFERROR('Block 1'!H234*C77+'Block 2'!H234*C78+'Block 3'!H234*C79+'Block 4'!H234*C80+'Block 5'!H234*C81+'Block 6'!H234*C82+'Block 7'!H234*C83+'Block 8'!H234*C84+'Block 9'!H234*C85+'Block 10'!H234*C86,0)</f>
        <v>0</v>
      </c>
      <c r="C94" s="788"/>
      <c r="D94" s="789"/>
      <c r="E94" s="308">
        <f>SUM(B94:D94)</f>
        <v>0</v>
      </c>
      <c r="F94" s="308">
        <f>IFERROR('Block 1'!H236*C77+'Block 2'!H236*C78+'Block 3'!H236*C79+'Block 4'!H236*C80+'Block 5'!H236*C81+'Block 6'!H236*C82+'Block 7'!H236*C83+'Block 8'!H236*C84+'Block 9'!H236*C85+'Block 10'!H236*C86,0)</f>
        <v>0</v>
      </c>
      <c r="G94" s="304"/>
    </row>
    <row r="95" spans="1:7" ht="15.6" hidden="1" thickBot="1">
      <c r="A95" s="302"/>
      <c r="B95" s="303"/>
      <c r="C95" s="281"/>
      <c r="D95" s="281"/>
      <c r="E95" s="281"/>
      <c r="F95" s="282"/>
      <c r="G95" s="304"/>
    </row>
    <row r="96" spans="1:7" s="4" customFormat="1" ht="21.75" customHeight="1" thickBot="1">
      <c r="A96" s="15" t="s">
        <v>89</v>
      </c>
      <c r="B96" s="16"/>
      <c r="C96" s="16"/>
      <c r="D96" s="16"/>
      <c r="E96" s="16"/>
      <c r="F96" s="16"/>
      <c r="G96" s="17"/>
    </row>
    <row r="97" spans="1:7">
      <c r="A97" s="280"/>
      <c r="B97" s="281"/>
      <c r="C97" s="281"/>
      <c r="D97" s="281"/>
      <c r="E97" s="281"/>
      <c r="F97" s="282"/>
      <c r="G97" s="283"/>
    </row>
    <row r="98" spans="1:7" ht="87.75" customHeight="1">
      <c r="A98" s="363" t="s">
        <v>35</v>
      </c>
      <c r="B98" s="364" t="s">
        <v>40</v>
      </c>
      <c r="C98" s="364" t="s">
        <v>55</v>
      </c>
      <c r="D98" s="364" t="s">
        <v>81</v>
      </c>
      <c r="E98" s="364" t="s">
        <v>82</v>
      </c>
      <c r="F98" s="364" t="s">
        <v>54</v>
      </c>
      <c r="G98" s="365" t="s">
        <v>83</v>
      </c>
    </row>
    <row r="99" spans="1:7">
      <c r="A99" s="532"/>
      <c r="B99" s="296">
        <f>'Basement Block 1'!F56</f>
        <v>0</v>
      </c>
      <c r="C99" s="297">
        <f>IFERROR(B99/$B$104,0)</f>
        <v>0</v>
      </c>
      <c r="D99" s="296">
        <f>'Basement Block 1'!F115</f>
        <v>0</v>
      </c>
      <c r="E99" s="297">
        <f>IFERROR(D99/$D$104,0)</f>
        <v>0</v>
      </c>
      <c r="F99" s="296">
        <f>IFERROR('Basement Block 1'!H236,0)</f>
        <v>0</v>
      </c>
      <c r="G99" s="298">
        <f>IFERROR(C99*F99,0)</f>
        <v>0</v>
      </c>
    </row>
    <row r="100" spans="1:7">
      <c r="A100" s="532"/>
      <c r="B100" s="296">
        <f>'Basement Block 2'!F56</f>
        <v>0</v>
      </c>
      <c r="C100" s="297">
        <f>IFERROR(B100/$B$104,0)</f>
        <v>0</v>
      </c>
      <c r="D100" s="296">
        <f>'Basement Block 2'!F115</f>
        <v>0</v>
      </c>
      <c r="E100" s="297">
        <f>IFERROR(D100/$D$104,0)</f>
        <v>0</v>
      </c>
      <c r="F100" s="296">
        <f>IFERROR('Basement Block 2'!H236,0)</f>
        <v>0</v>
      </c>
      <c r="G100" s="298">
        <f>IFERROR(C100*F100,0)</f>
        <v>0</v>
      </c>
    </row>
    <row r="101" spans="1:7">
      <c r="A101" s="532"/>
      <c r="B101" s="296">
        <f>'Basement Block 3'!F56</f>
        <v>0</v>
      </c>
      <c r="C101" s="297">
        <f>IFERROR(B101/$B$104,0)</f>
        <v>0</v>
      </c>
      <c r="D101" s="296">
        <f>'Basement Block 3'!F115</f>
        <v>0</v>
      </c>
      <c r="E101" s="297">
        <f>IFERROR(D101/$D$104,0)</f>
        <v>0</v>
      </c>
      <c r="F101" s="296">
        <f>IFERROR('Basement Block 3'!H236,0)</f>
        <v>0</v>
      </c>
      <c r="G101" s="298">
        <f>IFERROR(C101*F101,0)</f>
        <v>0</v>
      </c>
    </row>
    <row r="102" spans="1:7">
      <c r="A102" s="532"/>
      <c r="B102" s="296">
        <f>'Basement Block 4'!F56</f>
        <v>0</v>
      </c>
      <c r="C102" s="297">
        <f>IFERROR(B102/$B$104,0)</f>
        <v>0</v>
      </c>
      <c r="D102" s="296">
        <f>'Basement Block 4'!F115</f>
        <v>0</v>
      </c>
      <c r="E102" s="297">
        <f>IFERROR(D102/$D$104,0)</f>
        <v>0</v>
      </c>
      <c r="F102" s="296">
        <f>IFERROR('Basement Block 4'!H236,0)</f>
        <v>0</v>
      </c>
      <c r="G102" s="298">
        <f>IFERROR(C102*F102,0)</f>
        <v>0</v>
      </c>
    </row>
    <row r="103" spans="1:7">
      <c r="A103" s="532"/>
      <c r="B103" s="296">
        <f>'Basement Block 5'!F56</f>
        <v>0</v>
      </c>
      <c r="C103" s="297">
        <f>IFERROR(B103/$B$104,0)</f>
        <v>0</v>
      </c>
      <c r="D103" s="296">
        <f>'Basement Block 5'!F115</f>
        <v>0</v>
      </c>
      <c r="E103" s="297">
        <f>IFERROR(D103/$D$104,0)</f>
        <v>0</v>
      </c>
      <c r="F103" s="296">
        <f>IFERROR('Basement Block 5'!H236,0)</f>
        <v>0</v>
      </c>
      <c r="G103" s="298">
        <f>IFERROR(C103*F103,0)</f>
        <v>0</v>
      </c>
    </row>
    <row r="104" spans="1:7" ht="15.6">
      <c r="A104" s="18" t="s">
        <v>36</v>
      </c>
      <c r="B104" s="300">
        <f>SUM(B99:B103)</f>
        <v>0</v>
      </c>
      <c r="C104" s="301">
        <f>SUM(C99:C103)</f>
        <v>0</v>
      </c>
      <c r="D104" s="290">
        <f>SUM(D99:D103)</f>
        <v>0</v>
      </c>
      <c r="E104" s="301">
        <f>SUM(E99:E103)</f>
        <v>0</v>
      </c>
      <c r="F104" s="290"/>
      <c r="G104" s="19">
        <f>ROUND(SUM(G99:G103),0)</f>
        <v>0</v>
      </c>
    </row>
    <row r="105" spans="1:7" ht="15.6">
      <c r="A105" s="302"/>
      <c r="B105" s="303"/>
      <c r="C105" s="281"/>
      <c r="D105" s="281"/>
      <c r="E105" s="281"/>
      <c r="F105" s="324" t="s">
        <v>578</v>
      </c>
      <c r="G105" s="625">
        <f>IF(G104&gt;0,'Min B-Score'!B10,0)</f>
        <v>0</v>
      </c>
    </row>
    <row r="106" spans="1:7" ht="15.6" thickBot="1">
      <c r="A106" s="651"/>
      <c r="B106" s="652"/>
      <c r="C106" s="315"/>
      <c r="D106" s="315"/>
      <c r="E106" s="315"/>
      <c r="F106" s="653"/>
      <c r="G106" s="654"/>
    </row>
    <row r="107" spans="1:7" ht="15.6" hidden="1">
      <c r="A107" s="305" t="s">
        <v>103</v>
      </c>
      <c r="B107" s="349" t="s">
        <v>112</v>
      </c>
      <c r="C107" s="787" t="s">
        <v>116</v>
      </c>
      <c r="D107" s="787"/>
      <c r="E107" s="349" t="s">
        <v>19</v>
      </c>
      <c r="F107" s="306" t="s">
        <v>113</v>
      </c>
      <c r="G107" s="304"/>
    </row>
    <row r="108" spans="1:7" hidden="1">
      <c r="A108" s="307" t="s">
        <v>100</v>
      </c>
      <c r="B108" s="308">
        <f>IFERROR('Basement Block 1'!H56*C99+'Basement Block 2'!H56*C100+'Basement Block 3'!H56*C101+'Basement Block 4'!H56*C102+'Basement Block 5'!H56*C103,0)</f>
        <v>0</v>
      </c>
      <c r="C108" s="788">
        <f>IFERROR('Basement Block 1'!H82*C99+'Basement Block 2'!H82*C100+'Basement Block 3'!H82*C101+'Basement Block 4'!H82*C102+'Basement Block 5'!H82*C103,0)</f>
        <v>0</v>
      </c>
      <c r="D108" s="789"/>
      <c r="E108" s="308">
        <f>SUM(B108:D108)</f>
        <v>0</v>
      </c>
      <c r="F108" s="308">
        <f>IFERROR('Basement Block 1'!H84*C99+'Basement Block 2'!H84*C100+'Basement Block 3'!H84*C101+'Basement Block 4'!H84*C102+'Basement Block 5'!H84*C103,0)</f>
        <v>0</v>
      </c>
      <c r="G108" s="304"/>
    </row>
    <row r="109" spans="1:7" hidden="1">
      <c r="A109" s="307" t="s">
        <v>101</v>
      </c>
      <c r="B109" s="308">
        <f>IFERROR((('Basement Block 1'!H115+'Basement Block 1'!H138)*C99+('Basement Block 2'!H115+'Basement Block 2'!H138)*C100+('Basement Block 3'!H115+'Basement Block 3'!H138)*C101+('Basement Block 4'!H115+'Basement Block 4'!H138)*C102+('Basement Block 5'!H115+'Basement Block 5'!H138)*C103),0)</f>
        <v>0</v>
      </c>
      <c r="C109" s="788">
        <f>IFERROR((('Basement Block 1'!H173+'Basement Block 1'!H181)*C99+('Basement Block 2'!H173+'Basement Block 2'!H181)*C100+('Basement Block 3'!H173+'Basement Block 3'!H181)*C101+('Basement Block 4'!H173+'Basement Block 4'!H181)*C102+('Basement Block 5'!H173+'Basement Block 5'!H181)*C103),0)</f>
        <v>0</v>
      </c>
      <c r="D109" s="789"/>
      <c r="E109" s="308">
        <f>SUM(B109:D109)</f>
        <v>0</v>
      </c>
      <c r="F109" s="308">
        <f>IFERROR('Basement Block 1'!H183*C99+'Basement Block 2'!H183*C100+'Basement Block 3'!H183*C101+'Basement Block 4'!H183*C102+'Basement Block 5'!H183*C103,0)</f>
        <v>0</v>
      </c>
      <c r="G109" s="304"/>
    </row>
    <row r="110" spans="1:7" hidden="1">
      <c r="A110" s="307" t="s">
        <v>102</v>
      </c>
      <c r="B110" s="308">
        <f>IFERROR(('Basement Block 1'!H197+'Basement Block 1'!H211)*C99+('Basement Block 2'!H197+'Basement Block 2'!H211)*C100+('Basement Block 3'!H197+'Basement Block 3'!H211)*C101+('Basement Block 4'!H197+'Basement Block 4'!H211)*C102+('Basement Block 5'!H197+'Basement Block 5'!H211)*C103,0)</f>
        <v>0</v>
      </c>
      <c r="C110" s="788">
        <f>IFERROR('Basement Block 1'!H218*C99+'Basement Block 2'!H218*C100+'Basement Block 3'!H218*C101+'Basement Block 4'!H218*C102+'Basement Block 5'!H218*C103,0)</f>
        <v>0</v>
      </c>
      <c r="D110" s="789"/>
      <c r="E110" s="308">
        <f>SUM(B110:D110)</f>
        <v>0</v>
      </c>
      <c r="F110" s="308">
        <f>IFERROR('Basement Block 1'!H220*C99+'Basement Block 2'!H220*C100+'Basement Block 3'!H220*C101+'Basement Block 4'!H220*C102+'Basement Block 5'!H220*C103,0)</f>
        <v>0</v>
      </c>
      <c r="G110" s="304"/>
    </row>
    <row r="111" spans="1:7" hidden="1">
      <c r="A111" s="307" t="s">
        <v>105</v>
      </c>
      <c r="B111" s="308">
        <f>IFERROR('Basement Block 1'!H234*C99+'Basement Block 2'!H234*C100+'Basement Block 3'!H234*C101+'Basement Block 4'!H234*C102+'Basement Block 5'!H234*C103,0)</f>
        <v>0</v>
      </c>
      <c r="C111" s="788"/>
      <c r="D111" s="789"/>
      <c r="E111" s="308">
        <f>SUM(B111:D111)</f>
        <v>0</v>
      </c>
      <c r="F111" s="308">
        <f>IFERROR('Basement Block 1'!H236*C99+'Basement Block 2'!H236*C100+'Basement Block 3'!H236*C101+'Basement Block 4'!H236*C102+'Basement Block 5'!H236*C103,0)</f>
        <v>0</v>
      </c>
      <c r="G111" s="304"/>
    </row>
    <row r="112" spans="1:7" ht="15.6" hidden="1" thickBot="1">
      <c r="A112" s="302"/>
      <c r="B112" s="303"/>
      <c r="C112" s="281"/>
      <c r="D112" s="281"/>
      <c r="E112" s="281"/>
      <c r="F112" s="282"/>
      <c r="G112" s="304"/>
    </row>
    <row r="113" spans="1:12" s="4" customFormat="1" ht="21.75" customHeight="1" thickBot="1">
      <c r="A113" s="15" t="s">
        <v>399</v>
      </c>
      <c r="B113" s="16"/>
      <c r="C113" s="16"/>
      <c r="D113" s="16"/>
      <c r="E113" s="16"/>
      <c r="F113" s="16"/>
      <c r="G113" s="17"/>
    </row>
    <row r="114" spans="1:12">
      <c r="A114" s="302"/>
      <c r="B114" s="303"/>
      <c r="C114" s="281"/>
      <c r="D114" s="281"/>
      <c r="E114" s="281"/>
      <c r="F114" s="282"/>
      <c r="G114" s="304"/>
    </row>
    <row r="115" spans="1:12" ht="30.75" customHeight="1">
      <c r="A115" s="284" t="s">
        <v>385</v>
      </c>
      <c r="B115" s="349"/>
      <c r="C115" s="828" t="s">
        <v>416</v>
      </c>
      <c r="D115" s="828"/>
      <c r="E115" s="828"/>
      <c r="F115" s="282"/>
      <c r="G115" s="304"/>
    </row>
    <row r="116" spans="1:12" ht="15.75" customHeight="1">
      <c r="A116" s="280" t="s">
        <v>38</v>
      </c>
      <c r="B116" s="184">
        <f>IFERROR('Block 1'!G240*C77+'Block 2'!G240*C78+'Block 3'!G240*C79+'Block 4'!G240*C80+'Block 5'!G240*C81+'Block 6'!G240*C82+'Block 7'!G240*C83+'Block 8'!G240*C84+'Block 9'!G240*C85+'Block 10'!G240*C86,0)</f>
        <v>0</v>
      </c>
      <c r="C116" s="303" t="s">
        <v>284</v>
      </c>
      <c r="D116" s="185"/>
      <c r="E116" s="281" t="s">
        <v>285</v>
      </c>
      <c r="F116" s="21">
        <f>SUM(B116,D116)</f>
        <v>0</v>
      </c>
      <c r="G116" s="283"/>
    </row>
    <row r="117" spans="1:12" ht="15.6">
      <c r="A117" s="280" t="s">
        <v>39</v>
      </c>
      <c r="B117" s="184">
        <f>IFERROR('Block 1'!G241*E77+'Block 2'!G241*E78+'Block 3'!G241*E79+'Block 4'!G241*E80+'Block 5'!G241*E81+'Block 6'!G241*E82+'Block 7'!G241*E83+'Block 8'!G241*E84+'Block 9'!G241*E85+'Block 10'!G241*E86,0)</f>
        <v>0</v>
      </c>
      <c r="C117" s="303" t="s">
        <v>284</v>
      </c>
      <c r="D117" s="185"/>
      <c r="E117" s="281" t="s">
        <v>285</v>
      </c>
      <c r="F117" s="21">
        <f>SUM(B117,D117)</f>
        <v>0</v>
      </c>
      <c r="G117" s="283"/>
      <c r="I117" s="358" t="s">
        <v>383</v>
      </c>
      <c r="J117" s="358" t="s">
        <v>389</v>
      </c>
      <c r="K117" s="358" t="s">
        <v>394</v>
      </c>
      <c r="L117" s="358" t="s">
        <v>396</v>
      </c>
    </row>
    <row r="118" spans="1:12" ht="15.6">
      <c r="A118" s="302"/>
      <c r="B118" s="282"/>
      <c r="C118" s="303"/>
      <c r="D118" s="281"/>
      <c r="E118" s="281"/>
      <c r="F118" s="282"/>
      <c r="G118" s="304"/>
      <c r="I118" s="358" t="s">
        <v>390</v>
      </c>
      <c r="J118" s="358" t="s">
        <v>391</v>
      </c>
      <c r="K118" s="186" t="s">
        <v>398</v>
      </c>
      <c r="L118" s="358" t="s">
        <v>397</v>
      </c>
    </row>
    <row r="119" spans="1:12" ht="15.6">
      <c r="A119" s="284" t="s">
        <v>386</v>
      </c>
      <c r="B119" s="306"/>
      <c r="C119" s="281"/>
      <c r="D119" s="281"/>
      <c r="E119" s="309"/>
      <c r="F119" s="282"/>
      <c r="G119" s="283"/>
      <c r="I119" s="353" t="s">
        <v>325</v>
      </c>
      <c r="J119" s="348" t="s">
        <v>374</v>
      </c>
      <c r="K119" s="351" t="s">
        <v>429</v>
      </c>
      <c r="L119" s="355" t="s">
        <v>362</v>
      </c>
    </row>
    <row r="120" spans="1:12" ht="15.6">
      <c r="A120" s="280" t="s">
        <v>84</v>
      </c>
      <c r="B120" s="356">
        <f>IFERROR('Block 1'!G29*C77+'Block 2'!G29*C78+'Block 3'!G29*C79+'Block 4'!G29*C80+'Block 5'!G29*C81+'Block 6'!G29*C82+'Block 7'!G29*C83+'Block 8'!G29*C84+'Block 9'!G29*C85+'Block 10'!G29*C86,0)</f>
        <v>0</v>
      </c>
      <c r="C120" s="281"/>
      <c r="D120" s="281"/>
      <c r="E120" s="281"/>
      <c r="F120" s="282"/>
      <c r="G120" s="283"/>
      <c r="I120" s="353" t="s">
        <v>326</v>
      </c>
      <c r="J120" s="350" t="s">
        <v>309</v>
      </c>
      <c r="K120" s="351" t="s">
        <v>430</v>
      </c>
      <c r="L120" s="354" t="s">
        <v>360</v>
      </c>
    </row>
    <row r="121" spans="1:12" ht="15.6">
      <c r="A121" s="280" t="s">
        <v>85</v>
      </c>
      <c r="B121" s="356">
        <f>IFERROR('Block 1'!G32*C77+'Block 2'!G32*C78+'Block 3'!G32*C79+'Block 4'!G32*C80+'Block 5'!G32*C81+'Block 6'!G32*C82+'Block 7'!G32*C83+'Block 8'!G32*C84+'Block 9'!G32*C85+'Block 10'!G32*C86,0)</f>
        <v>0</v>
      </c>
      <c r="C121" s="281"/>
      <c r="D121" s="281"/>
      <c r="E121" s="281"/>
      <c r="F121" s="282"/>
      <c r="G121" s="283"/>
      <c r="I121" s="353" t="s">
        <v>327</v>
      </c>
      <c r="J121" s="350" t="s">
        <v>310</v>
      </c>
      <c r="K121" s="351" t="s">
        <v>431</v>
      </c>
      <c r="L121" s="354" t="s">
        <v>361</v>
      </c>
    </row>
    <row r="122" spans="1:12" ht="15.6">
      <c r="A122" s="312" t="s">
        <v>88</v>
      </c>
      <c r="B122" s="356">
        <f>IFERROR('Block 1'!G34*C77+'Block 2'!G34*C78+'Block 3'!G34*C79+'Block 4'!G34*C80+'Block 5'!G34*C81+'Block 6'!G34*C82+'Block 7'!G34*C83+'Block 8'!G34*C84+'Block 9'!G34*C85+'Block 10'!G34*C86,0)</f>
        <v>0</v>
      </c>
      <c r="C122" s="281"/>
      <c r="D122" s="281"/>
      <c r="E122" s="281"/>
      <c r="F122" s="282"/>
      <c r="G122" s="283"/>
      <c r="I122" s="353" t="s">
        <v>328</v>
      </c>
      <c r="J122" s="350" t="s">
        <v>311</v>
      </c>
      <c r="K122" s="351" t="s">
        <v>432</v>
      </c>
      <c r="L122" s="368" t="s">
        <v>395</v>
      </c>
    </row>
    <row r="123" spans="1:12" ht="15.6">
      <c r="A123" s="280" t="s">
        <v>86</v>
      </c>
      <c r="B123" s="356">
        <f>IFERROR('Block 1'!G35*C77+'Block 2'!G35*C78+'Block 3'!G35*C79+'Block 4'!G35*C80+'Block 5'!G35*C81+'Block 6'!G35*C82+'Block 7'!G35*C83+'Block 8'!G35*C84+'Block 9'!G35*C85+'Block 10'!G35*C86,0)</f>
        <v>0</v>
      </c>
      <c r="C123" s="281"/>
      <c r="D123" s="281"/>
      <c r="E123" s="281"/>
      <c r="F123" s="282"/>
      <c r="G123" s="283"/>
      <c r="I123" s="352" t="s">
        <v>365</v>
      </c>
      <c r="J123" s="350" t="s">
        <v>312</v>
      </c>
      <c r="K123" s="357" t="s">
        <v>395</v>
      </c>
      <c r="L123" s="367"/>
    </row>
    <row r="124" spans="1:12" ht="15.6">
      <c r="A124" s="280" t="s">
        <v>87</v>
      </c>
      <c r="B124" s="356">
        <f>IFERROR('Block 1'!G242*C77+'Block 2'!G242*C78+'Block 3'!G242*C79+'Block 4'!G242*C80+'Block 5'!G242*C81+'Block 6'!G242*C82+'Block 7'!G242*C83+'Block 8'!G242*C84+'Block 9'!G242*C85+'Block 10'!G242*C86,0)</f>
        <v>0</v>
      </c>
      <c r="C124" s="281"/>
      <c r="D124" s="311"/>
      <c r="E124" s="281"/>
      <c r="F124" s="311"/>
      <c r="G124" s="310"/>
      <c r="I124" s="352" t="s">
        <v>366</v>
      </c>
      <c r="J124" s="350" t="s">
        <v>313</v>
      </c>
      <c r="L124" s="367"/>
    </row>
    <row r="125" spans="1:12">
      <c r="A125" s="280"/>
      <c r="B125" s="281"/>
      <c r="C125" s="281"/>
      <c r="D125" s="281"/>
      <c r="E125" s="281"/>
      <c r="F125" s="281"/>
      <c r="G125" s="283"/>
      <c r="I125" s="352" t="s">
        <v>367</v>
      </c>
      <c r="J125" s="350" t="s">
        <v>314</v>
      </c>
    </row>
    <row r="126" spans="1:12" ht="15.6">
      <c r="A126" s="284" t="s">
        <v>387</v>
      </c>
      <c r="B126" s="281"/>
      <c r="C126" s="281"/>
      <c r="D126" s="281"/>
      <c r="E126" s="281"/>
      <c r="F126" s="281"/>
      <c r="G126" s="283"/>
      <c r="I126" s="352" t="s">
        <v>368</v>
      </c>
      <c r="J126" s="350" t="s">
        <v>315</v>
      </c>
    </row>
    <row r="127" spans="1:12" ht="15.6">
      <c r="A127" s="366" t="s">
        <v>0</v>
      </c>
      <c r="B127" s="827" t="s">
        <v>400</v>
      </c>
      <c r="C127" s="827"/>
      <c r="D127" s="535" t="s">
        <v>384</v>
      </c>
      <c r="E127" s="535" t="s">
        <v>117</v>
      </c>
      <c r="F127" s="793" t="s">
        <v>388</v>
      </c>
      <c r="G127" s="794"/>
      <c r="I127" s="352" t="s">
        <v>369</v>
      </c>
      <c r="J127" s="350" t="s">
        <v>316</v>
      </c>
    </row>
    <row r="128" spans="1:12">
      <c r="A128" s="790" t="s">
        <v>393</v>
      </c>
      <c r="B128" s="797" t="s">
        <v>390</v>
      </c>
      <c r="C128" s="797"/>
      <c r="D128" s="530"/>
      <c r="E128" s="530"/>
      <c r="F128" s="795"/>
      <c r="G128" s="796"/>
      <c r="I128" s="352" t="s">
        <v>370</v>
      </c>
      <c r="J128" s="350" t="s">
        <v>317</v>
      </c>
    </row>
    <row r="129" spans="1:12">
      <c r="A129" s="791"/>
      <c r="B129" s="797" t="s">
        <v>390</v>
      </c>
      <c r="C129" s="797"/>
      <c r="D129" s="530"/>
      <c r="E129" s="530"/>
      <c r="F129" s="795"/>
      <c r="G129" s="796"/>
      <c r="I129" s="368" t="s">
        <v>413</v>
      </c>
      <c r="J129" s="350" t="s">
        <v>318</v>
      </c>
    </row>
    <row r="130" spans="1:12">
      <c r="A130" s="791"/>
      <c r="B130" s="797" t="s">
        <v>390</v>
      </c>
      <c r="C130" s="797"/>
      <c r="D130" s="530"/>
      <c r="E130" s="530"/>
      <c r="F130" s="795"/>
      <c r="G130" s="796"/>
      <c r="I130" s="352" t="s">
        <v>363</v>
      </c>
      <c r="J130" s="357" t="s">
        <v>395</v>
      </c>
    </row>
    <row r="131" spans="1:12">
      <c r="A131" s="791"/>
      <c r="B131" s="797" t="s">
        <v>390</v>
      </c>
      <c r="C131" s="797"/>
      <c r="D131" s="530"/>
      <c r="E131" s="530"/>
      <c r="F131" s="795"/>
      <c r="G131" s="796"/>
      <c r="I131" s="352" t="s">
        <v>364</v>
      </c>
    </row>
    <row r="132" spans="1:12">
      <c r="A132" s="792"/>
      <c r="B132" s="797" t="s">
        <v>390</v>
      </c>
      <c r="C132" s="797"/>
      <c r="D132" s="530"/>
      <c r="E132" s="530"/>
      <c r="F132" s="795"/>
      <c r="G132" s="796"/>
      <c r="I132" s="350" t="s">
        <v>323</v>
      </c>
    </row>
    <row r="133" spans="1:12">
      <c r="A133" s="790" t="s">
        <v>392</v>
      </c>
      <c r="B133" s="797" t="s">
        <v>391</v>
      </c>
      <c r="C133" s="797"/>
      <c r="D133" s="530"/>
      <c r="E133" s="530"/>
      <c r="F133" s="782"/>
      <c r="G133" s="783"/>
      <c r="I133" s="350" t="s">
        <v>324</v>
      </c>
    </row>
    <row r="134" spans="1:12" ht="15.75" customHeight="1">
      <c r="A134" s="791"/>
      <c r="B134" s="797" t="s">
        <v>391</v>
      </c>
      <c r="C134" s="797"/>
      <c r="D134" s="530"/>
      <c r="E134" s="530"/>
      <c r="F134" s="782"/>
      <c r="G134" s="783"/>
      <c r="I134" s="353" t="s">
        <v>319</v>
      </c>
    </row>
    <row r="135" spans="1:12">
      <c r="A135" s="792"/>
      <c r="B135" s="797" t="s">
        <v>391</v>
      </c>
      <c r="C135" s="797"/>
      <c r="D135" s="530"/>
      <c r="E135" s="530"/>
      <c r="F135" s="782"/>
      <c r="G135" s="783"/>
      <c r="I135" s="353" t="s">
        <v>320</v>
      </c>
    </row>
    <row r="136" spans="1:12">
      <c r="A136" s="790" t="s">
        <v>404</v>
      </c>
      <c r="B136" s="797" t="s">
        <v>405</v>
      </c>
      <c r="C136" s="797"/>
      <c r="D136" s="530"/>
      <c r="E136" s="530"/>
      <c r="F136" s="795"/>
      <c r="G136" s="796"/>
      <c r="I136" s="353" t="s">
        <v>321</v>
      </c>
    </row>
    <row r="137" spans="1:12">
      <c r="A137" s="791"/>
      <c r="B137" s="797" t="s">
        <v>405</v>
      </c>
      <c r="C137" s="797"/>
      <c r="D137" s="530"/>
      <c r="E137" s="530"/>
      <c r="F137" s="795"/>
      <c r="G137" s="796"/>
      <c r="I137" s="353" t="s">
        <v>322</v>
      </c>
    </row>
    <row r="138" spans="1:12">
      <c r="A138" s="792"/>
      <c r="B138" s="797" t="s">
        <v>405</v>
      </c>
      <c r="C138" s="797"/>
      <c r="D138" s="530"/>
      <c r="E138" s="530"/>
      <c r="F138" s="795"/>
      <c r="G138" s="796"/>
      <c r="I138" s="357" t="s">
        <v>395</v>
      </c>
    </row>
    <row r="139" spans="1:12">
      <c r="A139" s="359" t="s">
        <v>402</v>
      </c>
      <c r="B139" s="797" t="s">
        <v>398</v>
      </c>
      <c r="C139" s="797"/>
      <c r="D139" s="530"/>
      <c r="E139" s="530"/>
      <c r="F139" s="795"/>
      <c r="G139" s="796"/>
    </row>
    <row r="140" spans="1:12">
      <c r="A140" s="359" t="s">
        <v>403</v>
      </c>
      <c r="B140" s="819" t="s">
        <v>397</v>
      </c>
      <c r="C140" s="824"/>
      <c r="D140" s="530"/>
      <c r="E140" s="530"/>
      <c r="F140" s="782"/>
      <c r="G140" s="783"/>
    </row>
    <row r="141" spans="1:12" ht="15.6" thickBot="1">
      <c r="A141" s="360"/>
      <c r="B141" s="361"/>
      <c r="C141" s="361"/>
      <c r="D141" s="361"/>
      <c r="E141" s="361"/>
      <c r="F141" s="361"/>
      <c r="G141" s="362"/>
    </row>
    <row r="142" spans="1:12" ht="21" customHeight="1">
      <c r="F142" s="3"/>
      <c r="I142" s="655"/>
      <c r="J142" s="656"/>
      <c r="K142" s="779"/>
      <c r="L142" s="779"/>
    </row>
    <row r="143" spans="1:12">
      <c r="F143" s="3"/>
      <c r="I143" s="657"/>
      <c r="J143" s="658"/>
      <c r="K143" s="780"/>
      <c r="L143" s="780"/>
    </row>
    <row r="144" spans="1:12">
      <c r="F144" s="3"/>
      <c r="I144" s="657"/>
      <c r="J144" s="658"/>
      <c r="K144" s="781"/>
      <c r="L144" s="780"/>
    </row>
    <row r="145" spans="6:12">
      <c r="F145" s="3"/>
      <c r="I145" s="657"/>
      <c r="J145" s="658"/>
      <c r="K145" s="781"/>
      <c r="L145" s="780"/>
    </row>
    <row r="146" spans="6:12">
      <c r="F146" s="3"/>
      <c r="I146" s="657"/>
      <c r="J146" s="658"/>
      <c r="K146" s="780"/>
      <c r="L146" s="780"/>
    </row>
    <row r="147" spans="6:12">
      <c r="F147" s="3"/>
    </row>
    <row r="148" spans="6:12" ht="15.75" customHeight="1">
      <c r="F148" s="3"/>
    </row>
    <row r="149" spans="6:12" ht="15.75" customHeight="1">
      <c r="F149" s="3"/>
    </row>
    <row r="150" spans="6:12" ht="15" customHeight="1">
      <c r="F150" s="3"/>
    </row>
    <row r="151" spans="6:12">
      <c r="F151" s="3"/>
    </row>
    <row r="152" spans="6:12">
      <c r="F152" s="3"/>
    </row>
    <row r="153" spans="6:12">
      <c r="F153" s="3"/>
    </row>
    <row r="154" spans="6:12">
      <c r="F154" s="3"/>
    </row>
    <row r="155" spans="6:12">
      <c r="F155" s="3"/>
    </row>
    <row r="156" spans="6:12">
      <c r="F156" s="3"/>
    </row>
    <row r="157" spans="6:12">
      <c r="F157" s="3"/>
    </row>
    <row r="158" spans="6:12">
      <c r="F158" s="3"/>
    </row>
    <row r="159" spans="6:12">
      <c r="F159" s="3"/>
    </row>
    <row r="160" spans="6:12" ht="15.75" customHeight="1">
      <c r="F160" s="3"/>
    </row>
    <row r="161" spans="2:6">
      <c r="B161" s="269"/>
      <c r="F161" s="3"/>
    </row>
    <row r="162" spans="2:6">
      <c r="B162" s="270"/>
      <c r="C162" s="270"/>
      <c r="D162" s="270"/>
      <c r="E162" s="270"/>
      <c r="F162" s="270"/>
    </row>
    <row r="163" spans="2:6">
      <c r="B163" s="271"/>
      <c r="F163" s="3"/>
    </row>
    <row r="164" spans="2:6">
      <c r="B164" s="272"/>
      <c r="C164" s="272"/>
      <c r="D164" s="272"/>
      <c r="F164" s="3"/>
    </row>
    <row r="165" spans="2:6">
      <c r="B165" s="272"/>
      <c r="C165" s="272"/>
      <c r="D165" s="272"/>
      <c r="F165" s="3"/>
    </row>
    <row r="166" spans="2:6" ht="33" customHeight="1">
      <c r="B166" s="11"/>
      <c r="C166" s="272"/>
      <c r="D166" s="272"/>
      <c r="F166" s="3"/>
    </row>
    <row r="167" spans="2:6">
      <c r="C167" s="272"/>
      <c r="D167" s="272"/>
      <c r="F167" s="3"/>
    </row>
    <row r="168" spans="2:6">
      <c r="F168" s="3"/>
    </row>
    <row r="169" spans="2:6">
      <c r="F169" s="3"/>
    </row>
    <row r="170" spans="2:6">
      <c r="F170" s="3"/>
    </row>
    <row r="171" spans="2:6">
      <c r="F171" s="3"/>
    </row>
    <row r="172" spans="2:6">
      <c r="F172" s="3"/>
    </row>
    <row r="173" spans="2:6">
      <c r="F173" s="3"/>
    </row>
    <row r="174" spans="2:6">
      <c r="F174" s="3"/>
    </row>
    <row r="175" spans="2:6">
      <c r="F175" s="3"/>
    </row>
    <row r="176" spans="2:6">
      <c r="F176" s="3"/>
    </row>
    <row r="177" spans="2:6">
      <c r="F177" s="3"/>
    </row>
    <row r="178" spans="2:6">
      <c r="F178" s="3"/>
    </row>
    <row r="179" spans="2:6" ht="23.25" customHeight="1">
      <c r="F179" s="3"/>
    </row>
    <row r="180" spans="2:6" ht="15.6">
      <c r="B180" s="273"/>
      <c r="C180" s="274"/>
      <c r="F180" s="3"/>
    </row>
    <row r="181" spans="2:6">
      <c r="F181" s="3"/>
    </row>
    <row r="182" spans="2:6">
      <c r="F182" s="3"/>
    </row>
    <row r="183" spans="2:6">
      <c r="F183" s="3"/>
    </row>
    <row r="184" spans="2:6">
      <c r="F184" s="3"/>
    </row>
    <row r="185" spans="2:6">
      <c r="F185" s="3"/>
    </row>
    <row r="186" spans="2:6" ht="15.75" customHeight="1">
      <c r="F186" s="3"/>
    </row>
    <row r="187" spans="2:6">
      <c r="F187" s="3"/>
    </row>
    <row r="188" spans="2:6">
      <c r="F188" s="3"/>
    </row>
    <row r="189" spans="2:6">
      <c r="F189" s="3"/>
    </row>
    <row r="190" spans="2:6" ht="15.75" customHeight="1">
      <c r="F190" s="3"/>
    </row>
    <row r="191" spans="2:6">
      <c r="F191" s="3"/>
    </row>
    <row r="192" spans="2:6">
      <c r="F192" s="3"/>
    </row>
    <row r="193" spans="6:6">
      <c r="F193" s="3"/>
    </row>
    <row r="194" spans="6:6">
      <c r="F194" s="3"/>
    </row>
    <row r="195" spans="6:6">
      <c r="F195" s="3"/>
    </row>
    <row r="196" spans="6:6">
      <c r="F196" s="3"/>
    </row>
    <row r="197" spans="6:6">
      <c r="F197" s="3"/>
    </row>
    <row r="198" spans="6:6">
      <c r="F198" s="3"/>
    </row>
    <row r="199" spans="6:6">
      <c r="F199" s="3"/>
    </row>
    <row r="200" spans="6:6">
      <c r="F200" s="3"/>
    </row>
    <row r="201" spans="6:6">
      <c r="F201" s="3"/>
    </row>
    <row r="202" spans="6:6">
      <c r="F202" s="3"/>
    </row>
    <row r="203" spans="6:6">
      <c r="F203" s="3"/>
    </row>
    <row r="204" spans="6:6">
      <c r="F204" s="3"/>
    </row>
    <row r="205" spans="6:6">
      <c r="F205" s="3"/>
    </row>
    <row r="206" spans="6:6">
      <c r="F206" s="3"/>
    </row>
    <row r="207" spans="6:6">
      <c r="F207" s="3"/>
    </row>
    <row r="208" spans="6:6">
      <c r="F208" s="3"/>
    </row>
    <row r="209" spans="6:6">
      <c r="F209" s="3"/>
    </row>
    <row r="210" spans="6:6">
      <c r="F210" s="3"/>
    </row>
    <row r="211" spans="6:6">
      <c r="F211" s="3"/>
    </row>
    <row r="212" spans="6:6">
      <c r="F212" s="3"/>
    </row>
    <row r="213" spans="6:6">
      <c r="F213" s="3"/>
    </row>
    <row r="214" spans="6:6">
      <c r="F214" s="3"/>
    </row>
    <row r="215" spans="6:6" ht="47.25" customHeight="1">
      <c r="F215" s="3"/>
    </row>
    <row r="216" spans="6:6">
      <c r="F216" s="3"/>
    </row>
    <row r="217" spans="6:6">
      <c r="F217" s="3"/>
    </row>
    <row r="218" spans="6:6">
      <c r="F218" s="3"/>
    </row>
    <row r="219" spans="6:6">
      <c r="F219" s="3"/>
    </row>
    <row r="220" spans="6:6">
      <c r="F220" s="3"/>
    </row>
    <row r="221" spans="6:6" ht="15.75" customHeight="1">
      <c r="F221" s="3"/>
    </row>
    <row r="222" spans="6:6">
      <c r="F222" s="3"/>
    </row>
    <row r="223" spans="6:6">
      <c r="F223" s="3"/>
    </row>
    <row r="224" spans="6:6">
      <c r="F224" s="3"/>
    </row>
    <row r="225" spans="2:6">
      <c r="B225" s="798"/>
      <c r="F225" s="3"/>
    </row>
    <row r="226" spans="2:6">
      <c r="B226" s="798"/>
      <c r="F226" s="3"/>
    </row>
    <row r="227" spans="2:6">
      <c r="B227" s="798"/>
      <c r="F227" s="3"/>
    </row>
    <row r="228" spans="2:6">
      <c r="F228" s="3"/>
    </row>
    <row r="229" spans="2:6">
      <c r="F229" s="3"/>
    </row>
    <row r="230" spans="2:6" ht="30" customHeight="1">
      <c r="F230" s="3"/>
    </row>
    <row r="231" spans="2:6">
      <c r="F231" s="3"/>
    </row>
    <row r="232" spans="2:6">
      <c r="F232" s="3"/>
    </row>
    <row r="233" spans="2:6">
      <c r="F233" s="3"/>
    </row>
    <row r="234" spans="2:6" ht="15" customHeight="1">
      <c r="F234" s="3"/>
    </row>
    <row r="235" spans="2:6">
      <c r="F235" s="3"/>
    </row>
    <row r="236" spans="2:6">
      <c r="F236" s="3"/>
    </row>
    <row r="237" spans="2:6">
      <c r="F237" s="3"/>
    </row>
    <row r="238" spans="2:6" ht="15.75" customHeight="1">
      <c r="F238" s="3"/>
    </row>
    <row r="239" spans="2:6">
      <c r="F239" s="3"/>
    </row>
    <row r="240" spans="2:6">
      <c r="F240" s="3"/>
    </row>
    <row r="241" spans="2:6">
      <c r="F241" s="3"/>
    </row>
    <row r="242" spans="2:6" ht="15" customHeight="1">
      <c r="F242" s="3"/>
    </row>
    <row r="243" spans="2:6">
      <c r="F243" s="3"/>
    </row>
    <row r="244" spans="2:6">
      <c r="F244" s="3"/>
    </row>
    <row r="245" spans="2:6">
      <c r="F245" s="3"/>
    </row>
    <row r="246" spans="2:6">
      <c r="F246" s="3"/>
    </row>
    <row r="247" spans="2:6">
      <c r="F247" s="3"/>
    </row>
    <row r="248" spans="2:6">
      <c r="F248" s="3"/>
    </row>
    <row r="249" spans="2:6">
      <c r="F249" s="3"/>
    </row>
    <row r="250" spans="2:6" ht="22.5" customHeight="1">
      <c r="B250" s="275"/>
      <c r="C250" s="276"/>
      <c r="F250" s="3"/>
    </row>
    <row r="251" spans="2:6">
      <c r="F251" s="3"/>
    </row>
    <row r="252" spans="2:6" ht="15.75" customHeight="1">
      <c r="F252" s="3"/>
    </row>
    <row r="253" spans="2:6">
      <c r="F253" s="3"/>
    </row>
    <row r="254" spans="2:6">
      <c r="F254" s="3"/>
    </row>
    <row r="255" spans="2:6">
      <c r="F255" s="3"/>
    </row>
    <row r="256" spans="2:6">
      <c r="F256" s="3"/>
    </row>
    <row r="257" spans="6:6">
      <c r="F257" s="3"/>
    </row>
    <row r="258" spans="6:6" ht="49.5" customHeight="1">
      <c r="F258" s="3"/>
    </row>
    <row r="259" spans="6:6">
      <c r="F259" s="3"/>
    </row>
    <row r="260" spans="6:6" ht="45.75" customHeight="1">
      <c r="F260" s="3"/>
    </row>
    <row r="261" spans="6:6" ht="16.5" customHeight="1">
      <c r="F261" s="3"/>
    </row>
    <row r="262" spans="6:6">
      <c r="F262" s="3"/>
    </row>
    <row r="263" spans="6:6" ht="15" customHeight="1">
      <c r="F263" s="3"/>
    </row>
    <row r="264" spans="6:6">
      <c r="F264" s="3"/>
    </row>
    <row r="265" spans="6:6">
      <c r="F265" s="3"/>
    </row>
    <row r="266" spans="6:6">
      <c r="F266" s="3"/>
    </row>
    <row r="267" spans="6:6">
      <c r="F267" s="3"/>
    </row>
    <row r="268" spans="6:6">
      <c r="F268" s="3"/>
    </row>
    <row r="269" spans="6:6">
      <c r="F269" s="3"/>
    </row>
    <row r="270" spans="6:6">
      <c r="F270" s="3"/>
    </row>
    <row r="271" spans="6:6">
      <c r="F271" s="3"/>
    </row>
    <row r="272" spans="6:6">
      <c r="F272" s="3"/>
    </row>
    <row r="273" spans="2:6">
      <c r="F273" s="3"/>
    </row>
    <row r="274" spans="2:6">
      <c r="F274" s="3"/>
    </row>
    <row r="275" spans="2:6">
      <c r="F275" s="3"/>
    </row>
    <row r="276" spans="2:6">
      <c r="F276" s="3"/>
    </row>
    <row r="277" spans="2:6">
      <c r="F277" s="3"/>
    </row>
    <row r="278" spans="2:6">
      <c r="F278" s="3"/>
    </row>
    <row r="279" spans="2:6">
      <c r="F279" s="3"/>
    </row>
    <row r="280" spans="2:6">
      <c r="F280" s="3"/>
    </row>
    <row r="281" spans="2:6">
      <c r="F281" s="3"/>
    </row>
    <row r="282" spans="2:6">
      <c r="F282" s="3"/>
    </row>
    <row r="283" spans="2:6">
      <c r="F283" s="3"/>
    </row>
    <row r="284" spans="2:6">
      <c r="F284" s="3"/>
    </row>
    <row r="285" spans="2:6">
      <c r="F285" s="3"/>
    </row>
    <row r="286" spans="2:6" ht="15.6">
      <c r="B286" s="275"/>
      <c r="C286" s="276"/>
      <c r="F286" s="3"/>
    </row>
    <row r="287" spans="2:6">
      <c r="F287" s="3"/>
    </row>
    <row r="288" spans="2:6" ht="31.5" customHeight="1">
      <c r="F288" s="3"/>
    </row>
    <row r="289" spans="6:6">
      <c r="F289" s="3"/>
    </row>
    <row r="290" spans="6:6">
      <c r="F290" s="3"/>
    </row>
    <row r="291" spans="6:6">
      <c r="F291" s="3"/>
    </row>
    <row r="292" spans="6:6">
      <c r="F292" s="3"/>
    </row>
    <row r="293" spans="6:6">
      <c r="F293" s="3"/>
    </row>
    <row r="294" spans="6:6">
      <c r="F294" s="3"/>
    </row>
    <row r="295" spans="6:6">
      <c r="F295" s="3"/>
    </row>
    <row r="296" spans="6:6">
      <c r="F296" s="3"/>
    </row>
    <row r="297" spans="6:6">
      <c r="F297" s="3"/>
    </row>
    <row r="298" spans="6:6">
      <c r="F298" s="3"/>
    </row>
  </sheetData>
  <sheetProtection algorithmName="SHA-512" hashValue="p+hIVSPo/2OQCxKuYFBlAzROkSFcwSAqcUdhVnzYvoIfVwWJxmMoIbQEz7fsUjIq7xstEiIinSrEDgBB8hpxYA==" saltValue="ArpAFeGSZ7gi09X1KgFe1g==" spinCount="100000" sheet="1" selectLockedCells="1"/>
  <dataConsolidate/>
  <mergeCells count="90">
    <mergeCell ref="G53:G54"/>
    <mergeCell ref="A54:E54"/>
    <mergeCell ref="A53:F53"/>
    <mergeCell ref="B48:G48"/>
    <mergeCell ref="A51:F51"/>
    <mergeCell ref="A52:F52"/>
    <mergeCell ref="B43:G43"/>
    <mergeCell ref="B44:G44"/>
    <mergeCell ref="B45:G45"/>
    <mergeCell ref="B46:G46"/>
    <mergeCell ref="B47:G47"/>
    <mergeCell ref="C115:E115"/>
    <mergeCell ref="A128:A132"/>
    <mergeCell ref="F133:G133"/>
    <mergeCell ref="F134:G134"/>
    <mergeCell ref="F135:G135"/>
    <mergeCell ref="F129:G129"/>
    <mergeCell ref="F130:G130"/>
    <mergeCell ref="F131:G131"/>
    <mergeCell ref="F132:G132"/>
    <mergeCell ref="B132:C132"/>
    <mergeCell ref="F139:G139"/>
    <mergeCell ref="B133:C133"/>
    <mergeCell ref="B134:C134"/>
    <mergeCell ref="B135:C135"/>
    <mergeCell ref="B139:C139"/>
    <mergeCell ref="F136:G136"/>
    <mergeCell ref="F137:G137"/>
    <mergeCell ref="F138:G138"/>
    <mergeCell ref="A136:A138"/>
    <mergeCell ref="B136:C136"/>
    <mergeCell ref="B127:C127"/>
    <mergeCell ref="B128:C128"/>
    <mergeCell ref="B129:C129"/>
    <mergeCell ref="B130:C130"/>
    <mergeCell ref="B131:C131"/>
    <mergeCell ref="B138:C138"/>
    <mergeCell ref="B28:G28"/>
    <mergeCell ref="A71:F71"/>
    <mergeCell ref="A58:A59"/>
    <mergeCell ref="B16:G16"/>
    <mergeCell ref="B25:G25"/>
    <mergeCell ref="B24:G24"/>
    <mergeCell ref="B26:G26"/>
    <mergeCell ref="B27:G27"/>
    <mergeCell ref="B33:G33"/>
    <mergeCell ref="B34:G34"/>
    <mergeCell ref="B35:G35"/>
    <mergeCell ref="B36:G36"/>
    <mergeCell ref="B37:G37"/>
    <mergeCell ref="B38:G38"/>
    <mergeCell ref="B39:G39"/>
    <mergeCell ref="B42:G42"/>
    <mergeCell ref="B225:B227"/>
    <mergeCell ref="A70:F70"/>
    <mergeCell ref="A1:G2"/>
    <mergeCell ref="A6:G6"/>
    <mergeCell ref="A9:G9"/>
    <mergeCell ref="A12:G12"/>
    <mergeCell ref="A56:G56"/>
    <mergeCell ref="B15:G15"/>
    <mergeCell ref="B17:G17"/>
    <mergeCell ref="B18:G18"/>
    <mergeCell ref="B19:G19"/>
    <mergeCell ref="B20:G20"/>
    <mergeCell ref="B29:G29"/>
    <mergeCell ref="B30:G30"/>
    <mergeCell ref="B21:G21"/>
    <mergeCell ref="B140:C140"/>
    <mergeCell ref="F140:G140"/>
    <mergeCell ref="A72:F72"/>
    <mergeCell ref="C107:D107"/>
    <mergeCell ref="C108:D108"/>
    <mergeCell ref="C109:D109"/>
    <mergeCell ref="C110:D110"/>
    <mergeCell ref="C111:D111"/>
    <mergeCell ref="C90:D90"/>
    <mergeCell ref="C91:D91"/>
    <mergeCell ref="C92:D92"/>
    <mergeCell ref="C93:D93"/>
    <mergeCell ref="C94:D94"/>
    <mergeCell ref="A133:A135"/>
    <mergeCell ref="F127:G127"/>
    <mergeCell ref="F128:G128"/>
    <mergeCell ref="B137:C137"/>
    <mergeCell ref="K142:L142"/>
    <mergeCell ref="K143:L143"/>
    <mergeCell ref="K144:L144"/>
    <mergeCell ref="K145:L145"/>
    <mergeCell ref="K146:L146"/>
  </mergeCells>
  <conditionalFormatting sqref="G87">
    <cfRule type="cellIs" dxfId="1" priority="2" operator="lessThan">
      <formula>$G$88</formula>
    </cfRule>
  </conditionalFormatting>
  <conditionalFormatting sqref="G104">
    <cfRule type="cellIs" dxfId="0" priority="1" operator="lessThan">
      <formula>$G$105</formula>
    </cfRule>
  </conditionalFormatting>
  <dataValidations count="8">
    <dataValidation type="list" allowBlank="1" showInputMessage="1" showErrorMessage="1" sqref="B133:C133 B134:C134 B135:C135" xr:uid="{3812C43E-9FBB-4D52-8962-54FB7F5EA979}">
      <formula1>$J$118:$J$130</formula1>
    </dataValidation>
    <dataValidation type="list" allowBlank="1" showInputMessage="1" showErrorMessage="1" sqref="B140:C140" xr:uid="{293E379C-4FCB-41F6-A5ED-7FC2D0B40C8D}">
      <formula1>$L$118:$L$122</formula1>
    </dataValidation>
    <dataValidation type="list" allowBlank="1" showInputMessage="1" showErrorMessage="1" sqref="B128:C128 B129:C129 B130:C130 B131:C131 B132:C132" xr:uid="{0500F51F-573D-4248-A0BE-8F72F5C74ED6}">
      <formula1>$I$118:$I$138</formula1>
    </dataValidation>
    <dataValidation type="list" allowBlank="1" showInputMessage="1" showErrorMessage="1" sqref="A60:A63" xr:uid="{8B5AD2C7-D335-4AFE-9673-AC34C04DC7D1}">
      <formula1>$I$1:$I$7</formula1>
    </dataValidation>
    <dataValidation type="list" allowBlank="1" showInputMessage="1" showErrorMessage="1" sqref="B139" xr:uid="{476EF84B-9AE7-4585-9DAC-819C873418BD}">
      <formula1>$K$118:$K$123</formula1>
    </dataValidation>
    <dataValidation type="list" showInputMessage="1" showErrorMessage="1" sqref="A54:E54" xr:uid="{8F4817AC-95DD-44A1-9183-B0F1A0333DD3}">
      <formula1>$I$50:$I$57</formula1>
    </dataValidation>
    <dataValidation type="list" allowBlank="1" showInputMessage="1" showErrorMessage="1" sqref="G51:G54 G70:G71" xr:uid="{3CF59814-5AFF-49D5-BE7C-F8861B31636F}">
      <formula1>$I$47:$I$48</formula1>
    </dataValidation>
    <dataValidation type="list" allowBlank="1" showInputMessage="1" showErrorMessage="1" sqref="G72" xr:uid="{FFD7325F-1CB3-46B0-9D4F-53E55C1A199E}">
      <formula1>I47:I48</formula1>
    </dataValidation>
  </dataValidations>
  <pageMargins left="0.25" right="0.25" top="0.75" bottom="0.75" header="0.3" footer="0.3"/>
  <pageSetup paperSize="8" scale="92" fitToHeight="0" orientation="portrait" r:id="rId1"/>
  <headerFooter>
    <oddFooter>&amp;F</oddFooter>
  </headerFooter>
  <rowBreaks count="3" manualBreakCount="3">
    <brk id="54" max="6" man="1"/>
    <brk id="112" max="6" man="1"/>
    <brk id="1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S250"/>
  <sheetViews>
    <sheetView zoomScaleNormal="100" zoomScaleSheetLayoutView="85" workbookViewId="0">
      <pane ySplit="8" topLeftCell="A9" activePane="bottomLeft" state="frozen"/>
      <selection pane="bottomLeft" activeCell="A7" sqref="A7:B7"/>
    </sheetView>
  </sheetViews>
  <sheetFormatPr defaultColWidth="9.109375" defaultRowHeight="15"/>
  <cols>
    <col min="1" max="1" width="7" style="173"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77" t="s">
        <v>90</v>
      </c>
      <c r="B1" s="378"/>
      <c r="C1" s="378"/>
      <c r="D1" s="378"/>
      <c r="E1" s="378"/>
      <c r="F1" s="378"/>
      <c r="G1" s="378"/>
      <c r="H1" s="379"/>
      <c r="K1" s="3" t="s">
        <v>41</v>
      </c>
    </row>
    <row r="2" spans="1:16">
      <c r="A2" s="380"/>
      <c r="B2" s="281"/>
      <c r="C2" s="281"/>
      <c r="D2" s="281"/>
      <c r="E2" s="281"/>
      <c r="F2" s="281"/>
      <c r="G2" s="282"/>
      <c r="H2" s="283"/>
      <c r="J2" s="6"/>
      <c r="K2" s="6" t="s">
        <v>428</v>
      </c>
    </row>
    <row r="3" spans="1:16" ht="15.6">
      <c r="A3" s="381" t="s">
        <v>378</v>
      </c>
      <c r="B3" s="281"/>
      <c r="C3" s="281"/>
      <c r="D3" s="349" t="s">
        <v>143</v>
      </c>
      <c r="E3" s="349" t="s">
        <v>144</v>
      </c>
      <c r="F3" s="349" t="s">
        <v>145</v>
      </c>
      <c r="G3" s="306" t="s">
        <v>105</v>
      </c>
      <c r="H3" s="292" t="s">
        <v>63</v>
      </c>
      <c r="J3" s="6"/>
      <c r="K3" s="6" t="s">
        <v>45</v>
      </c>
    </row>
    <row r="4" spans="1:16" ht="15.6">
      <c r="A4" s="862">
        <f>Summary!A6</f>
        <v>0</v>
      </c>
      <c r="B4" s="863"/>
      <c r="C4" s="281"/>
      <c r="D4" s="78">
        <f>H84</f>
        <v>0</v>
      </c>
      <c r="E4" s="166">
        <f>H183</f>
        <v>0</v>
      </c>
      <c r="F4" s="133">
        <f>H220</f>
        <v>0</v>
      </c>
      <c r="G4" s="143">
        <f>H234</f>
        <v>0</v>
      </c>
      <c r="H4" s="382">
        <f>H236</f>
        <v>0</v>
      </c>
      <c r="J4" s="6"/>
      <c r="K4" s="6" t="s">
        <v>15</v>
      </c>
    </row>
    <row r="5" spans="1:16">
      <c r="A5" s="380"/>
      <c r="B5" s="281"/>
      <c r="C5" s="281"/>
      <c r="D5" s="281"/>
      <c r="E5" s="281"/>
      <c r="F5" s="281"/>
      <c r="G5" s="282"/>
      <c r="H5" s="283"/>
      <c r="J5" s="6"/>
      <c r="K5" s="6" t="s">
        <v>16</v>
      </c>
    </row>
    <row r="6" spans="1:16" s="4" customFormat="1" ht="15.6">
      <c r="A6" s="381" t="s">
        <v>91</v>
      </c>
      <c r="B6" s="313"/>
      <c r="C6" s="313"/>
      <c r="D6" s="314" t="s">
        <v>35</v>
      </c>
      <c r="E6" s="281"/>
      <c r="F6" s="281"/>
      <c r="G6" s="282"/>
      <c r="H6" s="283"/>
      <c r="J6" s="6"/>
      <c r="K6" s="6" t="s">
        <v>427</v>
      </c>
      <c r="L6" s="3"/>
      <c r="M6" s="3"/>
      <c r="N6" s="3"/>
    </row>
    <row r="7" spans="1:16" ht="15.75" customHeight="1">
      <c r="A7" s="842" t="s">
        <v>428</v>
      </c>
      <c r="B7" s="843"/>
      <c r="D7" s="835">
        <f>Summary!A77</f>
        <v>0</v>
      </c>
      <c r="E7" s="785"/>
      <c r="F7" s="785"/>
      <c r="G7" s="786"/>
      <c r="H7" s="383"/>
      <c r="J7" s="29"/>
      <c r="K7" s="29" t="s">
        <v>426</v>
      </c>
    </row>
    <row r="8" spans="1:16" ht="15.6" thickBot="1">
      <c r="A8" s="380"/>
      <c r="B8" s="315"/>
      <c r="C8" s="281"/>
      <c r="D8" s="281"/>
      <c r="E8" s="281"/>
      <c r="F8" s="281"/>
      <c r="G8" s="282"/>
      <c r="H8" s="283"/>
    </row>
    <row r="9" spans="1:16" ht="16.2" thickBot="1">
      <c r="A9" s="384" t="s">
        <v>126</v>
      </c>
      <c r="B9" s="145"/>
      <c r="C9" s="145"/>
      <c r="D9" s="145"/>
      <c r="E9" s="145"/>
      <c r="F9" s="146"/>
      <c r="G9" s="16"/>
      <c r="H9" s="385"/>
    </row>
    <row r="10" spans="1:16">
      <c r="A10" s="380"/>
      <c r="B10" s="316"/>
      <c r="C10" s="281"/>
      <c r="D10" s="281"/>
      <c r="E10" s="281"/>
      <c r="F10" s="281"/>
      <c r="G10" s="282"/>
      <c r="H10" s="283"/>
    </row>
    <row r="11" spans="1:16" ht="15.75" customHeight="1">
      <c r="A11" s="963" t="s">
        <v>0</v>
      </c>
      <c r="B11" s="964"/>
      <c r="C11" s="153"/>
      <c r="D11" s="985" t="s">
        <v>4</v>
      </c>
      <c r="E11" s="984" t="s">
        <v>81</v>
      </c>
      <c r="F11" s="984" t="s">
        <v>21</v>
      </c>
      <c r="G11" s="317"/>
      <c r="H11" s="386"/>
    </row>
    <row r="12" spans="1:16" ht="15.75" customHeight="1">
      <c r="A12" s="965"/>
      <c r="B12" s="966"/>
      <c r="C12" s="154"/>
      <c r="D12" s="986"/>
      <c r="E12" s="984"/>
      <c r="F12" s="984"/>
      <c r="G12" s="317"/>
      <c r="H12" s="386"/>
    </row>
    <row r="13" spans="1:16" s="29" customFormat="1" ht="15.6">
      <c r="A13" s="387" t="s">
        <v>128</v>
      </c>
      <c r="B13" s="180"/>
      <c r="C13" s="180"/>
      <c r="D13" s="180"/>
      <c r="E13" s="183"/>
      <c r="F13" s="183"/>
      <c r="G13" s="318"/>
      <c r="H13" s="388"/>
      <c r="O13" s="45"/>
      <c r="P13" s="45"/>
    </row>
    <row r="14" spans="1:16">
      <c r="A14" s="389">
        <v>1</v>
      </c>
      <c r="B14" s="987" t="s">
        <v>287</v>
      </c>
      <c r="C14" s="851"/>
      <c r="D14" s="149" t="s">
        <v>2</v>
      </c>
      <c r="E14" s="54" t="s">
        <v>50</v>
      </c>
      <c r="F14" s="30"/>
      <c r="G14" s="278"/>
      <c r="H14" s="304"/>
      <c r="I14" s="148" t="s">
        <v>143</v>
      </c>
      <c r="K14" s="152" t="str">
        <f>IF(F14&lt;65%,"Min. 65% coverage"," ")</f>
        <v>Min. 65% coverage</v>
      </c>
    </row>
    <row r="15" spans="1:16" ht="30.75" customHeight="1">
      <c r="A15" s="389">
        <v>2</v>
      </c>
      <c r="B15" s="987" t="s">
        <v>376</v>
      </c>
      <c r="C15" s="851"/>
      <c r="D15" s="150" t="s">
        <v>51</v>
      </c>
      <c r="E15" s="31" t="s">
        <v>50</v>
      </c>
      <c r="F15" s="547"/>
      <c r="G15" s="278"/>
      <c r="H15" s="283"/>
      <c r="I15" s="148" t="s">
        <v>144</v>
      </c>
      <c r="K15" s="152" t="str">
        <f>IF(F15&lt;65%,"Min. 80% coverage"," ")</f>
        <v>Min. 80% coverage</v>
      </c>
    </row>
    <row r="16" spans="1:16" ht="15" customHeight="1">
      <c r="A16" s="389">
        <v>3</v>
      </c>
      <c r="B16" s="987" t="s">
        <v>375</v>
      </c>
      <c r="C16" s="851"/>
      <c r="D16" s="150" t="s">
        <v>51</v>
      </c>
      <c r="E16" s="31" t="s">
        <v>50</v>
      </c>
      <c r="F16" s="547"/>
      <c r="G16" s="278"/>
      <c r="H16" s="386"/>
      <c r="I16" s="3" t="s">
        <v>143</v>
      </c>
      <c r="K16" s="152" t="str">
        <f>IF(F16&lt;65%,"Min. 65% coverage"," ")</f>
        <v>Min. 65% coverage</v>
      </c>
    </row>
    <row r="17" spans="1:19">
      <c r="A17" s="389">
        <v>4</v>
      </c>
      <c r="B17" s="886" t="s">
        <v>191</v>
      </c>
      <c r="C17" s="884"/>
      <c r="D17" s="147" t="s">
        <v>3</v>
      </c>
      <c r="E17" s="31" t="s">
        <v>50</v>
      </c>
      <c r="F17" s="547"/>
      <c r="G17" s="278"/>
      <c r="H17" s="386"/>
      <c r="I17" s="3" t="s">
        <v>145</v>
      </c>
      <c r="K17" s="152" t="str">
        <f>IF(F17&lt;65%,"Min. 65% coverage"," ")</f>
        <v>Min. 65% coverage</v>
      </c>
    </row>
    <row r="18" spans="1:19" s="29" customFormat="1" ht="15.6">
      <c r="A18" s="390" t="s">
        <v>127</v>
      </c>
      <c r="B18" s="180"/>
      <c r="C18" s="180"/>
      <c r="D18" s="180"/>
      <c r="E18" s="181"/>
      <c r="F18" s="182"/>
      <c r="G18" s="319"/>
      <c r="H18" s="388"/>
      <c r="K18" s="10"/>
      <c r="O18" s="45"/>
      <c r="P18" s="45"/>
    </row>
    <row r="19" spans="1:19" ht="32.25" customHeight="1">
      <c r="A19" s="391">
        <v>5</v>
      </c>
      <c r="B19" s="873" t="s">
        <v>288</v>
      </c>
      <c r="C19" s="989"/>
      <c r="D19" s="151" t="s">
        <v>3</v>
      </c>
      <c r="E19" s="536"/>
      <c r="F19" s="31">
        <f>IFERROR(E19/$F$115,0)</f>
        <v>0</v>
      </c>
      <c r="G19" s="278"/>
      <c r="H19" s="386"/>
      <c r="I19" s="3" t="s">
        <v>144</v>
      </c>
      <c r="K19" s="152" t="str">
        <f>IF($A$7=$K$2,IF(E19=0,"Please input wall length"," ")," ")</f>
        <v>Please input wall length</v>
      </c>
    </row>
    <row r="20" spans="1:19">
      <c r="A20" s="391">
        <v>6</v>
      </c>
      <c r="B20" s="987" t="s">
        <v>289</v>
      </c>
      <c r="C20" s="851"/>
      <c r="D20" s="190" t="s">
        <v>51</v>
      </c>
      <c r="E20" s="31" t="s">
        <v>50</v>
      </c>
      <c r="F20" s="30"/>
      <c r="G20" s="278"/>
      <c r="H20" s="386"/>
      <c r="I20" s="3" t="s">
        <v>144</v>
      </c>
      <c r="K20" s="152" t="str">
        <f>IF($A$7=$K$2,IF(F20&lt;65%,"Min. 65% coverage"," ")," ")</f>
        <v>Min. 65% coverage</v>
      </c>
    </row>
    <row r="21" spans="1:19">
      <c r="A21" s="391">
        <v>7</v>
      </c>
      <c r="B21" s="886" t="s">
        <v>306</v>
      </c>
      <c r="C21" s="884"/>
      <c r="D21" s="150" t="s">
        <v>51</v>
      </c>
      <c r="E21" s="31" t="s">
        <v>50</v>
      </c>
      <c r="F21" s="547"/>
      <c r="G21" s="278"/>
      <c r="H21" s="386"/>
      <c r="I21" s="3" t="s">
        <v>143</v>
      </c>
      <c r="K21" s="152" t="str">
        <f>IF($A$7=$K$2,IF(F21&lt;65%,"Min. 65% coverage"," ")," ")</f>
        <v>Min. 65% coverage</v>
      </c>
    </row>
    <row r="22" spans="1:19">
      <c r="A22" s="391" t="s">
        <v>308</v>
      </c>
      <c r="B22" s="886" t="s">
        <v>307</v>
      </c>
      <c r="C22" s="884"/>
      <c r="D22" s="150" t="s">
        <v>51</v>
      </c>
      <c r="E22" s="31" t="s">
        <v>50</v>
      </c>
      <c r="F22" s="547"/>
      <c r="G22" s="278"/>
      <c r="H22" s="386"/>
      <c r="K22" s="152"/>
    </row>
    <row r="23" spans="1:19">
      <c r="A23" s="380"/>
      <c r="B23" s="281"/>
      <c r="C23" s="281"/>
      <c r="D23" s="281"/>
      <c r="E23" s="281"/>
      <c r="F23" s="281"/>
      <c r="G23" s="282"/>
      <c r="H23" s="283"/>
      <c r="K23" s="6"/>
    </row>
    <row r="24" spans="1:19" ht="15.6">
      <c r="A24" s="392" t="s">
        <v>44</v>
      </c>
      <c r="B24" s="169"/>
      <c r="C24" s="169"/>
      <c r="D24" s="169"/>
      <c r="E24" s="169"/>
      <c r="F24" s="170" t="s">
        <v>43</v>
      </c>
      <c r="G24" s="171">
        <f>VLOOKUP($A$7,'Manpower allocation'!A4:D11,2,FALSE)*100</f>
        <v>45</v>
      </c>
      <c r="H24" s="393" t="s">
        <v>42</v>
      </c>
      <c r="J24" s="497">
        <f>VLOOKUP($A$7,'Manpower allocation'!A4:D11,2,FALSE)*100</f>
        <v>45</v>
      </c>
      <c r="K24" s="6"/>
    </row>
    <row r="25" spans="1:19" ht="15.6">
      <c r="A25" s="380"/>
      <c r="B25" s="320"/>
      <c r="C25" s="321"/>
      <c r="D25" s="281"/>
      <c r="E25" s="281"/>
      <c r="F25" s="281"/>
      <c r="G25" s="282"/>
      <c r="H25" s="283"/>
      <c r="K25" s="6"/>
    </row>
    <row r="26" spans="1:19" s="29" customFormat="1" ht="46.8">
      <c r="A26" s="394" t="s">
        <v>0</v>
      </c>
      <c r="B26" s="41"/>
      <c r="C26" s="41"/>
      <c r="D26" s="42"/>
      <c r="E26" s="43" t="s">
        <v>17</v>
      </c>
      <c r="F26" s="43" t="s">
        <v>114</v>
      </c>
      <c r="G26" s="43" t="s">
        <v>18</v>
      </c>
      <c r="H26" s="395" t="s">
        <v>53</v>
      </c>
      <c r="K26" s="44"/>
      <c r="R26" s="45"/>
      <c r="S26" s="45"/>
    </row>
    <row r="27" spans="1:19" s="29" customFormat="1" ht="15.6">
      <c r="A27" s="396" t="s">
        <v>198</v>
      </c>
      <c r="B27" s="46" t="s">
        <v>214</v>
      </c>
      <c r="C27" s="47"/>
      <c r="D27" s="47"/>
      <c r="E27" s="48"/>
      <c r="F27" s="48"/>
      <c r="G27" s="48"/>
      <c r="H27" s="397"/>
      <c r="R27" s="45"/>
      <c r="S27" s="45"/>
    </row>
    <row r="28" spans="1:19" s="29" customFormat="1" ht="15.6">
      <c r="A28" s="398">
        <v>1</v>
      </c>
      <c r="B28" s="40" t="s">
        <v>338</v>
      </c>
      <c r="C28" s="41"/>
      <c r="D28" s="49"/>
      <c r="E28" s="41"/>
      <c r="F28" s="50"/>
      <c r="G28" s="50"/>
      <c r="H28" s="399"/>
      <c r="R28" s="45"/>
      <c r="S28" s="45"/>
    </row>
    <row r="29" spans="1:19" s="29" customFormat="1">
      <c r="A29" s="980">
        <v>1.1000000000000001</v>
      </c>
      <c r="B29" s="852" t="s">
        <v>290</v>
      </c>
      <c r="C29" s="988"/>
      <c r="D29" s="988"/>
      <c r="E29" s="904">
        <f>VLOOKUP(A29,'Point Allocation'!$A$5:$J$15,MATCH(A7,'Point Allocation'!$A$5:$J$5,0),0)</f>
        <v>45</v>
      </c>
      <c r="F29" s="1014"/>
      <c r="G29" s="1015">
        <f>IFERROR(F29/$F$56,0)</f>
        <v>0</v>
      </c>
      <c r="H29" s="909">
        <f>E29*G29</f>
        <v>0</v>
      </c>
      <c r="R29" s="45"/>
      <c r="S29" s="45"/>
    </row>
    <row r="30" spans="1:19" s="29" customFormat="1" ht="15.6">
      <c r="A30" s="981"/>
      <c r="B30" s="998" t="s">
        <v>401</v>
      </c>
      <c r="C30" s="998"/>
      <c r="D30" s="998"/>
      <c r="E30" s="904"/>
      <c r="F30" s="1014"/>
      <c r="G30" s="1015">
        <f t="shared" ref="G30" si="0">IFERROR(F30/$F$56,0)</f>
        <v>0</v>
      </c>
      <c r="H30" s="909"/>
      <c r="R30" s="45"/>
      <c r="S30" s="45"/>
    </row>
    <row r="31" spans="1:19" s="29" customFormat="1" ht="15.6">
      <c r="A31" s="398">
        <v>2</v>
      </c>
      <c r="B31" s="40" t="s">
        <v>339</v>
      </c>
      <c r="C31" s="51"/>
      <c r="D31" s="49"/>
      <c r="E31" s="52"/>
      <c r="F31" s="8"/>
      <c r="G31" s="22"/>
      <c r="H31" s="400"/>
      <c r="R31" s="53"/>
      <c r="S31" s="45"/>
    </row>
    <row r="32" spans="1:19" s="29" customFormat="1">
      <c r="A32" s="401">
        <v>2.1</v>
      </c>
      <c r="B32" s="885" t="s">
        <v>203</v>
      </c>
      <c r="C32" s="886"/>
      <c r="D32" s="884"/>
      <c r="E32" s="20">
        <f>VLOOKUP(A32,'Point Allocation'!$A$5:$J$15,MATCH(A7,'Point Allocation'!$A$5:$J$5,0),0)</f>
        <v>42</v>
      </c>
      <c r="F32" s="536"/>
      <c r="G32" s="31">
        <f>IFERROR(F32/$F$56,0)</f>
        <v>0</v>
      </c>
      <c r="H32" s="405">
        <f>E32*G32</f>
        <v>0</v>
      </c>
      <c r="R32" s="53"/>
      <c r="S32" s="45"/>
    </row>
    <row r="33" spans="1:19" s="29" customFormat="1" ht="15.6">
      <c r="A33" s="398">
        <v>3</v>
      </c>
      <c r="B33" s="40" t="s">
        <v>340</v>
      </c>
      <c r="C33" s="51"/>
      <c r="D33" s="49"/>
      <c r="E33" s="52"/>
      <c r="F33" s="8"/>
      <c r="G33" s="22"/>
      <c r="H33" s="400"/>
      <c r="R33" s="53"/>
      <c r="S33" s="45"/>
    </row>
    <row r="34" spans="1:19" s="29" customFormat="1" ht="15" customHeight="1">
      <c r="A34" s="401">
        <v>3.1</v>
      </c>
      <c r="B34" s="885" t="s">
        <v>587</v>
      </c>
      <c r="C34" s="886"/>
      <c r="D34" s="884"/>
      <c r="E34" s="20">
        <f>VLOOKUP(A34,'Point Allocation'!$A$5:$J$15,MATCH(A7,'Point Allocation'!$A$5:$J$5,0),0)</f>
        <v>39</v>
      </c>
      <c r="F34" s="37"/>
      <c r="G34" s="31">
        <f>IFERROR(F34/$F$56,0)</f>
        <v>0</v>
      </c>
      <c r="H34" s="419">
        <f>E34*G34</f>
        <v>0</v>
      </c>
      <c r="R34" s="53"/>
      <c r="S34" s="45"/>
    </row>
    <row r="35" spans="1:19" s="29" customFormat="1" ht="31.5" customHeight="1">
      <c r="A35" s="967">
        <v>3.2</v>
      </c>
      <c r="B35" s="969" t="s">
        <v>330</v>
      </c>
      <c r="C35" s="970"/>
      <c r="D35" s="971"/>
      <c r="E35" s="910">
        <f>VLOOKUP(A35,'Point Allocation'!$A$5:$J$15,MATCH(A7,'Point Allocation'!$A$5:$J$5,0),0)</f>
        <v>39</v>
      </c>
      <c r="F35" s="37"/>
      <c r="G35" s="31">
        <f>IFERROR(F35/$F$56,0)</f>
        <v>0</v>
      </c>
      <c r="H35" s="945">
        <f>IF(SUM(J37:J42)&gt;=4,E35*G35,0)</f>
        <v>0</v>
      </c>
      <c r="R35" s="53"/>
      <c r="S35" s="45"/>
    </row>
    <row r="36" spans="1:19" s="29" customFormat="1" ht="31.5" customHeight="1">
      <c r="A36" s="968"/>
      <c r="B36" s="972"/>
      <c r="C36" s="973"/>
      <c r="D36" s="974"/>
      <c r="E36" s="911"/>
      <c r="F36" s="9" t="s">
        <v>130</v>
      </c>
      <c r="G36" s="54" t="s">
        <v>117</v>
      </c>
      <c r="H36" s="947"/>
      <c r="R36" s="53"/>
      <c r="S36" s="45"/>
    </row>
    <row r="37" spans="1:19" s="29" customFormat="1" ht="89.25" customHeight="1">
      <c r="A37" s="402" t="s">
        <v>192</v>
      </c>
      <c r="B37" s="1016" t="s">
        <v>359</v>
      </c>
      <c r="C37" s="1017"/>
      <c r="D37" s="1018"/>
      <c r="E37" s="958"/>
      <c r="F37" s="187" t="s">
        <v>131</v>
      </c>
      <c r="G37" s="546"/>
      <c r="H37" s="946"/>
      <c r="J37" s="55">
        <f t="shared" ref="J37:J42" si="1">IF(G37&gt;=65%,1,0)</f>
        <v>0</v>
      </c>
      <c r="R37" s="53"/>
      <c r="S37" s="45"/>
    </row>
    <row r="38" spans="1:19" s="29" customFormat="1" ht="33.75" customHeight="1">
      <c r="A38" s="402" t="s">
        <v>193</v>
      </c>
      <c r="B38" s="871" t="s">
        <v>215</v>
      </c>
      <c r="C38" s="872"/>
      <c r="D38" s="873"/>
      <c r="E38" s="958"/>
      <c r="F38" s="39" t="s">
        <v>132</v>
      </c>
      <c r="G38" s="547"/>
      <c r="H38" s="946"/>
      <c r="J38" s="55">
        <f t="shared" si="1"/>
        <v>0</v>
      </c>
      <c r="R38" s="53"/>
      <c r="S38" s="45"/>
    </row>
    <row r="39" spans="1:19" s="29" customFormat="1" ht="48.75" customHeight="1">
      <c r="A39" s="402" t="s">
        <v>201</v>
      </c>
      <c r="B39" s="871" t="s">
        <v>216</v>
      </c>
      <c r="C39" s="872"/>
      <c r="D39" s="873"/>
      <c r="E39" s="958"/>
      <c r="F39" s="39" t="s">
        <v>133</v>
      </c>
      <c r="G39" s="547"/>
      <c r="H39" s="946"/>
      <c r="J39" s="55">
        <f t="shared" si="1"/>
        <v>0</v>
      </c>
      <c r="R39" s="53"/>
      <c r="S39" s="45"/>
    </row>
    <row r="40" spans="1:19" s="29" customFormat="1" ht="45">
      <c r="A40" s="402" t="s">
        <v>194</v>
      </c>
      <c r="B40" s="871" t="s">
        <v>217</v>
      </c>
      <c r="C40" s="872"/>
      <c r="D40" s="873"/>
      <c r="E40" s="958"/>
      <c r="F40" s="39" t="s">
        <v>134</v>
      </c>
      <c r="G40" s="547"/>
      <c r="H40" s="946"/>
      <c r="J40" s="55">
        <f t="shared" si="1"/>
        <v>0</v>
      </c>
      <c r="R40" s="53"/>
      <c r="S40" s="45"/>
    </row>
    <row r="41" spans="1:19" s="29" customFormat="1" ht="48.75" customHeight="1">
      <c r="A41" s="402" t="s">
        <v>202</v>
      </c>
      <c r="B41" s="871" t="s">
        <v>218</v>
      </c>
      <c r="C41" s="872"/>
      <c r="D41" s="873"/>
      <c r="E41" s="958"/>
      <c r="F41" s="39" t="s">
        <v>135</v>
      </c>
      <c r="G41" s="547"/>
      <c r="H41" s="946"/>
      <c r="J41" s="55">
        <f t="shared" si="1"/>
        <v>0</v>
      </c>
      <c r="R41" s="53"/>
      <c r="S41" s="45"/>
    </row>
    <row r="42" spans="1:19" s="29" customFormat="1" ht="31.5" customHeight="1">
      <c r="A42" s="402" t="s">
        <v>195</v>
      </c>
      <c r="B42" s="975" t="s">
        <v>345</v>
      </c>
      <c r="C42" s="976"/>
      <c r="D42" s="977"/>
      <c r="E42" s="959"/>
      <c r="F42" s="39" t="s">
        <v>136</v>
      </c>
      <c r="G42" s="547"/>
      <c r="H42" s="947"/>
      <c r="J42" s="55">
        <f t="shared" si="1"/>
        <v>0</v>
      </c>
      <c r="R42" s="53"/>
      <c r="S42" s="45"/>
    </row>
    <row r="43" spans="1:19" s="29" customFormat="1" ht="15.6">
      <c r="A43" s="398" t="s">
        <v>196</v>
      </c>
      <c r="B43" s="40" t="s">
        <v>341</v>
      </c>
      <c r="C43" s="56"/>
      <c r="D43" s="49"/>
      <c r="E43" s="52"/>
      <c r="F43" s="36"/>
      <c r="G43" s="23"/>
      <c r="H43" s="403"/>
      <c r="R43" s="53"/>
      <c r="S43" s="45"/>
    </row>
    <row r="44" spans="1:19" s="29" customFormat="1" ht="31.5" customHeight="1">
      <c r="A44" s="404">
        <v>4.0999999999999996</v>
      </c>
      <c r="B44" s="885" t="s">
        <v>331</v>
      </c>
      <c r="C44" s="886"/>
      <c r="D44" s="884"/>
      <c r="E44" s="20">
        <f>VLOOKUP(A44,'Point Allocation'!$A$5:$J$15,MATCH(A7,'Point Allocation'!$A$5:$J$5,0),0)</f>
        <v>35</v>
      </c>
      <c r="F44" s="536"/>
      <c r="G44" s="31">
        <f>IFERROR(F44/$F$56,0)</f>
        <v>0</v>
      </c>
      <c r="H44" s="405">
        <f>E44*G44</f>
        <v>0</v>
      </c>
      <c r="R44" s="53"/>
      <c r="S44" s="45"/>
    </row>
    <row r="45" spans="1:19" s="29" customFormat="1">
      <c r="A45" s="406">
        <v>4.2</v>
      </c>
      <c r="B45" s="928" t="s">
        <v>348</v>
      </c>
      <c r="C45" s="990"/>
      <c r="D45" s="929"/>
      <c r="E45" s="20">
        <f>VLOOKUP(A45,'Point Allocation'!$A$5:$J$15,MATCH(A7,'Point Allocation'!$A$5:$J$5,0),0)</f>
        <v>35</v>
      </c>
      <c r="F45" s="536"/>
      <c r="G45" s="31">
        <f>IFERROR(F45/$F$56,0)</f>
        <v>0</v>
      </c>
      <c r="H45" s="405">
        <f>E45*G45</f>
        <v>0</v>
      </c>
      <c r="R45" s="53"/>
      <c r="S45" s="45"/>
    </row>
    <row r="46" spans="1:19" s="29" customFormat="1">
      <c r="A46" s="406">
        <v>4.3</v>
      </c>
      <c r="B46" s="960" t="s">
        <v>346</v>
      </c>
      <c r="C46" s="961"/>
      <c r="D46" s="962"/>
      <c r="E46" s="20">
        <f>VLOOKUP(A46,'Point Allocation'!$A$5:$J$15,MATCH(A7,'Point Allocation'!$A$5:$J$5,0),0)</f>
        <v>28</v>
      </c>
      <c r="F46" s="536"/>
      <c r="G46" s="31">
        <f>IFERROR(F46/$F$56,0)</f>
        <v>0</v>
      </c>
      <c r="H46" s="405">
        <f>E46*G46</f>
        <v>0</v>
      </c>
      <c r="R46" s="53"/>
      <c r="S46" s="45"/>
    </row>
    <row r="47" spans="1:19" s="29" customFormat="1">
      <c r="A47" s="404">
        <v>4.4000000000000004</v>
      </c>
      <c r="B47" s="885" t="s">
        <v>347</v>
      </c>
      <c r="C47" s="886"/>
      <c r="D47" s="884"/>
      <c r="E47" s="20">
        <f>VLOOKUP(A47,'Point Allocation'!$A$5:$J$15,MATCH(A7,'Point Allocation'!$A$5:$J$5,0),0)</f>
        <v>28</v>
      </c>
      <c r="F47" s="536"/>
      <c r="G47" s="31">
        <f>IFERROR(F47/$F$56,0)</f>
        <v>0</v>
      </c>
      <c r="H47" s="405">
        <f>E47*G47</f>
        <v>0</v>
      </c>
      <c r="R47" s="53"/>
      <c r="S47" s="45"/>
    </row>
    <row r="48" spans="1:19" s="59" customFormat="1" ht="15.6">
      <c r="A48" s="396" t="s">
        <v>197</v>
      </c>
      <c r="B48" s="46" t="s">
        <v>211</v>
      </c>
      <c r="C48" s="57"/>
      <c r="D48" s="58"/>
      <c r="E48" s="7"/>
      <c r="F48" s="7"/>
      <c r="G48" s="24"/>
      <c r="H48" s="407"/>
      <c r="J48" s="29"/>
      <c r="K48" s="29"/>
      <c r="L48" s="29"/>
      <c r="M48" s="29"/>
      <c r="N48" s="29"/>
      <c r="R48" s="60"/>
    </row>
    <row r="49" spans="1:19" s="59" customFormat="1" ht="15.6">
      <c r="A49" s="408">
        <v>5</v>
      </c>
      <c r="B49" s="40" t="s">
        <v>212</v>
      </c>
      <c r="C49" s="49"/>
      <c r="D49" s="49"/>
      <c r="E49" s="8"/>
      <c r="F49" s="8"/>
      <c r="G49" s="22"/>
      <c r="H49" s="403"/>
      <c r="J49" s="29"/>
      <c r="K49" s="29"/>
      <c r="L49" s="29"/>
      <c r="M49" s="29"/>
      <c r="N49" s="29"/>
      <c r="R49" s="60"/>
    </row>
    <row r="50" spans="1:19" s="29" customFormat="1">
      <c r="A50" s="409">
        <v>5.0999999999999996</v>
      </c>
      <c r="B50" s="844" t="s">
        <v>204</v>
      </c>
      <c r="C50" s="846"/>
      <c r="D50" s="845"/>
      <c r="E50" s="20">
        <f>VLOOKUP(A50,'Point Allocation'!$A$5:$J$15,MATCH(A7,'Point Allocation'!$A$5:$J$5,0),0)</f>
        <v>22</v>
      </c>
      <c r="F50" s="536"/>
      <c r="G50" s="31">
        <f>IFERROR(F50/$F$56,0)</f>
        <v>0</v>
      </c>
      <c r="H50" s="405">
        <f>E50*G50</f>
        <v>0</v>
      </c>
      <c r="R50" s="53"/>
      <c r="S50" s="45"/>
    </row>
    <row r="51" spans="1:19" s="29" customFormat="1">
      <c r="A51" s="409">
        <v>5.2</v>
      </c>
      <c r="B51" s="844" t="s">
        <v>151</v>
      </c>
      <c r="C51" s="846"/>
      <c r="D51" s="845"/>
      <c r="E51" s="20">
        <f>VLOOKUP(A51,'Point Allocation'!$A$5:$J$15,MATCH(A7,'Point Allocation'!$A$5:$J$5,0),0)</f>
        <v>10</v>
      </c>
      <c r="F51" s="536"/>
      <c r="G51" s="31">
        <f>IFERROR(F51/$F$56,0)</f>
        <v>0</v>
      </c>
      <c r="H51" s="405">
        <f>E51*G51</f>
        <v>0</v>
      </c>
      <c r="R51" s="53"/>
      <c r="S51" s="45"/>
    </row>
    <row r="52" spans="1:19" s="29" customFormat="1" ht="15.6">
      <c r="A52" s="410">
        <v>6</v>
      </c>
      <c r="B52" s="61" t="s">
        <v>213</v>
      </c>
      <c r="C52" s="49"/>
      <c r="D52" s="49"/>
      <c r="E52" s="8"/>
      <c r="F52" s="8"/>
      <c r="G52" s="22"/>
      <c r="H52" s="403"/>
      <c r="R52" s="53"/>
      <c r="S52" s="45"/>
    </row>
    <row r="53" spans="1:19" s="29" customFormat="1">
      <c r="A53" s="411">
        <v>6.1</v>
      </c>
      <c r="B53" s="826"/>
      <c r="C53" s="821"/>
      <c r="D53" s="847"/>
      <c r="E53" s="536"/>
      <c r="F53" s="536"/>
      <c r="G53" s="31">
        <f>IFERROR(F53/$F$56,0)</f>
        <v>0</v>
      </c>
      <c r="H53" s="405">
        <f>E53*G53</f>
        <v>0</v>
      </c>
      <c r="R53" s="53"/>
      <c r="S53" s="45"/>
    </row>
    <row r="54" spans="1:19" s="29" customFormat="1">
      <c r="A54" s="411">
        <v>6.2</v>
      </c>
      <c r="B54" s="826"/>
      <c r="C54" s="821"/>
      <c r="D54" s="847"/>
      <c r="E54" s="536"/>
      <c r="F54" s="536"/>
      <c r="G54" s="31">
        <f>IFERROR(F54/$F$56,0)</f>
        <v>0</v>
      </c>
      <c r="H54" s="405">
        <f>E54*G54</f>
        <v>0</v>
      </c>
      <c r="R54" s="53"/>
      <c r="S54" s="45"/>
    </row>
    <row r="55" spans="1:19" s="29" customFormat="1">
      <c r="A55" s="411">
        <v>6.3</v>
      </c>
      <c r="B55" s="826"/>
      <c r="C55" s="821"/>
      <c r="D55" s="847"/>
      <c r="E55" s="536"/>
      <c r="F55" s="536"/>
      <c r="G55" s="31">
        <f>IFERROR(F55/$F$56,0)</f>
        <v>0</v>
      </c>
      <c r="H55" s="405">
        <f>E55*G55</f>
        <v>0</v>
      </c>
      <c r="R55" s="53"/>
      <c r="S55" s="45"/>
    </row>
    <row r="56" spans="1:19" s="29" customFormat="1" ht="15.6">
      <c r="A56" s="412"/>
      <c r="B56" s="322"/>
      <c r="C56" s="323"/>
      <c r="D56" s="323"/>
      <c r="E56" s="324" t="s">
        <v>61</v>
      </c>
      <c r="F56" s="26">
        <f>SUM(F29,F32,F34,F35,F44,F45,F46,F47,F50,F51,F53,F54,F55)</f>
        <v>0</v>
      </c>
      <c r="G56" s="25">
        <f>SUM(G29,G32:G32,G34:G35,G44:G47,G50:G51,G53:G55)</f>
        <v>0</v>
      </c>
      <c r="H56" s="413">
        <f>IFERROR(SUM(H29:H55),0)</f>
        <v>0</v>
      </c>
      <c r="N56" s="62"/>
      <c r="R56" s="53"/>
      <c r="S56" s="45"/>
    </row>
    <row r="57" spans="1:19" s="29" customFormat="1" ht="15.6" thickBot="1">
      <c r="A57" s="491"/>
      <c r="B57" s="492"/>
      <c r="C57" s="493"/>
      <c r="D57" s="493"/>
      <c r="E57" s="493"/>
      <c r="F57" s="493"/>
      <c r="G57" s="480"/>
      <c r="H57" s="639"/>
      <c r="R57" s="53"/>
      <c r="S57" s="45"/>
    </row>
    <row r="58" spans="1:19" s="29" customFormat="1" ht="15.6">
      <c r="A58" s="954" t="s">
        <v>0</v>
      </c>
      <c r="B58" s="955"/>
      <c r="C58" s="646"/>
      <c r="D58" s="978" t="s">
        <v>4</v>
      </c>
      <c r="E58" s="952" t="s">
        <v>1</v>
      </c>
      <c r="F58" s="953"/>
      <c r="G58" s="948" t="s">
        <v>21</v>
      </c>
      <c r="H58" s="950" t="s">
        <v>63</v>
      </c>
      <c r="R58" s="53"/>
      <c r="S58" s="45"/>
    </row>
    <row r="59" spans="1:19" s="29" customFormat="1" ht="31.2">
      <c r="A59" s="956"/>
      <c r="B59" s="957"/>
      <c r="C59" s="63"/>
      <c r="D59" s="979"/>
      <c r="E59" s="43" t="s">
        <v>118</v>
      </c>
      <c r="F59" s="43" t="s">
        <v>119</v>
      </c>
      <c r="G59" s="949"/>
      <c r="H59" s="951"/>
      <c r="J59" s="64"/>
      <c r="R59" s="53"/>
      <c r="S59" s="45"/>
    </row>
    <row r="60" spans="1:19" s="29" customFormat="1" ht="15.6">
      <c r="A60" s="415" t="s">
        <v>219</v>
      </c>
      <c r="B60" s="46" t="s">
        <v>148</v>
      </c>
      <c r="C60" s="58"/>
      <c r="D60" s="65"/>
      <c r="E60" s="48"/>
      <c r="F60" s="48"/>
      <c r="G60" s="48"/>
      <c r="H60" s="416"/>
      <c r="J60" s="62"/>
      <c r="K60" s="62"/>
      <c r="L60" s="62"/>
      <c r="M60" s="62"/>
      <c r="R60" s="53"/>
      <c r="S60" s="45"/>
    </row>
    <row r="61" spans="1:19" s="29" customFormat="1" ht="15" customHeight="1">
      <c r="A61" s="417" t="s">
        <v>349</v>
      </c>
      <c r="B61" s="850" t="s">
        <v>595</v>
      </c>
      <c r="C61" s="851"/>
      <c r="D61" s="5" t="s">
        <v>51</v>
      </c>
      <c r="E61" s="9">
        <v>3</v>
      </c>
      <c r="F61" s="9">
        <v>4</v>
      </c>
      <c r="G61" s="66"/>
      <c r="H61" s="405">
        <f>IF(G61&gt;=80%,F61,IF(G61&lt;65%,0,E61))</f>
        <v>0</v>
      </c>
      <c r="R61" s="53"/>
      <c r="S61" s="45"/>
    </row>
    <row r="62" spans="1:19" s="29" customFormat="1">
      <c r="A62" s="417" t="s">
        <v>350</v>
      </c>
      <c r="B62" s="850" t="s">
        <v>596</v>
      </c>
      <c r="C62" s="851"/>
      <c r="D62" s="5" t="s">
        <v>51</v>
      </c>
      <c r="E62" s="9">
        <v>3</v>
      </c>
      <c r="F62" s="9">
        <v>4</v>
      </c>
      <c r="G62" s="66"/>
      <c r="H62" s="405">
        <f>IF(G62&gt;=80%,F62,IF(G62&lt;65%,0,E62))</f>
        <v>0</v>
      </c>
      <c r="R62" s="53"/>
      <c r="S62" s="45"/>
    </row>
    <row r="63" spans="1:19" s="29" customFormat="1">
      <c r="A63" s="418" t="s">
        <v>351</v>
      </c>
      <c r="B63" s="850" t="s">
        <v>588</v>
      </c>
      <c r="C63" s="851"/>
      <c r="D63" s="5" t="s">
        <v>51</v>
      </c>
      <c r="E63" s="9">
        <v>3</v>
      </c>
      <c r="F63" s="9">
        <v>4</v>
      </c>
      <c r="G63" s="66"/>
      <c r="H63" s="405">
        <f>IF(G63&gt;=80%,F63,IF(G63&lt;65%,0,E63))</f>
        <v>0</v>
      </c>
      <c r="R63" s="53"/>
      <c r="S63" s="45"/>
    </row>
    <row r="64" spans="1:19" s="29" customFormat="1" ht="51" customHeight="1">
      <c r="A64" s="417">
        <v>7.2</v>
      </c>
      <c r="B64" s="1019" t="s">
        <v>354</v>
      </c>
      <c r="C64" s="1019"/>
      <c r="D64" s="518" t="s">
        <v>51</v>
      </c>
      <c r="E64" s="540">
        <v>2</v>
      </c>
      <c r="F64" s="540">
        <v>2.5</v>
      </c>
      <c r="G64" s="516"/>
      <c r="H64" s="419">
        <f>IF(H35&gt;0,0,IF(G64&gt;=80%,F64,IF(G64&lt;65%,0,E64)))</f>
        <v>0</v>
      </c>
      <c r="J64" s="11"/>
      <c r="K64" s="11"/>
      <c r="L64" s="11"/>
      <c r="R64" s="53"/>
      <c r="S64" s="45"/>
    </row>
    <row r="65" spans="1:19" s="29" customFormat="1" ht="15" customHeight="1">
      <c r="A65" s="417">
        <v>7.3</v>
      </c>
      <c r="B65" s="885" t="s">
        <v>226</v>
      </c>
      <c r="C65" s="886"/>
      <c r="D65" s="375"/>
      <c r="E65" s="375"/>
      <c r="F65" s="375"/>
      <c r="G65" s="375"/>
      <c r="H65" s="420"/>
      <c r="J65" s="11"/>
      <c r="K65" s="11"/>
      <c r="L65" s="11"/>
      <c r="R65" s="53"/>
      <c r="S65" s="45"/>
    </row>
    <row r="66" spans="1:19" s="29" customFormat="1" ht="32.25" customHeight="1">
      <c r="A66" s="418" t="s">
        <v>220</v>
      </c>
      <c r="B66" s="883" t="s">
        <v>227</v>
      </c>
      <c r="C66" s="884"/>
      <c r="D66" s="856" t="s">
        <v>51</v>
      </c>
      <c r="E66" s="296">
        <v>1</v>
      </c>
      <c r="F66" s="296">
        <v>1.5</v>
      </c>
      <c r="G66" s="67"/>
      <c r="H66" s="298">
        <f>IF(H29+H35&gt;0,0.5,IF(G66&gt;=80%,F66,IF(G66&lt;65%,0,E66)))</f>
        <v>0</v>
      </c>
      <c r="K66" s="11"/>
      <c r="L66" s="11"/>
      <c r="R66" s="53"/>
      <c r="S66" s="45"/>
    </row>
    <row r="67" spans="1:19" s="29" customFormat="1" ht="47.25" customHeight="1">
      <c r="A67" s="418" t="s">
        <v>221</v>
      </c>
      <c r="B67" s="883" t="s">
        <v>228</v>
      </c>
      <c r="C67" s="884"/>
      <c r="D67" s="857"/>
      <c r="E67" s="296">
        <v>1</v>
      </c>
      <c r="F67" s="296">
        <v>1.5</v>
      </c>
      <c r="G67" s="67"/>
      <c r="H67" s="298">
        <f>IF(H29+H35&gt;0,0.5,IF(G67&gt;=80%,F67,IF(G67&lt;65%,0,E67)))</f>
        <v>0</v>
      </c>
      <c r="R67" s="53"/>
      <c r="S67" s="45"/>
    </row>
    <row r="68" spans="1:19" s="29" customFormat="1">
      <c r="A68" s="418" t="s">
        <v>235</v>
      </c>
      <c r="B68" s="883" t="s">
        <v>229</v>
      </c>
      <c r="C68" s="884"/>
      <c r="D68" s="857"/>
      <c r="E68" s="296">
        <v>1</v>
      </c>
      <c r="F68" s="296">
        <v>1.5</v>
      </c>
      <c r="G68" s="67"/>
      <c r="H68" s="298">
        <f>IF(H29+H35&gt;0,0.5,IF(G68&gt;=80%,F68,IF(G68&lt;65%,0,E68)))</f>
        <v>0</v>
      </c>
      <c r="R68" s="53"/>
      <c r="S68" s="45"/>
    </row>
    <row r="69" spans="1:19" s="29" customFormat="1" ht="46.5" customHeight="1">
      <c r="A69" s="418" t="s">
        <v>222</v>
      </c>
      <c r="B69" s="883" t="s">
        <v>230</v>
      </c>
      <c r="C69" s="884"/>
      <c r="D69" s="858"/>
      <c r="E69" s="296">
        <v>1</v>
      </c>
      <c r="F69" s="296">
        <v>1.5</v>
      </c>
      <c r="G69" s="67"/>
      <c r="H69" s="298">
        <f>IF(H29+H35&gt;0,0.5,IF(G69&gt;=80%,F69,IF(G69&lt;65%,0,E69)))</f>
        <v>0</v>
      </c>
      <c r="R69" s="53"/>
      <c r="S69" s="45"/>
    </row>
    <row r="70" spans="1:19" s="29" customFormat="1">
      <c r="A70" s="417">
        <v>7.4</v>
      </c>
      <c r="B70" s="930" t="s">
        <v>441</v>
      </c>
      <c r="C70" s="930"/>
      <c r="D70" s="350" t="s">
        <v>2</v>
      </c>
      <c r="E70" s="296">
        <v>1</v>
      </c>
      <c r="F70" s="296">
        <v>1.5</v>
      </c>
      <c r="G70" s="67"/>
      <c r="H70" s="298">
        <f>IF(G70&gt;=80%,F70,IF(G70&lt;65%,0,E70))</f>
        <v>0</v>
      </c>
      <c r="R70" s="53"/>
      <c r="S70" s="45"/>
    </row>
    <row r="71" spans="1:19" s="29" customFormat="1" ht="15" customHeight="1">
      <c r="A71" s="526">
        <v>7.5</v>
      </c>
      <c r="B71" s="932" t="s">
        <v>422</v>
      </c>
      <c r="C71" s="932"/>
      <c r="D71" s="561" t="s">
        <v>420</v>
      </c>
      <c r="E71" s="855">
        <v>2</v>
      </c>
      <c r="F71" s="855"/>
      <c r="G71" s="546"/>
      <c r="H71" s="519">
        <f>IF(G71&gt;=5%,E71,0)</f>
        <v>0</v>
      </c>
      <c r="R71" s="53"/>
      <c r="S71" s="45"/>
    </row>
    <row r="72" spans="1:19" s="29" customFormat="1" ht="15.6">
      <c r="A72" s="421" t="s">
        <v>223</v>
      </c>
      <c r="B72" s="68" t="s">
        <v>231</v>
      </c>
      <c r="C72" s="69"/>
      <c r="D72" s="70"/>
      <c r="E72" s="71"/>
      <c r="F72" s="71"/>
      <c r="G72" s="71"/>
      <c r="H72" s="422"/>
      <c r="R72" s="53"/>
      <c r="S72" s="45"/>
    </row>
    <row r="73" spans="1:19" s="29" customFormat="1">
      <c r="A73" s="417">
        <v>8.1</v>
      </c>
      <c r="B73" s="852" t="s">
        <v>232</v>
      </c>
      <c r="C73" s="852"/>
      <c r="D73" s="5" t="s">
        <v>51</v>
      </c>
      <c r="E73" s="20">
        <v>2</v>
      </c>
      <c r="F73" s="20">
        <v>2.5</v>
      </c>
      <c r="G73" s="72"/>
      <c r="H73" s="405">
        <f>IF(G73&gt;=80%,F73,IF(G73&lt;65%,0,E73))</f>
        <v>0</v>
      </c>
      <c r="J73" s="73"/>
      <c r="R73" s="53"/>
      <c r="S73" s="45"/>
    </row>
    <row r="74" spans="1:19" s="29" customFormat="1">
      <c r="A74" s="417">
        <v>8.1999999999999993</v>
      </c>
      <c r="B74" s="852" t="s">
        <v>233</v>
      </c>
      <c r="C74" s="852"/>
      <c r="D74" s="5" t="s">
        <v>51</v>
      </c>
      <c r="E74" s="20">
        <v>2</v>
      </c>
      <c r="F74" s="20">
        <v>2.5</v>
      </c>
      <c r="G74" s="72"/>
      <c r="H74" s="405">
        <f>IF(G74&gt;=80%,F74,IF(G74&lt;65%,0,E74))</f>
        <v>0</v>
      </c>
      <c r="J74" s="11"/>
      <c r="K74" s="11"/>
      <c r="L74" s="11"/>
      <c r="R74" s="53"/>
      <c r="S74" s="45"/>
    </row>
    <row r="75" spans="1:19" s="29" customFormat="1">
      <c r="A75" s="417">
        <v>8.3000000000000007</v>
      </c>
      <c r="B75" s="874" t="s">
        <v>147</v>
      </c>
      <c r="C75" s="875"/>
      <c r="D75" s="5" t="s">
        <v>2</v>
      </c>
      <c r="E75" s="20">
        <v>2</v>
      </c>
      <c r="F75" s="20">
        <v>2.5</v>
      </c>
      <c r="G75" s="66"/>
      <c r="H75" s="405">
        <f>IF(G75&gt;=80%,F75,IF(G75&lt;65%,0,E75))</f>
        <v>0</v>
      </c>
      <c r="R75" s="53"/>
      <c r="S75" s="45"/>
    </row>
    <row r="76" spans="1:19" s="29" customFormat="1" ht="15.6">
      <c r="A76" s="421" t="s">
        <v>224</v>
      </c>
      <c r="B76" s="68" t="s">
        <v>234</v>
      </c>
      <c r="C76" s="69"/>
      <c r="D76" s="70"/>
      <c r="E76" s="71"/>
      <c r="F76" s="71"/>
      <c r="G76" s="71"/>
      <c r="H76" s="422"/>
      <c r="R76" s="53"/>
      <c r="S76" s="45"/>
    </row>
    <row r="77" spans="1:19" s="29" customFormat="1" ht="31.5" customHeight="1">
      <c r="A77" s="417">
        <v>9.1</v>
      </c>
      <c r="B77" s="852" t="s">
        <v>371</v>
      </c>
      <c r="C77" s="852"/>
      <c r="D77" s="5" t="s">
        <v>51</v>
      </c>
      <c r="E77" s="20">
        <v>2</v>
      </c>
      <c r="F77" s="20">
        <v>2.5</v>
      </c>
      <c r="G77" s="72"/>
      <c r="H77" s="405">
        <f>IF(G77&gt;=80%,F77,IF(G77&lt;65%,0,E77))</f>
        <v>0</v>
      </c>
      <c r="R77" s="53"/>
      <c r="S77" s="45"/>
    </row>
    <row r="78" spans="1:19" s="29" customFormat="1" ht="15.6">
      <c r="A78" s="423" t="s">
        <v>225</v>
      </c>
      <c r="B78" s="74" t="s">
        <v>213</v>
      </c>
      <c r="C78" s="58"/>
      <c r="D78" s="58"/>
      <c r="E78" s="75"/>
      <c r="F78" s="75"/>
      <c r="G78" s="76"/>
      <c r="H78" s="424"/>
      <c r="R78" s="53"/>
      <c r="S78" s="45"/>
    </row>
    <row r="79" spans="1:19" s="29" customFormat="1">
      <c r="A79" s="417">
        <v>10.1</v>
      </c>
      <c r="B79" s="848"/>
      <c r="C79" s="848"/>
      <c r="D79" s="77"/>
      <c r="E79" s="536"/>
      <c r="F79" s="536"/>
      <c r="G79" s="547"/>
      <c r="H79" s="405">
        <f>IF(G79&gt;=80%,F79,IF(G79&lt;65%,0,E79))</f>
        <v>0</v>
      </c>
      <c r="R79" s="53"/>
      <c r="S79" s="45"/>
    </row>
    <row r="80" spans="1:19" s="29" customFormat="1">
      <c r="A80" s="417">
        <v>10.199999999999999</v>
      </c>
      <c r="B80" s="848"/>
      <c r="C80" s="848"/>
      <c r="D80" s="77"/>
      <c r="E80" s="536"/>
      <c r="F80" s="536"/>
      <c r="G80" s="547"/>
      <c r="H80" s="405">
        <f>IF(G80&gt;=80%,F80,IF(G80&lt;65%,0,E80))</f>
        <v>0</v>
      </c>
      <c r="R80" s="53"/>
      <c r="S80" s="45"/>
    </row>
    <row r="81" spans="1:19" s="29" customFormat="1">
      <c r="A81" s="417">
        <v>10.3</v>
      </c>
      <c r="B81" s="848"/>
      <c r="C81" s="848"/>
      <c r="D81" s="77"/>
      <c r="E81" s="536"/>
      <c r="F81" s="536"/>
      <c r="G81" s="547"/>
      <c r="H81" s="405">
        <f>IF(G81&gt;=80%,F81,IF(G81&lt;65%,0,E81))</f>
        <v>0</v>
      </c>
      <c r="R81" s="53"/>
      <c r="S81" s="45"/>
    </row>
    <row r="82" spans="1:19" s="29" customFormat="1" ht="15.6">
      <c r="A82" s="425"/>
      <c r="B82" s="325"/>
      <c r="C82" s="323"/>
      <c r="D82" s="323"/>
      <c r="E82" s="326"/>
      <c r="F82" s="327"/>
      <c r="G82" s="328" t="s">
        <v>418</v>
      </c>
      <c r="H82" s="426">
        <f>IFERROR((SUM(H61:H81)),0)</f>
        <v>0</v>
      </c>
      <c r="R82" s="53"/>
      <c r="S82" s="45"/>
    </row>
    <row r="83" spans="1:19" s="29" customFormat="1">
      <c r="A83" s="412"/>
      <c r="B83" s="325"/>
      <c r="C83" s="323"/>
      <c r="D83" s="323"/>
      <c r="E83" s="323"/>
      <c r="F83" s="323"/>
      <c r="G83" s="329"/>
      <c r="H83" s="388"/>
      <c r="R83" s="53"/>
      <c r="S83" s="45"/>
    </row>
    <row r="84" spans="1:19" s="29" customFormat="1" ht="15.6">
      <c r="A84" s="412"/>
      <c r="B84" s="325"/>
      <c r="C84" s="323"/>
      <c r="D84" s="323"/>
      <c r="E84" s="323"/>
      <c r="F84" s="323"/>
      <c r="G84" s="330" t="s">
        <v>129</v>
      </c>
      <c r="H84" s="427">
        <f>IFERROR(MIN(G24,H56+H82),0)</f>
        <v>0</v>
      </c>
      <c r="R84" s="53"/>
      <c r="S84" s="45"/>
    </row>
    <row r="85" spans="1:19" s="29" customFormat="1" ht="16.2" thickBot="1">
      <c r="A85" s="491"/>
      <c r="B85" s="492"/>
      <c r="C85" s="493"/>
      <c r="D85" s="493"/>
      <c r="E85" s="493"/>
      <c r="F85" s="493"/>
      <c r="G85" s="496"/>
      <c r="H85" s="495"/>
      <c r="R85" s="53"/>
      <c r="S85" s="45"/>
    </row>
    <row r="86" spans="1:19" s="29" customFormat="1" ht="15.6">
      <c r="A86" s="486" t="s">
        <v>52</v>
      </c>
      <c r="B86" s="487"/>
      <c r="C86" s="487"/>
      <c r="D86" s="487"/>
      <c r="E86" s="487"/>
      <c r="F86" s="488" t="s">
        <v>43</v>
      </c>
      <c r="G86" s="489">
        <f>VLOOKUP($A$7,'Manpower allocation'!A4:D11,3,FALSE)*100</f>
        <v>40</v>
      </c>
      <c r="H86" s="490" t="s">
        <v>42</v>
      </c>
      <c r="J86" s="79">
        <f>VLOOKUP($A$7,'Manpower allocation'!A4:D11,3,FALSE)*100</f>
        <v>40</v>
      </c>
      <c r="R86" s="53"/>
      <c r="S86" s="45"/>
    </row>
    <row r="87" spans="1:19" s="29" customFormat="1" ht="15.6">
      <c r="A87" s="412"/>
      <c r="B87" s="331"/>
      <c r="C87" s="326"/>
      <c r="D87" s="323"/>
      <c r="E87" s="323"/>
      <c r="F87" s="323"/>
      <c r="G87" s="332"/>
      <c r="H87" s="388"/>
      <c r="R87" s="53"/>
      <c r="S87" s="45"/>
    </row>
    <row r="88" spans="1:19" s="29" customFormat="1" ht="46.8">
      <c r="A88" s="549" t="s">
        <v>0</v>
      </c>
      <c r="B88" s="550"/>
      <c r="C88" s="168"/>
      <c r="D88" s="80"/>
      <c r="E88" s="81" t="s">
        <v>17</v>
      </c>
      <c r="F88" s="82" t="s">
        <v>81</v>
      </c>
      <c r="G88" s="82" t="s">
        <v>20</v>
      </c>
      <c r="H88" s="428" t="s">
        <v>53</v>
      </c>
      <c r="R88" s="53"/>
      <c r="S88" s="45"/>
    </row>
    <row r="89" spans="1:19" s="29" customFormat="1" ht="15.6">
      <c r="A89" s="429" t="s">
        <v>303</v>
      </c>
      <c r="B89" s="83" t="s">
        <v>332</v>
      </c>
      <c r="C89" s="84"/>
      <c r="D89" s="84"/>
      <c r="E89" s="85"/>
      <c r="F89" s="85"/>
      <c r="G89" s="85"/>
      <c r="H89" s="430"/>
      <c r="R89" s="53"/>
      <c r="S89" s="45"/>
    </row>
    <row r="90" spans="1:19" s="29" customFormat="1" ht="15.6">
      <c r="A90" s="431">
        <v>1</v>
      </c>
      <c r="B90" s="86" t="s">
        <v>338</v>
      </c>
      <c r="C90" s="87"/>
      <c r="D90" s="87"/>
      <c r="E90" s="88"/>
      <c r="F90" s="88"/>
      <c r="G90" s="88"/>
      <c r="H90" s="432"/>
      <c r="R90" s="53"/>
      <c r="S90" s="45"/>
    </row>
    <row r="91" spans="1:19" s="29" customFormat="1">
      <c r="A91" s="417">
        <v>1.1000000000000001</v>
      </c>
      <c r="B91" s="885" t="s">
        <v>290</v>
      </c>
      <c r="C91" s="846"/>
      <c r="D91" s="845"/>
      <c r="E91" s="89">
        <f>VLOOKUP(A91,'Point Allocation'!$A$20:$J$40,MATCH(A7,'Point Allocation'!$A$20:$J$20,0),0)</f>
        <v>30</v>
      </c>
      <c r="F91" s="90"/>
      <c r="G91" s="91">
        <f>IFERROR(F91/$F$115,0)</f>
        <v>0</v>
      </c>
      <c r="H91" s="433">
        <f>E91*G91</f>
        <v>0</v>
      </c>
      <c r="R91" s="45"/>
      <c r="S91" s="45"/>
    </row>
    <row r="92" spans="1:19" s="29" customFormat="1" ht="15.6">
      <c r="A92" s="434">
        <v>2</v>
      </c>
      <c r="B92" s="92" t="s">
        <v>339</v>
      </c>
      <c r="C92" s="93"/>
      <c r="D92" s="94"/>
      <c r="E92" s="94"/>
      <c r="F92" s="95"/>
      <c r="G92" s="96"/>
      <c r="H92" s="435"/>
      <c r="R92" s="53"/>
      <c r="S92" s="45"/>
    </row>
    <row r="93" spans="1:19" s="29" customFormat="1">
      <c r="A93" s="849">
        <v>2.1</v>
      </c>
      <c r="B93" s="844" t="s">
        <v>207</v>
      </c>
      <c r="C93" s="846"/>
      <c r="D93" s="845"/>
      <c r="E93" s="853">
        <f>VLOOKUP(A93,'Point Allocation'!$A$20:$J$40,MATCH(A7,'Point Allocation'!$A$20:$J$20,0),0)</f>
        <v>28</v>
      </c>
      <c r="F93" s="854"/>
      <c r="G93" s="914">
        <f>IFERROR(F93/$F$115,0)</f>
        <v>0</v>
      </c>
      <c r="H93" s="921">
        <f>E93*G93</f>
        <v>0</v>
      </c>
      <c r="R93" s="53"/>
      <c r="S93" s="45"/>
    </row>
    <row r="94" spans="1:19" s="29" customFormat="1" ht="15.6">
      <c r="A94" s="841"/>
      <c r="B94" s="836" t="s">
        <v>120</v>
      </c>
      <c r="C94" s="837"/>
      <c r="D94" s="838"/>
      <c r="E94" s="853"/>
      <c r="F94" s="854"/>
      <c r="G94" s="914"/>
      <c r="H94" s="921"/>
      <c r="R94" s="53"/>
      <c r="S94" s="45"/>
    </row>
    <row r="95" spans="1:19" s="29" customFormat="1">
      <c r="A95" s="849">
        <v>2.2000000000000002</v>
      </c>
      <c r="B95" s="885" t="s">
        <v>178</v>
      </c>
      <c r="C95" s="886"/>
      <c r="D95" s="884"/>
      <c r="E95" s="853">
        <f>VLOOKUP(A95,'Point Allocation'!$A$20:$J$40,MATCH(A7,'Point Allocation'!$A$20:$J$20,0),0)</f>
        <v>28</v>
      </c>
      <c r="F95" s="854"/>
      <c r="G95" s="914">
        <f>IFERROR(F95/$F$115,0)</f>
        <v>0</v>
      </c>
      <c r="H95" s="921">
        <f>E95*G95</f>
        <v>0</v>
      </c>
      <c r="R95" s="53"/>
      <c r="S95" s="45"/>
    </row>
    <row r="96" spans="1:19" s="29" customFormat="1" ht="15.6">
      <c r="A96" s="882"/>
      <c r="B96" s="836" t="s">
        <v>120</v>
      </c>
      <c r="C96" s="837"/>
      <c r="D96" s="838"/>
      <c r="E96" s="853"/>
      <c r="F96" s="854"/>
      <c r="G96" s="914"/>
      <c r="H96" s="921"/>
      <c r="R96" s="53"/>
      <c r="S96" s="45"/>
    </row>
    <row r="97" spans="1:19" s="29" customFormat="1" ht="15.6">
      <c r="A97" s="431">
        <v>3</v>
      </c>
      <c r="B97" s="86" t="s">
        <v>340</v>
      </c>
      <c r="C97" s="93"/>
      <c r="D97" s="93"/>
      <c r="E97" s="95"/>
      <c r="F97" s="95"/>
      <c r="G97" s="96"/>
      <c r="H97" s="436"/>
      <c r="R97" s="53"/>
      <c r="S97" s="45"/>
    </row>
    <row r="98" spans="1:19" s="29" customFormat="1">
      <c r="A98" s="849">
        <v>3.1</v>
      </c>
      <c r="B98" s="844" t="s">
        <v>208</v>
      </c>
      <c r="C98" s="846"/>
      <c r="D98" s="845"/>
      <c r="E98" s="853">
        <f>VLOOKUP(A98,'Point Allocation'!$A$20:$J$40,MATCH(A7,'Point Allocation'!$A$20:$J$20,0),0)</f>
        <v>27</v>
      </c>
      <c r="F98" s="854"/>
      <c r="G98" s="914">
        <f>IFERROR(F98/$F$115,0)</f>
        <v>0</v>
      </c>
      <c r="H98" s="921">
        <f>E98*G98</f>
        <v>0</v>
      </c>
      <c r="R98" s="53"/>
      <c r="S98" s="45"/>
    </row>
    <row r="99" spans="1:19" s="29" customFormat="1" ht="15.6">
      <c r="A99" s="841"/>
      <c r="B99" s="836" t="s">
        <v>286</v>
      </c>
      <c r="C99" s="837"/>
      <c r="D99" s="838"/>
      <c r="E99" s="853"/>
      <c r="F99" s="854"/>
      <c r="G99" s="914"/>
      <c r="H99" s="921"/>
      <c r="R99" s="53"/>
      <c r="S99" s="45"/>
    </row>
    <row r="100" spans="1:19" s="29" customFormat="1" ht="15.6">
      <c r="A100" s="431">
        <v>4</v>
      </c>
      <c r="B100" s="86" t="s">
        <v>341</v>
      </c>
      <c r="C100" s="93"/>
      <c r="D100" s="93"/>
      <c r="E100" s="95"/>
      <c r="F100" s="95"/>
      <c r="G100" s="96"/>
      <c r="H100" s="436"/>
      <c r="R100" s="53"/>
      <c r="S100" s="45"/>
    </row>
    <row r="101" spans="1:19" s="29" customFormat="1" ht="30" customHeight="1">
      <c r="A101" s="418" t="s">
        <v>205</v>
      </c>
      <c r="B101" s="871" t="s">
        <v>292</v>
      </c>
      <c r="C101" s="872"/>
      <c r="D101" s="873"/>
      <c r="E101" s="97">
        <f>VLOOKUP(A101,'Point Allocation'!$A$20:$J$40,MATCH(A7,'Point Allocation'!$A$20:$J$20,0),0)</f>
        <v>25</v>
      </c>
      <c r="F101" s="537"/>
      <c r="G101" s="538">
        <f>IFERROR(F101/$F$115,0)</f>
        <v>0</v>
      </c>
      <c r="H101" s="437">
        <f>E101*G101</f>
        <v>0</v>
      </c>
      <c r="R101" s="912"/>
      <c r="S101" s="45"/>
    </row>
    <row r="102" spans="1:19" s="29" customFormat="1">
      <c r="A102" s="418" t="s">
        <v>206</v>
      </c>
      <c r="B102" s="871" t="s">
        <v>293</v>
      </c>
      <c r="C102" s="872"/>
      <c r="D102" s="873"/>
      <c r="E102" s="97">
        <f>VLOOKUP(A102,'Point Allocation'!$A$20:$J$40,MATCH(A7,'Point Allocation'!$A$20:$J$20,0),0)</f>
        <v>25</v>
      </c>
      <c r="F102" s="537"/>
      <c r="G102" s="538">
        <f>IFERROR(F102/$F$115,0)</f>
        <v>0</v>
      </c>
      <c r="H102" s="437">
        <f>E102*G102</f>
        <v>0</v>
      </c>
      <c r="R102" s="912"/>
      <c r="S102" s="45"/>
    </row>
    <row r="103" spans="1:19" s="29" customFormat="1">
      <c r="A103" s="417">
        <v>4.2</v>
      </c>
      <c r="B103" s="874" t="s">
        <v>209</v>
      </c>
      <c r="C103" s="931"/>
      <c r="D103" s="875"/>
      <c r="E103" s="97">
        <f>VLOOKUP(A103,'Point Allocation'!$A$20:$J$40,MATCH(A7,'Point Allocation'!$A$20:$J$20,0),0)</f>
        <v>25</v>
      </c>
      <c r="F103" s="537"/>
      <c r="G103" s="538">
        <f>IFERROR(F103/$F$115,0)</f>
        <v>0</v>
      </c>
      <c r="H103" s="437">
        <f>E103*G103</f>
        <v>0</v>
      </c>
      <c r="R103" s="53"/>
      <c r="S103" s="45"/>
    </row>
    <row r="104" spans="1:19" s="29" customFormat="1">
      <c r="A104" s="417">
        <v>4.3</v>
      </c>
      <c r="B104" s="922" t="s">
        <v>159</v>
      </c>
      <c r="C104" s="923"/>
      <c r="D104" s="924"/>
      <c r="E104" s="97">
        <f>VLOOKUP(A104,'Point Allocation'!$A$20:$J$40,MATCH(A7,'Point Allocation'!$A$20:$J$20,0),0)</f>
        <v>25</v>
      </c>
      <c r="F104" s="537"/>
      <c r="G104" s="538">
        <f>IFERROR(F104/$F$115,0)</f>
        <v>0</v>
      </c>
      <c r="H104" s="438">
        <f>E104*G104</f>
        <v>0</v>
      </c>
      <c r="R104" s="53"/>
      <c r="S104" s="45"/>
    </row>
    <row r="105" spans="1:19" s="29" customFormat="1">
      <c r="A105" s="417">
        <v>4.4000000000000004</v>
      </c>
      <c r="B105" s="922" t="s">
        <v>355</v>
      </c>
      <c r="C105" s="923"/>
      <c r="D105" s="924"/>
      <c r="E105" s="97">
        <f>VLOOKUP(A105,'Point Allocation'!$A$20:$J$40,MATCH(A7,'Point Allocation'!$A$20:$J$20,0),0)</f>
        <v>22</v>
      </c>
      <c r="F105" s="537"/>
      <c r="G105" s="538">
        <f>IFERROR(F105/$F$115,0)</f>
        <v>0</v>
      </c>
      <c r="H105" s="438">
        <f>E105*G105</f>
        <v>0</v>
      </c>
      <c r="R105" s="53"/>
      <c r="S105" s="45"/>
    </row>
    <row r="106" spans="1:19" s="29" customFormat="1" ht="15.6">
      <c r="A106" s="439" t="s">
        <v>304</v>
      </c>
      <c r="B106" s="99" t="s">
        <v>236</v>
      </c>
      <c r="C106" s="100"/>
      <c r="D106" s="101"/>
      <c r="E106" s="102"/>
      <c r="F106" s="103"/>
      <c r="G106" s="104"/>
      <c r="H106" s="440"/>
      <c r="R106" s="53"/>
      <c r="S106" s="45"/>
    </row>
    <row r="107" spans="1:19" s="29" customFormat="1" ht="15.6">
      <c r="A107" s="431">
        <v>5</v>
      </c>
      <c r="B107" s="86" t="s">
        <v>237</v>
      </c>
      <c r="C107" s="93"/>
      <c r="D107" s="93"/>
      <c r="E107" s="95"/>
      <c r="F107" s="95"/>
      <c r="G107" s="96"/>
      <c r="H107" s="436"/>
      <c r="R107" s="53"/>
      <c r="S107" s="45"/>
    </row>
    <row r="108" spans="1:19" s="29" customFormat="1">
      <c r="A108" s="417">
        <v>5.0999999999999996</v>
      </c>
      <c r="B108" s="844" t="s">
        <v>210</v>
      </c>
      <c r="C108" s="846"/>
      <c r="D108" s="845"/>
      <c r="E108" s="105">
        <f>VLOOKUP(A108,'Point Allocation'!$A$20:$J$40,MATCH(A7,'Point Allocation'!$A$20:$J$20,0),0)</f>
        <v>16</v>
      </c>
      <c r="F108" s="156"/>
      <c r="G108" s="538">
        <f>IFERROR(F108/$F$115,0)</f>
        <v>0</v>
      </c>
      <c r="H108" s="441">
        <f>E108*G108</f>
        <v>0</v>
      </c>
      <c r="R108" s="53"/>
      <c r="S108" s="45"/>
    </row>
    <row r="109" spans="1:19" s="29" customFormat="1">
      <c r="A109" s="417">
        <v>5.2</v>
      </c>
      <c r="B109" s="844" t="s">
        <v>356</v>
      </c>
      <c r="C109" s="846"/>
      <c r="D109" s="845"/>
      <c r="E109" s="105">
        <f>VLOOKUP(A109,'Point Allocation'!$A$20:$J$40,MATCH(A7,'Point Allocation'!$A$20:$J$20,0),0)</f>
        <v>5</v>
      </c>
      <c r="F109" s="90"/>
      <c r="G109" s="538">
        <f>IFERROR(F109/$F$115,0)</f>
        <v>0</v>
      </c>
      <c r="H109" s="441">
        <f>E109*G109</f>
        <v>0</v>
      </c>
      <c r="R109" s="53"/>
      <c r="S109" s="45"/>
    </row>
    <row r="110" spans="1:19" s="29" customFormat="1">
      <c r="A110" s="417">
        <v>5.3</v>
      </c>
      <c r="B110" s="844" t="s">
        <v>357</v>
      </c>
      <c r="C110" s="846"/>
      <c r="D110" s="845"/>
      <c r="E110" s="105">
        <f>VLOOKUP(A110,'Point Allocation'!$A$20:$J$40,MATCH(A7,'Point Allocation'!$A$20:$J$20,0),0)</f>
        <v>0</v>
      </c>
      <c r="F110" s="155"/>
      <c r="G110" s="538">
        <f>IFERROR(F110/$F$115,0)</f>
        <v>0</v>
      </c>
      <c r="H110" s="442">
        <f>E110*G110</f>
        <v>0</v>
      </c>
      <c r="R110" s="53"/>
      <c r="S110" s="45"/>
    </row>
    <row r="111" spans="1:19" s="29" customFormat="1" ht="15.6">
      <c r="A111" s="443">
        <v>6</v>
      </c>
      <c r="B111" s="106" t="s">
        <v>213</v>
      </c>
      <c r="C111" s="93"/>
      <c r="D111" s="93"/>
      <c r="E111" s="95"/>
      <c r="F111" s="95"/>
      <c r="G111" s="96"/>
      <c r="H111" s="436"/>
      <c r="R111" s="53"/>
      <c r="S111" s="45"/>
    </row>
    <row r="112" spans="1:19" s="29" customFormat="1">
      <c r="A112" s="444">
        <v>6.1</v>
      </c>
      <c r="B112" s="826"/>
      <c r="C112" s="821"/>
      <c r="D112" s="847"/>
      <c r="E112" s="537"/>
      <c r="F112" s="537"/>
      <c r="G112" s="538">
        <f>IFERROR(F112/$F$115,0)</f>
        <v>0</v>
      </c>
      <c r="H112" s="442">
        <f>E112*G112</f>
        <v>0</v>
      </c>
      <c r="R112" s="53"/>
      <c r="S112" s="45"/>
    </row>
    <row r="113" spans="1:19" s="29" customFormat="1">
      <c r="A113" s="444">
        <v>6.2</v>
      </c>
      <c r="B113" s="826"/>
      <c r="C113" s="821"/>
      <c r="D113" s="847"/>
      <c r="E113" s="537"/>
      <c r="F113" s="537"/>
      <c r="G113" s="538">
        <f>IFERROR(F113/$F$115,0)</f>
        <v>0</v>
      </c>
      <c r="H113" s="442">
        <f>E113*G113</f>
        <v>0</v>
      </c>
      <c r="R113" s="53"/>
      <c r="S113" s="45"/>
    </row>
    <row r="114" spans="1:19" s="29" customFormat="1">
      <c r="A114" s="444">
        <v>6.3</v>
      </c>
      <c r="B114" s="848"/>
      <c r="C114" s="848"/>
      <c r="D114" s="848"/>
      <c r="E114" s="537"/>
      <c r="F114" s="537"/>
      <c r="G114" s="538">
        <f>IFERROR(F114/$F$115,0)</f>
        <v>0</v>
      </c>
      <c r="H114" s="442">
        <f>E114*G114</f>
        <v>0</v>
      </c>
      <c r="R114" s="53"/>
      <c r="S114" s="45"/>
    </row>
    <row r="115" spans="1:19" s="29" customFormat="1" ht="15.6">
      <c r="A115" s="425"/>
      <c r="B115" s="325"/>
      <c r="C115" s="323"/>
      <c r="D115" s="323"/>
      <c r="E115" s="330" t="s">
        <v>62</v>
      </c>
      <c r="F115" s="333">
        <f>SUM(F91:F114)+E19</f>
        <v>0</v>
      </c>
      <c r="G115" s="334">
        <f>SUM(G91:G114)+F19</f>
        <v>0</v>
      </c>
      <c r="H115" s="445">
        <f>IFERROR(SUM(H91:H114),0)</f>
        <v>0</v>
      </c>
      <c r="R115" s="53"/>
      <c r="S115" s="45"/>
    </row>
    <row r="116" spans="1:19" s="29" customFormat="1" ht="15.6" thickBot="1">
      <c r="A116" s="491"/>
      <c r="B116" s="492"/>
      <c r="C116" s="493"/>
      <c r="D116" s="493"/>
      <c r="E116" s="493"/>
      <c r="F116" s="493"/>
      <c r="G116" s="480"/>
      <c r="H116" s="639"/>
      <c r="R116" s="53"/>
      <c r="S116" s="45"/>
    </row>
    <row r="117" spans="1:19" s="29" customFormat="1" ht="31.2">
      <c r="A117" s="640" t="s">
        <v>0</v>
      </c>
      <c r="B117" s="641"/>
      <c r="C117" s="641"/>
      <c r="D117" s="642" t="s">
        <v>17</v>
      </c>
      <c r="E117" s="643" t="s">
        <v>81</v>
      </c>
      <c r="F117" s="644" t="s">
        <v>335</v>
      </c>
      <c r="G117" s="644" t="s">
        <v>336</v>
      </c>
      <c r="H117" s="645" t="s">
        <v>53</v>
      </c>
      <c r="R117" s="53"/>
      <c r="S117" s="45"/>
    </row>
    <row r="118" spans="1:19" s="29" customFormat="1" ht="15.6">
      <c r="A118" s="429" t="s">
        <v>238</v>
      </c>
      <c r="B118" s="83" t="s">
        <v>333</v>
      </c>
      <c r="C118" s="84"/>
      <c r="D118" s="85"/>
      <c r="E118" s="85"/>
      <c r="F118" s="85"/>
      <c r="G118" s="85"/>
      <c r="H118" s="430"/>
      <c r="R118" s="53"/>
      <c r="S118" s="45"/>
    </row>
    <row r="119" spans="1:19" s="29" customFormat="1" ht="15.6">
      <c r="A119" s="431">
        <v>7</v>
      </c>
      <c r="B119" s="86" t="s">
        <v>338</v>
      </c>
      <c r="C119" s="87"/>
      <c r="D119" s="88"/>
      <c r="E119" s="88"/>
      <c r="F119" s="88"/>
      <c r="G119" s="88"/>
      <c r="H119" s="432"/>
      <c r="R119" s="53"/>
      <c r="S119" s="45"/>
    </row>
    <row r="120" spans="1:19" s="29" customFormat="1" ht="15" customHeight="1">
      <c r="A120" s="404">
        <v>7.1</v>
      </c>
      <c r="B120" s="885" t="s">
        <v>290</v>
      </c>
      <c r="C120" s="884"/>
      <c r="D120" s="98">
        <f>VLOOKUP(A120,'Point Allocation'!$A$20:$J$41,MATCH(A7,'Point Allocation'!$A$20:$J$20,0),0)</f>
        <v>10</v>
      </c>
      <c r="E120" s="89">
        <f>F91</f>
        <v>0</v>
      </c>
      <c r="F120" s="89">
        <f>F29</f>
        <v>0</v>
      </c>
      <c r="G120" s="91">
        <f>IFERROR(SUM(E120:F120)/SUM($E$138:$F$138),0)</f>
        <v>0</v>
      </c>
      <c r="H120" s="433">
        <f>D120*G120</f>
        <v>0</v>
      </c>
      <c r="R120" s="53"/>
      <c r="S120" s="45"/>
    </row>
    <row r="121" spans="1:19" s="29" customFormat="1" ht="15.6">
      <c r="A121" s="434">
        <v>8</v>
      </c>
      <c r="B121" s="92" t="s">
        <v>339</v>
      </c>
      <c r="C121" s="93"/>
      <c r="D121" s="94"/>
      <c r="E121" s="95"/>
      <c r="F121" s="95"/>
      <c r="G121" s="96"/>
      <c r="H121" s="435"/>
      <c r="R121" s="53"/>
      <c r="S121" s="45"/>
    </row>
    <row r="122" spans="1:19" s="29" customFormat="1">
      <c r="A122" s="849">
        <v>8.1</v>
      </c>
      <c r="B122" s="844" t="s">
        <v>337</v>
      </c>
      <c r="C122" s="845"/>
      <c r="D122" s="925">
        <f>VLOOKUP(A122,'Point Allocation'!$A$20:$J$41,MATCH(A7,'Point Allocation'!$A$20:$J$20,0),0)</f>
        <v>8</v>
      </c>
      <c r="E122" s="927">
        <f>F93</f>
        <v>0</v>
      </c>
      <c r="F122" s="859"/>
      <c r="G122" s="860">
        <f>IFERROR(SUM(E122:F123)/SUM($E$138:$F$138),0)</f>
        <v>0</v>
      </c>
      <c r="H122" s="921">
        <f>D122*G122</f>
        <v>0</v>
      </c>
      <c r="R122" s="53"/>
      <c r="S122" s="45"/>
    </row>
    <row r="123" spans="1:19" s="29" customFormat="1" ht="15.6">
      <c r="A123" s="882"/>
      <c r="B123" s="836" t="s">
        <v>120</v>
      </c>
      <c r="C123" s="838"/>
      <c r="D123" s="926"/>
      <c r="E123" s="927"/>
      <c r="F123" s="859"/>
      <c r="G123" s="861"/>
      <c r="H123" s="921"/>
      <c r="R123" s="53"/>
      <c r="S123" s="45"/>
    </row>
    <row r="124" spans="1:19" s="29" customFormat="1">
      <c r="A124" s="404">
        <v>8.1999999999999993</v>
      </c>
      <c r="B124" s="885" t="s">
        <v>178</v>
      </c>
      <c r="C124" s="884"/>
      <c r="D124" s="98">
        <f>VLOOKUP(A124,'Point Allocation'!$A$20:$J$41,MATCH(A7,'Point Allocation'!$A$20:$J$20,0),0)</f>
        <v>8</v>
      </c>
      <c r="E124" s="189">
        <f>F95</f>
        <v>0</v>
      </c>
      <c r="F124" s="548"/>
      <c r="G124" s="91">
        <f>IFERROR(SUM(E124:F124)/SUM($E$138:$F$138),0)</f>
        <v>0</v>
      </c>
      <c r="H124" s="437">
        <f>D124*G124</f>
        <v>0</v>
      </c>
      <c r="R124" s="53"/>
      <c r="S124" s="45"/>
    </row>
    <row r="125" spans="1:19" s="29" customFormat="1" ht="15.6">
      <c r="A125" s="431">
        <v>9</v>
      </c>
      <c r="B125" s="86" t="s">
        <v>340</v>
      </c>
      <c r="C125" s="93"/>
      <c r="D125" s="95"/>
      <c r="E125" s="95"/>
      <c r="F125" s="95"/>
      <c r="G125" s="96"/>
      <c r="H125" s="436"/>
      <c r="R125" s="53"/>
      <c r="S125" s="45"/>
    </row>
    <row r="126" spans="1:19" s="29" customFormat="1">
      <c r="A126" s="849">
        <v>9.1</v>
      </c>
      <c r="B126" s="844" t="s">
        <v>381</v>
      </c>
      <c r="C126" s="845"/>
      <c r="D126" s="925">
        <f>VLOOKUP(A126,'Point Allocation'!$A$20:$J$41,MATCH(A7,'Point Allocation'!$A$20:$J$20,0),0)</f>
        <v>6</v>
      </c>
      <c r="E126" s="859"/>
      <c r="F126" s="859"/>
      <c r="G126" s="914">
        <f>IFERROR(SUM(E126:F127)/SUM($E$138:$F$138),0)</f>
        <v>0</v>
      </c>
      <c r="H126" s="921">
        <f>D126*G126</f>
        <v>0</v>
      </c>
      <c r="R126" s="53"/>
      <c r="S126" s="45"/>
    </row>
    <row r="127" spans="1:19" s="29" customFormat="1" ht="15.6">
      <c r="A127" s="882"/>
      <c r="B127" s="836" t="s">
        <v>5</v>
      </c>
      <c r="C127" s="838"/>
      <c r="D127" s="926"/>
      <c r="E127" s="859"/>
      <c r="F127" s="859"/>
      <c r="G127" s="914"/>
      <c r="H127" s="921"/>
      <c r="R127" s="53"/>
      <c r="S127" s="45"/>
    </row>
    <row r="128" spans="1:19" s="29" customFormat="1" ht="15.6">
      <c r="A128" s="431">
        <v>10</v>
      </c>
      <c r="B128" s="86" t="s">
        <v>342</v>
      </c>
      <c r="C128" s="93"/>
      <c r="D128" s="95"/>
      <c r="E128" s="95"/>
      <c r="F128" s="95"/>
      <c r="G128" s="96"/>
      <c r="H128" s="436"/>
      <c r="R128" s="53"/>
      <c r="S128" s="45"/>
    </row>
    <row r="129" spans="1:19" s="29" customFormat="1" ht="15" customHeight="1">
      <c r="A129" s="409">
        <v>10.1</v>
      </c>
      <c r="B129" s="844" t="s">
        <v>382</v>
      </c>
      <c r="C129" s="845"/>
      <c r="D129" s="98">
        <f>VLOOKUP(A129,'Point Allocation'!$A$20:$J$41,MATCH(A7,'Point Allocation'!$A$20:$J$20,0),0)</f>
        <v>4</v>
      </c>
      <c r="E129" s="548"/>
      <c r="F129" s="548"/>
      <c r="G129" s="91">
        <f>IFERROR(SUM(E129:F129)/SUM($E$138:$F$138),0)</f>
        <v>0</v>
      </c>
      <c r="H129" s="437">
        <f>D129*G129</f>
        <v>0</v>
      </c>
      <c r="R129" s="53"/>
      <c r="S129" s="45"/>
    </row>
    <row r="130" spans="1:19" s="29" customFormat="1" ht="32.25" customHeight="1">
      <c r="A130" s="406">
        <v>10.199999999999999</v>
      </c>
      <c r="B130" s="928" t="s">
        <v>353</v>
      </c>
      <c r="C130" s="929"/>
      <c r="D130" s="98">
        <f>VLOOKUP(A130,'Point Allocation'!$A$20:$J$41,MATCH(A7,'Point Allocation'!$A$20:$J$20,0),0)</f>
        <v>4</v>
      </c>
      <c r="E130" s="188"/>
      <c r="F130" s="548"/>
      <c r="G130" s="538">
        <f>IFERROR(SUM(E130:F130)/SUM($E$138:$F$138),0)</f>
        <v>0</v>
      </c>
      <c r="H130" s="437">
        <f>D130*G130</f>
        <v>0</v>
      </c>
      <c r="R130" s="53"/>
      <c r="S130" s="45"/>
    </row>
    <row r="131" spans="1:19" s="29" customFormat="1" ht="15.6">
      <c r="A131" s="439" t="s">
        <v>239</v>
      </c>
      <c r="B131" s="99" t="s">
        <v>262</v>
      </c>
      <c r="C131" s="100"/>
      <c r="D131" s="102"/>
      <c r="E131" s="103"/>
      <c r="F131" s="103"/>
      <c r="G131" s="104"/>
      <c r="H131" s="440"/>
      <c r="R131" s="53"/>
      <c r="S131" s="45"/>
    </row>
    <row r="132" spans="1:19" s="29" customFormat="1" ht="15.6">
      <c r="A132" s="431">
        <v>11</v>
      </c>
      <c r="B132" s="86" t="s">
        <v>263</v>
      </c>
      <c r="C132" s="93"/>
      <c r="D132" s="95"/>
      <c r="E132" s="95"/>
      <c r="F132" s="95"/>
      <c r="G132" s="96"/>
      <c r="H132" s="436"/>
      <c r="R132" s="53"/>
      <c r="S132" s="45"/>
    </row>
    <row r="133" spans="1:19" s="29" customFormat="1">
      <c r="A133" s="409">
        <v>11.1</v>
      </c>
      <c r="B133" s="844" t="s">
        <v>593</v>
      </c>
      <c r="C133" s="845"/>
      <c r="D133" s="98">
        <f>VLOOKUP(A133,'Point Allocation'!$A$20:$J$41,MATCH(A7,'Point Allocation'!$A$20:$J$20,0),0)</f>
        <v>2</v>
      </c>
      <c r="E133" s="548"/>
      <c r="F133" s="548"/>
      <c r="G133" s="538">
        <f>IFERROR(SUM(E133:F133)/SUM($E$138:$F$138),0)</f>
        <v>0</v>
      </c>
      <c r="H133" s="437">
        <f t="shared" ref="H133:H137" si="2">D133*G133</f>
        <v>0</v>
      </c>
      <c r="R133" s="53"/>
      <c r="S133" s="45"/>
    </row>
    <row r="134" spans="1:19" s="29" customFormat="1">
      <c r="A134" s="446">
        <v>11.2</v>
      </c>
      <c r="B134" s="874" t="s">
        <v>344</v>
      </c>
      <c r="C134" s="875"/>
      <c r="D134" s="189">
        <f>VLOOKUP(A133,'Point Allocation'!$A$20:$J$41,MATCH(A7,'Point Allocation'!$A$20:$J$20,0),0)</f>
        <v>2</v>
      </c>
      <c r="E134" s="548"/>
      <c r="F134" s="548"/>
      <c r="G134" s="538">
        <f>IFERROR(SUM(E134:F134)/SUM($E$138:$F$138),0)</f>
        <v>0</v>
      </c>
      <c r="H134" s="437">
        <f t="shared" si="2"/>
        <v>0</v>
      </c>
      <c r="R134" s="53"/>
      <c r="S134" s="45"/>
    </row>
    <row r="135" spans="1:19" s="29" customFormat="1">
      <c r="A135" s="409">
        <v>11.3</v>
      </c>
      <c r="B135" s="874" t="s">
        <v>352</v>
      </c>
      <c r="C135" s="875"/>
      <c r="D135" s="98">
        <f>VLOOKUP(A135,'Point Allocation'!$A$20:$J$41,MATCH(A7,'Point Allocation'!$A$20:$J$20,0),0)</f>
        <v>0</v>
      </c>
      <c r="E135" s="548"/>
      <c r="F135" s="548"/>
      <c r="G135" s="538">
        <f>IFERROR(SUM(E135:F135)/SUM($E$138:$F$138),0)</f>
        <v>0</v>
      </c>
      <c r="H135" s="437">
        <f t="shared" si="2"/>
        <v>0</v>
      </c>
      <c r="R135" s="53"/>
      <c r="S135" s="45"/>
    </row>
    <row r="136" spans="1:19" s="29" customFormat="1">
      <c r="A136" s="447">
        <v>11.4</v>
      </c>
      <c r="B136" s="866"/>
      <c r="C136" s="867"/>
      <c r="D136" s="537"/>
      <c r="E136" s="548"/>
      <c r="F136" s="548"/>
      <c r="G136" s="538">
        <f>IFERROR(SUM(E136:F136)/SUM($E$138:$F$138),0)</f>
        <v>0</v>
      </c>
      <c r="H136" s="437">
        <f t="shared" si="2"/>
        <v>0</v>
      </c>
      <c r="R136" s="53"/>
      <c r="S136" s="45"/>
    </row>
    <row r="137" spans="1:19" s="29" customFormat="1">
      <c r="A137" s="447">
        <v>11.5</v>
      </c>
      <c r="B137" s="866"/>
      <c r="C137" s="867"/>
      <c r="D137" s="537"/>
      <c r="E137" s="548"/>
      <c r="F137" s="548"/>
      <c r="G137" s="538">
        <f>IFERROR(SUM(E137:F137)/SUM($E$138:$F$138),0)</f>
        <v>0</v>
      </c>
      <c r="H137" s="437">
        <f t="shared" si="2"/>
        <v>0</v>
      </c>
      <c r="R137" s="53"/>
      <c r="S137" s="45"/>
    </row>
    <row r="138" spans="1:19" s="29" customFormat="1" ht="15.6">
      <c r="A138" s="412"/>
      <c r="B138" s="325"/>
      <c r="C138" s="323"/>
      <c r="D138" s="330" t="s">
        <v>140</v>
      </c>
      <c r="E138" s="333">
        <f>SUM(E120:E137)</f>
        <v>0</v>
      </c>
      <c r="F138" s="335">
        <f>SUM(F120:F137)</f>
        <v>0</v>
      </c>
      <c r="G138" s="336">
        <f>SUM(G120:G137)</f>
        <v>0</v>
      </c>
      <c r="H138" s="448">
        <f>IFERROR(SUM(H120:H137),0)</f>
        <v>0</v>
      </c>
      <c r="R138" s="53"/>
      <c r="S138" s="45"/>
    </row>
    <row r="139" spans="1:19" s="29" customFormat="1">
      <c r="A139" s="414"/>
      <c r="B139" s="325"/>
      <c r="C139" s="323"/>
      <c r="D139" s="323"/>
      <c r="E139" s="323"/>
      <c r="F139" s="323"/>
      <c r="G139" s="332"/>
      <c r="H139" s="388"/>
      <c r="R139" s="53"/>
      <c r="S139" s="45"/>
    </row>
    <row r="140" spans="1:19" s="29" customFormat="1" ht="46.8">
      <c r="A140" s="868" t="s">
        <v>0</v>
      </c>
      <c r="B140" s="869"/>
      <c r="C140" s="176"/>
      <c r="D140" s="545" t="s">
        <v>58</v>
      </c>
      <c r="E140" s="545" t="s">
        <v>59</v>
      </c>
      <c r="F140" s="870" t="s">
        <v>60</v>
      </c>
      <c r="G140" s="870"/>
      <c r="H140" s="449" t="s">
        <v>63</v>
      </c>
      <c r="K140" s="107" t="s">
        <v>72</v>
      </c>
      <c r="L140" s="107">
        <v>1</v>
      </c>
      <c r="M140" s="107">
        <v>2</v>
      </c>
      <c r="N140" s="107">
        <v>3</v>
      </c>
      <c r="O140" s="107">
        <v>4</v>
      </c>
      <c r="P140" s="107">
        <v>5</v>
      </c>
      <c r="Q140" s="107">
        <v>6</v>
      </c>
      <c r="R140" s="53"/>
      <c r="S140" s="45"/>
    </row>
    <row r="141" spans="1:19" s="29" customFormat="1" ht="15.6">
      <c r="A141" s="450" t="s">
        <v>240</v>
      </c>
      <c r="B141" s="130" t="s">
        <v>148</v>
      </c>
      <c r="C141" s="175"/>
      <c r="D141" s="57"/>
      <c r="E141" s="57"/>
      <c r="F141" s="58"/>
      <c r="G141" s="108"/>
      <c r="H141" s="451"/>
      <c r="K141" s="107" t="s">
        <v>74</v>
      </c>
      <c r="L141" s="107" t="s">
        <v>73</v>
      </c>
      <c r="M141" s="107">
        <v>1</v>
      </c>
      <c r="N141" s="107">
        <v>2</v>
      </c>
      <c r="O141" s="107">
        <v>3</v>
      </c>
      <c r="P141" s="107">
        <v>4</v>
      </c>
      <c r="Q141" s="107">
        <v>4</v>
      </c>
      <c r="R141" s="53"/>
      <c r="S141" s="45"/>
    </row>
    <row r="142" spans="1:19" s="29" customFormat="1">
      <c r="A142" s="391" t="s">
        <v>241</v>
      </c>
      <c r="B142" s="520" t="s">
        <v>442</v>
      </c>
      <c r="C142" s="177" t="s">
        <v>56</v>
      </c>
      <c r="D142" s="854"/>
      <c r="E142" s="854"/>
      <c r="F142" s="892" t="str">
        <f>IF(D142&gt;9,D142/E142," ")</f>
        <v xml:space="preserve"> </v>
      </c>
      <c r="G142" s="892"/>
      <c r="H142" s="437">
        <f>IF(D142="",0,IF(D142&lt;9,2,IF((D142/E142)=0,2,IF((D142/E142)&lt;10%,1.5,IF((D142/E142)&lt;15%,1,IF((D142/E142)&lt;20%,0.5,0))))))</f>
        <v>0</v>
      </c>
      <c r="K142" s="107" t="s">
        <v>75</v>
      </c>
      <c r="L142" s="107" t="s">
        <v>73</v>
      </c>
      <c r="M142" s="107">
        <v>5</v>
      </c>
      <c r="N142" s="107">
        <v>15</v>
      </c>
      <c r="O142" s="107">
        <v>25</v>
      </c>
      <c r="P142" s="107">
        <v>35</v>
      </c>
      <c r="Q142" s="107">
        <v>35</v>
      </c>
      <c r="R142" s="53"/>
      <c r="S142" s="45"/>
    </row>
    <row r="143" spans="1:19" s="29" customFormat="1">
      <c r="A143" s="391" t="s">
        <v>242</v>
      </c>
      <c r="B143" s="520" t="s">
        <v>443</v>
      </c>
      <c r="C143" s="177" t="s">
        <v>57</v>
      </c>
      <c r="D143" s="854"/>
      <c r="E143" s="854"/>
      <c r="F143" s="893"/>
      <c r="G143" s="893"/>
      <c r="H143" s="437">
        <f>IF(E142="",0,IF(E142&lt;15,HLOOKUP(F143,K140:Q147,4,FALSE),IF(E142&lt;45,HLOOKUP(F143,K140:Q147,5,FALSE),IF(E142&lt;90,HLOOKUP(F143,K140:Q147,6,FALSE),IF(E142&lt;135,HLOOKUP(F143,K140:Q147,7,FALSE),IF(E142&gt;=135,HLOOKUP(F143,K140:Q147,8,FALSE),3))))))</f>
        <v>0</v>
      </c>
      <c r="J143" s="55"/>
      <c r="K143" s="107" t="s">
        <v>76</v>
      </c>
      <c r="L143" s="107">
        <v>3</v>
      </c>
      <c r="M143" s="107">
        <v>3</v>
      </c>
      <c r="N143" s="107">
        <v>3</v>
      </c>
      <c r="O143" s="107">
        <v>2.5</v>
      </c>
      <c r="P143" s="107">
        <v>1.5</v>
      </c>
      <c r="Q143" s="107">
        <v>0</v>
      </c>
      <c r="R143" s="53"/>
      <c r="S143" s="45"/>
    </row>
    <row r="144" spans="1:19" s="29" customFormat="1">
      <c r="A144" s="412"/>
      <c r="B144" s="325"/>
      <c r="C144" s="332"/>
      <c r="D144" s="337"/>
      <c r="E144" s="337"/>
      <c r="F144" s="337"/>
      <c r="G144" s="337"/>
      <c r="H144" s="452"/>
      <c r="J144" s="55"/>
      <c r="K144" s="107" t="s">
        <v>77</v>
      </c>
      <c r="L144" s="107">
        <v>3</v>
      </c>
      <c r="M144" s="107">
        <v>3</v>
      </c>
      <c r="N144" s="107">
        <v>2.5</v>
      </c>
      <c r="O144" s="107">
        <v>1.5</v>
      </c>
      <c r="P144" s="107">
        <v>1</v>
      </c>
      <c r="Q144" s="107">
        <v>0</v>
      </c>
      <c r="R144" s="53"/>
      <c r="S144" s="45"/>
    </row>
    <row r="145" spans="1:19" s="29" customFormat="1" ht="15.6">
      <c r="A145" s="412"/>
      <c r="B145" s="338"/>
      <c r="C145" s="332"/>
      <c r="D145" s="332"/>
      <c r="E145" s="332"/>
      <c r="F145" s="323"/>
      <c r="G145" s="339"/>
      <c r="H145" s="453"/>
      <c r="J145" s="55"/>
      <c r="K145" s="107" t="s">
        <v>78</v>
      </c>
      <c r="L145" s="107">
        <v>3</v>
      </c>
      <c r="M145" s="107">
        <v>2.5</v>
      </c>
      <c r="N145" s="107">
        <v>1.5</v>
      </c>
      <c r="O145" s="107">
        <v>1</v>
      </c>
      <c r="P145" s="107">
        <v>0</v>
      </c>
      <c r="Q145" s="107">
        <v>0</v>
      </c>
      <c r="R145" s="53"/>
      <c r="S145" s="45"/>
    </row>
    <row r="146" spans="1:19" s="29" customFormat="1" ht="15.75" customHeight="1">
      <c r="A146" s="876" t="s">
        <v>0</v>
      </c>
      <c r="B146" s="877"/>
      <c r="C146" s="991"/>
      <c r="D146" s="880" t="s">
        <v>4</v>
      </c>
      <c r="E146" s="895" t="s">
        <v>1</v>
      </c>
      <c r="F146" s="881"/>
      <c r="G146" s="896" t="s">
        <v>21</v>
      </c>
      <c r="H146" s="890" t="s">
        <v>63</v>
      </c>
      <c r="J146" s="55"/>
      <c r="K146" s="107" t="s">
        <v>79</v>
      </c>
      <c r="L146" s="107">
        <v>3</v>
      </c>
      <c r="M146" s="107">
        <v>1.5</v>
      </c>
      <c r="N146" s="107">
        <v>1</v>
      </c>
      <c r="O146" s="107">
        <v>0</v>
      </c>
      <c r="P146" s="107">
        <v>0</v>
      </c>
      <c r="Q146" s="107">
        <v>0</v>
      </c>
      <c r="R146" s="53"/>
      <c r="S146" s="45"/>
    </row>
    <row r="147" spans="1:19" s="29" customFormat="1" ht="30" customHeight="1">
      <c r="A147" s="878"/>
      <c r="B147" s="879"/>
      <c r="C147" s="992"/>
      <c r="D147" s="881"/>
      <c r="E147" s="545" t="s">
        <v>65</v>
      </c>
      <c r="F147" s="545" t="s">
        <v>66</v>
      </c>
      <c r="G147" s="897"/>
      <c r="H147" s="891"/>
      <c r="J147" s="55"/>
      <c r="K147" s="107" t="s">
        <v>80</v>
      </c>
      <c r="L147" s="107">
        <v>3</v>
      </c>
      <c r="M147" s="107">
        <v>1</v>
      </c>
      <c r="N147" s="107">
        <v>0</v>
      </c>
      <c r="O147" s="107">
        <v>0</v>
      </c>
      <c r="P147" s="107">
        <v>0</v>
      </c>
      <c r="Q147" s="107">
        <v>0</v>
      </c>
      <c r="R147" s="53"/>
      <c r="S147" s="45"/>
    </row>
    <row r="148" spans="1:19" s="29" customFormat="1" ht="15.6">
      <c r="A148" s="454" t="s">
        <v>243</v>
      </c>
      <c r="B148" s="109" t="s">
        <v>264</v>
      </c>
      <c r="C148" s="110"/>
      <c r="D148" s="110"/>
      <c r="E148" s="110"/>
      <c r="F148" s="114"/>
      <c r="G148" s="115"/>
      <c r="H148" s="455"/>
      <c r="K148" s="107" t="s">
        <v>74</v>
      </c>
      <c r="L148" s="107" t="s">
        <v>73</v>
      </c>
      <c r="M148" s="107">
        <v>1</v>
      </c>
      <c r="N148" s="107">
        <v>2</v>
      </c>
      <c r="O148" s="107">
        <v>3</v>
      </c>
      <c r="P148" s="107">
        <v>4</v>
      </c>
      <c r="Q148" s="107">
        <v>4</v>
      </c>
      <c r="R148" s="53"/>
      <c r="S148" s="45"/>
    </row>
    <row r="149" spans="1:19" s="29" customFormat="1" ht="15.6">
      <c r="A149" s="456" t="s">
        <v>244</v>
      </c>
      <c r="B149" s="158" t="s">
        <v>231</v>
      </c>
      <c r="C149" s="159"/>
      <c r="D149" s="160"/>
      <c r="E149" s="161"/>
      <c r="F149" s="161"/>
      <c r="G149" s="162"/>
      <c r="H149" s="457"/>
      <c r="J149" s="55"/>
      <c r="R149" s="53"/>
      <c r="S149" s="45"/>
    </row>
    <row r="150" spans="1:19" s="29" customFormat="1">
      <c r="A150" s="418" t="s">
        <v>245</v>
      </c>
      <c r="B150" s="885" t="s">
        <v>424</v>
      </c>
      <c r="C150" s="884"/>
      <c r="D150" s="163" t="s">
        <v>51</v>
      </c>
      <c r="E150" s="541">
        <v>2</v>
      </c>
      <c r="F150" s="541">
        <v>3</v>
      </c>
      <c r="G150" s="27"/>
      <c r="H150" s="405">
        <f t="shared" ref="H150:H159" si="3">IF(G150&gt;=80%,F150,IF(G150&lt;65%,0,E150))</f>
        <v>0</v>
      </c>
      <c r="R150" s="53"/>
      <c r="S150" s="45"/>
    </row>
    <row r="151" spans="1:19" s="29" customFormat="1">
      <c r="A151" s="418" t="s">
        <v>246</v>
      </c>
      <c r="B151" s="844" t="s">
        <v>423</v>
      </c>
      <c r="C151" s="845"/>
      <c r="D151" s="164" t="s">
        <v>51</v>
      </c>
      <c r="E151" s="20">
        <v>2</v>
      </c>
      <c r="F151" s="20">
        <v>3</v>
      </c>
      <c r="G151" s="547"/>
      <c r="H151" s="405">
        <f>IF(G151&gt;=80%,F151,IF(G151&lt;65%,0,E151))</f>
        <v>0</v>
      </c>
      <c r="R151" s="53"/>
      <c r="S151" s="45"/>
    </row>
    <row r="152" spans="1:19" s="29" customFormat="1" ht="30">
      <c r="A152" s="839" t="s">
        <v>247</v>
      </c>
      <c r="B152" s="915" t="s">
        <v>448</v>
      </c>
      <c r="C152" s="916"/>
      <c r="D152" s="521" t="s">
        <v>454</v>
      </c>
      <c r="E152" s="907">
        <v>2.5</v>
      </c>
      <c r="F152" s="908"/>
      <c r="G152" s="940"/>
      <c r="H152" s="938">
        <f>IF(G152&gt;=35,E153,IF(G152&gt;=30,E152,0))</f>
        <v>0</v>
      </c>
      <c r="R152" s="53"/>
      <c r="S152" s="45"/>
    </row>
    <row r="153" spans="1:19" s="29" customFormat="1" ht="30">
      <c r="A153" s="841"/>
      <c r="B153" s="917"/>
      <c r="C153" s="918"/>
      <c r="D153" s="521" t="s">
        <v>447</v>
      </c>
      <c r="E153" s="907">
        <v>3</v>
      </c>
      <c r="F153" s="908"/>
      <c r="G153" s="941"/>
      <c r="H153" s="939"/>
      <c r="R153" s="53"/>
      <c r="S153" s="45"/>
    </row>
    <row r="154" spans="1:19" s="29" customFormat="1" ht="31.5" customHeight="1">
      <c r="A154" s="839" t="s">
        <v>248</v>
      </c>
      <c r="B154" s="915" t="s">
        <v>449</v>
      </c>
      <c r="C154" s="933"/>
      <c r="D154" s="165" t="s">
        <v>372</v>
      </c>
      <c r="E154" s="864">
        <v>4</v>
      </c>
      <c r="F154" s="865"/>
      <c r="G154" s="942"/>
      <c r="H154" s="945">
        <f>IF(G154&gt;=80,E154,IF(G154&gt;=70,E155,IF(G154&gt;=60,E156,IF(G154&gt;=50,E157,0))))</f>
        <v>0</v>
      </c>
      <c r="I154" s="913"/>
      <c r="R154" s="53"/>
      <c r="S154" s="45"/>
    </row>
    <row r="155" spans="1:19" s="29" customFormat="1" ht="31.5" customHeight="1">
      <c r="A155" s="840"/>
      <c r="B155" s="934"/>
      <c r="C155" s="935"/>
      <c r="D155" s="165" t="s">
        <v>373</v>
      </c>
      <c r="E155" s="864">
        <v>3</v>
      </c>
      <c r="F155" s="865"/>
      <c r="G155" s="943"/>
      <c r="H155" s="946"/>
      <c r="I155" s="913"/>
      <c r="R155" s="53"/>
      <c r="S155" s="45"/>
    </row>
    <row r="156" spans="1:19" s="29" customFormat="1" ht="31.5" customHeight="1">
      <c r="A156" s="840"/>
      <c r="B156" s="934"/>
      <c r="C156" s="935"/>
      <c r="D156" s="165" t="s">
        <v>411</v>
      </c>
      <c r="E156" s="864">
        <v>2</v>
      </c>
      <c r="F156" s="865"/>
      <c r="G156" s="943"/>
      <c r="H156" s="946"/>
      <c r="I156" s="913"/>
      <c r="R156" s="53"/>
      <c r="S156" s="45"/>
    </row>
    <row r="157" spans="1:19" s="29" customFormat="1" ht="31.5" customHeight="1">
      <c r="A157" s="841"/>
      <c r="B157" s="936"/>
      <c r="C157" s="937"/>
      <c r="D157" s="165" t="s">
        <v>412</v>
      </c>
      <c r="E157" s="864">
        <v>1</v>
      </c>
      <c r="F157" s="865"/>
      <c r="G157" s="944"/>
      <c r="H157" s="947"/>
      <c r="I157" s="913"/>
      <c r="R157" s="53"/>
      <c r="S157" s="45"/>
    </row>
    <row r="158" spans="1:19" s="29" customFormat="1" ht="31.5" customHeight="1">
      <c r="A158" s="839" t="s">
        <v>414</v>
      </c>
      <c r="B158" s="915" t="s">
        <v>444</v>
      </c>
      <c r="C158" s="933"/>
      <c r="D158" s="165" t="s">
        <v>67</v>
      </c>
      <c r="E158" s="376">
        <v>3.5</v>
      </c>
      <c r="F158" s="376">
        <v>4</v>
      </c>
      <c r="G158" s="27"/>
      <c r="H158" s="405">
        <f t="shared" si="3"/>
        <v>0</v>
      </c>
      <c r="I158" s="913"/>
      <c r="R158" s="53"/>
      <c r="S158" s="45"/>
    </row>
    <row r="159" spans="1:19" s="29" customFormat="1" ht="30">
      <c r="A159" s="841"/>
      <c r="B159" s="936"/>
      <c r="C159" s="937"/>
      <c r="D159" s="165" t="s">
        <v>68</v>
      </c>
      <c r="E159" s="376">
        <v>2.5</v>
      </c>
      <c r="F159" s="376">
        <v>3</v>
      </c>
      <c r="G159" s="27"/>
      <c r="H159" s="405">
        <f t="shared" si="3"/>
        <v>0</v>
      </c>
      <c r="R159" s="53"/>
      <c r="S159" s="45"/>
    </row>
    <row r="160" spans="1:19" s="29" customFormat="1">
      <c r="A160" s="522" t="s">
        <v>594</v>
      </c>
      <c r="B160" s="999" t="s">
        <v>421</v>
      </c>
      <c r="C160" s="1000"/>
      <c r="D160" s="523" t="s">
        <v>51</v>
      </c>
      <c r="E160" s="551">
        <v>2</v>
      </c>
      <c r="F160" s="551">
        <v>2.5</v>
      </c>
      <c r="G160" s="27"/>
      <c r="H160" s="298">
        <f>IF(G160&gt;=80%,F160,IF(G160&lt;65%,0,E160))</f>
        <v>0</v>
      </c>
      <c r="R160" s="53"/>
      <c r="S160" s="45"/>
    </row>
    <row r="161" spans="1:19" s="29" customFormat="1" ht="15.6">
      <c r="A161" s="431" t="s">
        <v>249</v>
      </c>
      <c r="B161" s="86" t="s">
        <v>299</v>
      </c>
      <c r="C161" s="93"/>
      <c r="D161" s="160"/>
      <c r="E161" s="161"/>
      <c r="F161" s="161"/>
      <c r="G161" s="162"/>
      <c r="H161" s="457"/>
      <c r="I161" s="172"/>
      <c r="R161" s="53"/>
      <c r="S161" s="45"/>
    </row>
    <row r="162" spans="1:19" s="29" customFormat="1" ht="32.25" customHeight="1">
      <c r="A162" s="418" t="s">
        <v>250</v>
      </c>
      <c r="B162" s="936" t="s">
        <v>597</v>
      </c>
      <c r="C162" s="937"/>
      <c r="D162" s="543" t="s">
        <v>51</v>
      </c>
      <c r="E162" s="541">
        <v>2</v>
      </c>
      <c r="F162" s="541">
        <v>2.5</v>
      </c>
      <c r="G162" s="27"/>
      <c r="H162" s="405">
        <f>IF(G162&gt;=80%,F162,IF(G162&lt;65%,0,E162))</f>
        <v>0</v>
      </c>
      <c r="R162" s="53"/>
      <c r="S162" s="45"/>
    </row>
    <row r="163" spans="1:19" s="29" customFormat="1" ht="29.25" customHeight="1">
      <c r="A163" s="418" t="s">
        <v>251</v>
      </c>
      <c r="B163" s="999" t="s">
        <v>445</v>
      </c>
      <c r="C163" s="1000"/>
      <c r="D163" s="543" t="s">
        <v>51</v>
      </c>
      <c r="E163" s="541">
        <v>2</v>
      </c>
      <c r="F163" s="541">
        <v>2.5</v>
      </c>
      <c r="G163" s="27"/>
      <c r="H163" s="405">
        <f>IF(G163&gt;=80%,F163,IF(G163&lt;65%,0,E163))</f>
        <v>0</v>
      </c>
      <c r="R163" s="53"/>
      <c r="S163" s="45"/>
    </row>
    <row r="164" spans="1:19" s="29" customFormat="1" ht="15.6">
      <c r="A164" s="431">
        <v>15</v>
      </c>
      <c r="B164" s="86" t="s">
        <v>278</v>
      </c>
      <c r="C164" s="93"/>
      <c r="D164" s="160"/>
      <c r="E164" s="161"/>
      <c r="F164" s="161"/>
      <c r="G164" s="162"/>
      <c r="H164" s="457"/>
      <c r="I164" s="172"/>
      <c r="R164" s="53"/>
      <c r="S164" s="45"/>
    </row>
    <row r="165" spans="1:19" s="29" customFormat="1">
      <c r="A165" s="839" t="s">
        <v>252</v>
      </c>
      <c r="B165" s="936" t="s">
        <v>297</v>
      </c>
      <c r="C165" s="937"/>
      <c r="D165" s="919" t="s">
        <v>51</v>
      </c>
      <c r="E165" s="910">
        <v>2.5</v>
      </c>
      <c r="F165" s="910">
        <v>4</v>
      </c>
      <c r="G165" s="899"/>
      <c r="H165" s="945">
        <f>IF(G165&gt;=80%,F165,IF(G165&lt;65%,0,E165))</f>
        <v>0</v>
      </c>
      <c r="I165" s="172"/>
      <c r="R165" s="53"/>
      <c r="S165" s="45"/>
    </row>
    <row r="166" spans="1:19" s="29" customFormat="1" ht="15.6">
      <c r="A166" s="841"/>
      <c r="B166" s="998" t="s">
        <v>298</v>
      </c>
      <c r="C166" s="998"/>
      <c r="D166" s="920"/>
      <c r="E166" s="911"/>
      <c r="F166" s="911"/>
      <c r="G166" s="900"/>
      <c r="H166" s="947"/>
      <c r="I166" s="172"/>
      <c r="R166" s="53"/>
      <c r="S166" s="45"/>
    </row>
    <row r="167" spans="1:19" s="29" customFormat="1">
      <c r="A167" s="839" t="s">
        <v>253</v>
      </c>
      <c r="B167" s="885" t="s">
        <v>146</v>
      </c>
      <c r="C167" s="884"/>
      <c r="D167" s="769" t="s">
        <v>51</v>
      </c>
      <c r="E167" s="906">
        <v>2.5</v>
      </c>
      <c r="F167" s="906">
        <v>4</v>
      </c>
      <c r="G167" s="905"/>
      <c r="H167" s="909">
        <f>IF(G167&gt;=80%,F167,IF(G167&lt;65%,0,E167))</f>
        <v>0</v>
      </c>
      <c r="I167" s="172"/>
      <c r="R167" s="53"/>
      <c r="S167" s="45"/>
    </row>
    <row r="168" spans="1:19" s="29" customFormat="1" ht="15.6">
      <c r="A168" s="841"/>
      <c r="B168" s="998" t="s">
        <v>120</v>
      </c>
      <c r="C168" s="998"/>
      <c r="D168" s="769"/>
      <c r="E168" s="906"/>
      <c r="F168" s="906"/>
      <c r="G168" s="905"/>
      <c r="H168" s="909"/>
      <c r="I168" s="172"/>
      <c r="R168" s="53"/>
      <c r="S168" s="45"/>
    </row>
    <row r="169" spans="1:19" s="29" customFormat="1" ht="15.6">
      <c r="A169" s="443">
        <v>16</v>
      </c>
      <c r="B169" s="106" t="s">
        <v>213</v>
      </c>
      <c r="C169" s="93"/>
      <c r="D169" s="93"/>
      <c r="E169" s="95"/>
      <c r="F169" s="95"/>
      <c r="G169" s="96"/>
      <c r="H169" s="436"/>
      <c r="R169" s="60"/>
      <c r="S169" s="45"/>
    </row>
    <row r="170" spans="1:19" s="29" customFormat="1">
      <c r="A170" s="418" t="s">
        <v>255</v>
      </c>
      <c r="B170" s="826"/>
      <c r="C170" s="821"/>
      <c r="D170" s="111"/>
      <c r="E170" s="537"/>
      <c r="F170" s="537"/>
      <c r="G170" s="67"/>
      <c r="H170" s="542">
        <f>IF(G170&gt;=80%,F170,IF(G170&lt;65%,0,E170))</f>
        <v>0</v>
      </c>
      <c r="R170" s="53"/>
      <c r="S170" s="45"/>
    </row>
    <row r="171" spans="1:19" s="29" customFormat="1">
      <c r="A171" s="418" t="s">
        <v>256</v>
      </c>
      <c r="B171" s="826"/>
      <c r="C171" s="821"/>
      <c r="D171" s="111"/>
      <c r="E171" s="537"/>
      <c r="F171" s="537"/>
      <c r="G171" s="67"/>
      <c r="H171" s="542">
        <f>IF(G171&gt;=80%,F171,IF(G171&lt;65%,0,E171))</f>
        <v>0</v>
      </c>
      <c r="R171" s="53"/>
      <c r="S171" s="45"/>
    </row>
    <row r="172" spans="1:19" s="29" customFormat="1">
      <c r="A172" s="418" t="s">
        <v>257</v>
      </c>
      <c r="B172" s="826"/>
      <c r="C172" s="821"/>
      <c r="D172" s="111"/>
      <c r="E172" s="537"/>
      <c r="F172" s="537"/>
      <c r="G172" s="67"/>
      <c r="H172" s="542">
        <f>IF(G172&gt;=80%,F172,IF(G172&lt;65%,0,E172))</f>
        <v>0</v>
      </c>
      <c r="R172" s="53"/>
      <c r="S172" s="45"/>
    </row>
    <row r="173" spans="1:19" s="29" customFormat="1" ht="15.6">
      <c r="A173" s="425"/>
      <c r="B173" s="325"/>
      <c r="C173" s="323"/>
      <c r="D173" s="323"/>
      <c r="E173" s="323"/>
      <c r="F173" s="327"/>
      <c r="G173" s="328" t="s">
        <v>419</v>
      </c>
      <c r="H173" s="458">
        <f>IFERROR((SUM(H142:H172)),0)</f>
        <v>0</v>
      </c>
      <c r="R173" s="53"/>
      <c r="S173" s="45"/>
    </row>
    <row r="174" spans="1:19" s="29" customFormat="1" ht="15.6" thickBot="1">
      <c r="A174" s="491"/>
      <c r="B174" s="492"/>
      <c r="C174" s="493"/>
      <c r="D174" s="493"/>
      <c r="E174" s="493"/>
      <c r="F174" s="493"/>
      <c r="G174" s="480"/>
      <c r="H174" s="639"/>
      <c r="R174" s="53"/>
      <c r="S174" s="45"/>
    </row>
    <row r="175" spans="1:19" s="29" customFormat="1" ht="30.75" customHeight="1">
      <c r="A175" s="995" t="s">
        <v>0</v>
      </c>
      <c r="B175" s="996"/>
      <c r="C175" s="997"/>
      <c r="D175" s="1011" t="s">
        <v>4</v>
      </c>
      <c r="E175" s="902" t="s">
        <v>1</v>
      </c>
      <c r="F175" s="903"/>
      <c r="G175" s="898" t="s">
        <v>21</v>
      </c>
      <c r="H175" s="888" t="s">
        <v>63</v>
      </c>
      <c r="R175" s="53"/>
      <c r="S175" s="45"/>
    </row>
    <row r="176" spans="1:19" s="29" customFormat="1" ht="15.6">
      <c r="A176" s="878"/>
      <c r="B176" s="879"/>
      <c r="C176" s="992"/>
      <c r="D176" s="1012"/>
      <c r="E176" s="545" t="s">
        <v>121</v>
      </c>
      <c r="F176" s="545" t="s">
        <v>122</v>
      </c>
      <c r="G176" s="870"/>
      <c r="H176" s="889"/>
      <c r="R176" s="53"/>
      <c r="S176" s="45"/>
    </row>
    <row r="177" spans="1:19" s="29" customFormat="1" ht="15.6">
      <c r="A177" s="450" t="s">
        <v>254</v>
      </c>
      <c r="B177" s="109" t="s">
        <v>258</v>
      </c>
      <c r="C177" s="110"/>
      <c r="D177" s="110"/>
      <c r="E177" s="110"/>
      <c r="F177" s="114"/>
      <c r="G177" s="115"/>
      <c r="H177" s="455"/>
      <c r="R177" s="53"/>
      <c r="S177" s="45"/>
    </row>
    <row r="178" spans="1:19" s="29" customFormat="1">
      <c r="A178" s="391" t="s">
        <v>300</v>
      </c>
      <c r="B178" s="885" t="s">
        <v>259</v>
      </c>
      <c r="C178" s="886"/>
      <c r="D178" s="5" t="s">
        <v>51</v>
      </c>
      <c r="E178" s="20">
        <v>-1</v>
      </c>
      <c r="F178" s="20">
        <v>-2</v>
      </c>
      <c r="G178" s="28"/>
      <c r="H178" s="405">
        <f>IF(G178&gt;=30%,F178,IF(G178=0%,0,E178))</f>
        <v>0</v>
      </c>
      <c r="R178" s="53"/>
      <c r="S178" s="45"/>
    </row>
    <row r="179" spans="1:19" s="29" customFormat="1">
      <c r="A179" s="391" t="s">
        <v>301</v>
      </c>
      <c r="B179" s="885" t="s">
        <v>260</v>
      </c>
      <c r="C179" s="886"/>
      <c r="D179" s="5" t="s">
        <v>51</v>
      </c>
      <c r="E179" s="20">
        <v>-1</v>
      </c>
      <c r="F179" s="20">
        <v>-1.5</v>
      </c>
      <c r="G179" s="28"/>
      <c r="H179" s="405">
        <f>IF(G179&gt;=30%,F179,IF(G179=0%,0,E179))</f>
        <v>0</v>
      </c>
      <c r="R179" s="53"/>
      <c r="S179" s="45"/>
    </row>
    <row r="180" spans="1:19" s="29" customFormat="1">
      <c r="A180" s="391" t="s">
        <v>302</v>
      </c>
      <c r="B180" s="885" t="s">
        <v>261</v>
      </c>
      <c r="C180" s="886"/>
      <c r="D180" s="5" t="s">
        <v>51</v>
      </c>
      <c r="E180" s="904">
        <v>-1</v>
      </c>
      <c r="F180" s="904"/>
      <c r="G180" s="547"/>
      <c r="H180" s="405">
        <f>IF(G180&gt;0%,E180,0)</f>
        <v>0</v>
      </c>
      <c r="R180" s="53"/>
      <c r="S180" s="45"/>
    </row>
    <row r="181" spans="1:19" s="29" customFormat="1" ht="15.6">
      <c r="A181" s="425"/>
      <c r="B181" s="325"/>
      <c r="C181" s="323"/>
      <c r="D181" s="323"/>
      <c r="E181" s="323"/>
      <c r="F181" s="327"/>
      <c r="G181" s="328" t="s">
        <v>142</v>
      </c>
      <c r="H181" s="458">
        <f>IFERROR(MAX(SUM(H178:H180),-4),0)</f>
        <v>0</v>
      </c>
      <c r="R181" s="45"/>
      <c r="S181" s="45"/>
    </row>
    <row r="182" spans="1:19" s="29" customFormat="1">
      <c r="A182" s="412"/>
      <c r="B182" s="325"/>
      <c r="C182" s="323"/>
      <c r="D182" s="323"/>
      <c r="E182" s="323"/>
      <c r="F182" s="323"/>
      <c r="G182" s="332"/>
      <c r="H182" s="388"/>
      <c r="R182" s="53"/>
      <c r="S182" s="45"/>
    </row>
    <row r="183" spans="1:19" s="29" customFormat="1" ht="15.6">
      <c r="A183" s="412"/>
      <c r="B183" s="325"/>
      <c r="C183" s="323"/>
      <c r="D183" s="323"/>
      <c r="E183" s="323"/>
      <c r="F183" s="323"/>
      <c r="G183" s="330" t="s">
        <v>141</v>
      </c>
      <c r="H183" s="459">
        <f>IFERROR(MIN(SUM(H115+H138+H173+H181),G86),0)</f>
        <v>0</v>
      </c>
      <c r="R183" s="53"/>
      <c r="S183" s="45"/>
    </row>
    <row r="184" spans="1:19" s="29" customFormat="1" ht="16.2" thickBot="1">
      <c r="A184" s="491"/>
      <c r="B184" s="492"/>
      <c r="C184" s="493"/>
      <c r="D184" s="493"/>
      <c r="E184" s="493"/>
      <c r="F184" s="493"/>
      <c r="G184" s="494"/>
      <c r="H184" s="495"/>
      <c r="R184" s="53"/>
      <c r="S184" s="45"/>
    </row>
    <row r="185" spans="1:19" s="29" customFormat="1" ht="15.6">
      <c r="A185" s="481" t="s">
        <v>64</v>
      </c>
      <c r="B185" s="482"/>
      <c r="C185" s="482"/>
      <c r="D185" s="482"/>
      <c r="E185" s="482"/>
      <c r="F185" s="483" t="s">
        <v>43</v>
      </c>
      <c r="G185" s="484">
        <f>VLOOKUP($A$7,'Manpower allocation'!A4:D11,4,FALSE)*100</f>
        <v>15</v>
      </c>
      <c r="H185" s="485" t="s">
        <v>42</v>
      </c>
      <c r="J185" s="112">
        <f>VLOOKUP($A$7,'Manpower allocation'!A4:D11,4,FALSE)*100</f>
        <v>15</v>
      </c>
      <c r="R185" s="53"/>
      <c r="S185" s="45"/>
    </row>
    <row r="186" spans="1:19" s="29" customFormat="1" ht="15.6">
      <c r="A186" s="412"/>
      <c r="B186" s="331"/>
      <c r="C186" s="323"/>
      <c r="D186" s="323"/>
      <c r="E186" s="323"/>
      <c r="F186" s="323"/>
      <c r="G186" s="332"/>
      <c r="H186" s="388"/>
      <c r="R186" s="53"/>
      <c r="S186" s="45"/>
    </row>
    <row r="187" spans="1:19" s="29" customFormat="1" ht="46.8">
      <c r="A187" s="993" t="s">
        <v>0</v>
      </c>
      <c r="B187" s="994"/>
      <c r="C187" s="113"/>
      <c r="D187" s="539" t="s">
        <v>17</v>
      </c>
      <c r="E187" s="539" t="s">
        <v>125</v>
      </c>
      <c r="F187" s="539" t="s">
        <v>109</v>
      </c>
      <c r="G187" s="539" t="s">
        <v>18</v>
      </c>
      <c r="H187" s="544" t="s">
        <v>63</v>
      </c>
      <c r="R187" s="53"/>
      <c r="S187" s="45"/>
    </row>
    <row r="188" spans="1:19" s="29" customFormat="1" ht="15.6">
      <c r="A188" s="454" t="s">
        <v>265</v>
      </c>
      <c r="B188" s="109" t="s">
        <v>358</v>
      </c>
      <c r="C188" s="110"/>
      <c r="D188" s="110"/>
      <c r="E188" s="110"/>
      <c r="F188" s="114"/>
      <c r="G188" s="115"/>
      <c r="H188" s="455"/>
      <c r="R188" s="53"/>
      <c r="S188" s="45"/>
    </row>
    <row r="189" spans="1:19" s="29" customFormat="1" ht="15.6">
      <c r="A189" s="460">
        <v>1</v>
      </c>
      <c r="B189" s="116" t="s">
        <v>338</v>
      </c>
      <c r="C189" s="117"/>
      <c r="D189" s="118"/>
      <c r="E189" s="118"/>
      <c r="F189" s="118"/>
      <c r="G189" s="118"/>
      <c r="H189" s="461"/>
      <c r="R189" s="53"/>
      <c r="S189" s="45"/>
    </row>
    <row r="190" spans="1:19" s="29" customFormat="1">
      <c r="A190" s="409">
        <v>1.1000000000000001</v>
      </c>
      <c r="B190" s="844" t="s">
        <v>290</v>
      </c>
      <c r="C190" s="845"/>
      <c r="D190" s="20">
        <f>VLOOKUP(A190,'Point Allocation'!$A$46:$J$55,MATCH(A7,'Point Allocation'!$A$46:$J$46,0),0)</f>
        <v>15</v>
      </c>
      <c r="E190" s="38"/>
      <c r="F190" s="38"/>
      <c r="G190" s="31">
        <f>MIN(IFERROR(F190/E190,0),100%)</f>
        <v>0</v>
      </c>
      <c r="H190" s="405">
        <f>D190*G190</f>
        <v>0</v>
      </c>
      <c r="R190" s="53"/>
      <c r="S190" s="45"/>
    </row>
    <row r="191" spans="1:19" s="29" customFormat="1" ht="15.6">
      <c r="A191" s="462">
        <v>2</v>
      </c>
      <c r="B191" s="119" t="s">
        <v>339</v>
      </c>
      <c r="C191" s="120"/>
      <c r="D191" s="32"/>
      <c r="E191" s="33"/>
      <c r="F191" s="33"/>
      <c r="G191" s="34"/>
      <c r="H191" s="463"/>
      <c r="R191" s="53"/>
      <c r="S191" s="45"/>
    </row>
    <row r="192" spans="1:19" s="29" customFormat="1" ht="33" customHeight="1">
      <c r="A192" s="464">
        <v>2.1</v>
      </c>
      <c r="B192" s="969" t="s">
        <v>266</v>
      </c>
      <c r="C192" s="971"/>
      <c r="D192" s="20">
        <f>VLOOKUP(A192,'Point Allocation'!$A$46:$J$55,MATCH(A7,'Point Allocation'!$A$46:$J$46,0),0)</f>
        <v>12</v>
      </c>
      <c r="E192" s="38"/>
      <c r="F192" s="38"/>
      <c r="G192" s="31">
        <f>MIN(IFERROR(F192/E192,0),100%)</f>
        <v>0</v>
      </c>
      <c r="H192" s="405">
        <f>D192*G192</f>
        <v>0</v>
      </c>
      <c r="R192" s="53"/>
      <c r="S192" s="45"/>
    </row>
    <row r="193" spans="1:19" s="29" customFormat="1" ht="15.6">
      <c r="A193" s="460">
        <v>3</v>
      </c>
      <c r="B193" s="116" t="s">
        <v>343</v>
      </c>
      <c r="C193" s="121"/>
      <c r="D193" s="35"/>
      <c r="E193" s="35"/>
      <c r="F193" s="35"/>
      <c r="G193" s="34"/>
      <c r="H193" s="465"/>
      <c r="R193" s="53"/>
      <c r="S193" s="45"/>
    </row>
    <row r="194" spans="1:19" s="29" customFormat="1">
      <c r="A194" s="466">
        <v>3.1</v>
      </c>
      <c r="B194" s="850" t="s">
        <v>451</v>
      </c>
      <c r="C194" s="851"/>
      <c r="D194" s="20">
        <f>VLOOKUP(A194,'Point Allocation'!$A$46:$J$55,MATCH(A7,'Point Allocation'!$A$46:$J$46,0),0)</f>
        <v>4</v>
      </c>
      <c r="E194" s="38"/>
      <c r="F194" s="38"/>
      <c r="G194" s="31">
        <f>MIN(IFERROR(F194/E194,0),100%)</f>
        <v>0</v>
      </c>
      <c r="H194" s="405">
        <f>D194*G194</f>
        <v>0</v>
      </c>
      <c r="R194" s="53"/>
      <c r="S194" s="45"/>
    </row>
    <row r="195" spans="1:19" s="29" customFormat="1" ht="32.25" customHeight="1">
      <c r="A195" s="466">
        <v>3.2</v>
      </c>
      <c r="B195" s="850" t="s">
        <v>452</v>
      </c>
      <c r="C195" s="851"/>
      <c r="D195" s="20">
        <f>VLOOKUP(A195,'Point Allocation'!$A$46:$J$55,MATCH(A7,'Point Allocation'!$A$46:$J$46,0),0)</f>
        <v>4</v>
      </c>
      <c r="E195" s="178"/>
      <c r="F195" s="38"/>
      <c r="G195" s="31">
        <f>MIN(IFERROR(F195/E195,0),100%)</f>
        <v>0</v>
      </c>
      <c r="H195" s="405">
        <f>D195*G195</f>
        <v>0</v>
      </c>
      <c r="R195" s="53"/>
      <c r="S195" s="45"/>
    </row>
    <row r="196" spans="1:19" s="29" customFormat="1" ht="32.25" customHeight="1">
      <c r="A196" s="404">
        <v>3.3</v>
      </c>
      <c r="B196" s="885" t="s">
        <v>170</v>
      </c>
      <c r="C196" s="886"/>
      <c r="D196" s="20">
        <f>VLOOKUP(A196,'Point Allocation'!$A$46:$J$55,MATCH(A7,'Point Allocation'!$A$46:$J$46,0),0)</f>
        <v>4</v>
      </c>
      <c r="E196" s="179"/>
      <c r="F196" s="536"/>
      <c r="G196" s="31">
        <f>MIN(IFERROR(F196/E196,0),100%)</f>
        <v>0</v>
      </c>
      <c r="H196" s="405">
        <f>D196*G196</f>
        <v>0</v>
      </c>
      <c r="R196" s="53"/>
      <c r="S196" s="45"/>
    </row>
    <row r="197" spans="1:19" s="29" customFormat="1" ht="15.6">
      <c r="A197" s="412"/>
      <c r="B197" s="325"/>
      <c r="C197" s="323"/>
      <c r="D197" s="324" t="s">
        <v>6</v>
      </c>
      <c r="E197" s="300">
        <f>MAX(SUM(E190:E196),F197)</f>
        <v>0</v>
      </c>
      <c r="F197" s="300">
        <f>SUM(F190:F196)</f>
        <v>0</v>
      </c>
      <c r="G197" s="340">
        <f>IFERROR(MIN(F197/E197,100%),0)</f>
        <v>0</v>
      </c>
      <c r="H197" s="413">
        <f>IFERROR(SUM(H190:H196),0)</f>
        <v>0</v>
      </c>
      <c r="R197" s="53"/>
      <c r="S197" s="45"/>
    </row>
    <row r="198" spans="1:19" s="29" customFormat="1" ht="15.6">
      <c r="A198" s="412"/>
      <c r="B198" s="338"/>
      <c r="C198" s="341"/>
      <c r="D198" s="342"/>
      <c r="E198" s="341"/>
      <c r="F198" s="341"/>
      <c r="G198" s="343"/>
      <c r="H198" s="467"/>
      <c r="R198" s="53"/>
      <c r="S198" s="45"/>
    </row>
    <row r="199" spans="1:19" s="29" customFormat="1" ht="15.6">
      <c r="A199" s="993" t="s">
        <v>0</v>
      </c>
      <c r="B199" s="994"/>
      <c r="C199" s="982"/>
      <c r="D199" s="901" t="s">
        <v>4</v>
      </c>
      <c r="E199" s="901" t="s">
        <v>1</v>
      </c>
      <c r="F199" s="901"/>
      <c r="G199" s="894" t="s">
        <v>21</v>
      </c>
      <c r="H199" s="887" t="s">
        <v>63</v>
      </c>
      <c r="R199" s="53"/>
      <c r="S199" s="45"/>
    </row>
    <row r="200" spans="1:19" s="29" customFormat="1" ht="30.75" customHeight="1">
      <c r="A200" s="1007"/>
      <c r="B200" s="1008"/>
      <c r="C200" s="983"/>
      <c r="D200" s="901"/>
      <c r="E200" s="539" t="s">
        <v>65</v>
      </c>
      <c r="F200" s="539" t="s">
        <v>66</v>
      </c>
      <c r="G200" s="894"/>
      <c r="H200" s="887"/>
      <c r="R200" s="53"/>
      <c r="S200" s="45"/>
    </row>
    <row r="201" spans="1:19" s="29" customFormat="1" ht="15.6">
      <c r="A201" s="415" t="s">
        <v>271</v>
      </c>
      <c r="B201" s="46" t="s">
        <v>272</v>
      </c>
      <c r="C201" s="57"/>
      <c r="D201" s="57"/>
      <c r="E201" s="57"/>
      <c r="F201" s="58"/>
      <c r="G201" s="108"/>
      <c r="H201" s="451"/>
      <c r="R201" s="53"/>
      <c r="S201" s="45"/>
    </row>
    <row r="202" spans="1:19" s="29" customFormat="1" ht="15.6">
      <c r="A202" s="468">
        <v>4</v>
      </c>
      <c r="B202" s="122" t="s">
        <v>341</v>
      </c>
      <c r="C202" s="120"/>
      <c r="D202" s="123"/>
      <c r="E202" s="124"/>
      <c r="F202" s="124"/>
      <c r="G202" s="125"/>
      <c r="H202" s="469"/>
      <c r="R202" s="53"/>
      <c r="S202" s="45"/>
    </row>
    <row r="203" spans="1:19" s="29" customFormat="1">
      <c r="A203" s="409">
        <v>4.0999999999999996</v>
      </c>
      <c r="B203" s="844" t="s">
        <v>164</v>
      </c>
      <c r="C203" s="845"/>
      <c r="D203" s="5" t="s">
        <v>51</v>
      </c>
      <c r="E203" s="20" t="s">
        <v>50</v>
      </c>
      <c r="F203" s="20">
        <f>VLOOKUP(A203,'Point Allocation'!$A$46:$J$55,MATCH(A7,'Point Allocation'!$A$46:$J$46,0),0)</f>
        <v>1.5</v>
      </c>
      <c r="G203" s="547"/>
      <c r="H203" s="405">
        <f>IF(G203&gt;=80%,F203,0)</f>
        <v>0</v>
      </c>
      <c r="R203" s="53"/>
      <c r="S203" s="45"/>
    </row>
    <row r="204" spans="1:19" s="29" customFormat="1">
      <c r="A204" s="409">
        <v>4.2</v>
      </c>
      <c r="B204" s="844" t="s">
        <v>161</v>
      </c>
      <c r="C204" s="845"/>
      <c r="D204" s="5" t="s">
        <v>51</v>
      </c>
      <c r="E204" s="20" t="s">
        <v>50</v>
      </c>
      <c r="F204" s="20">
        <f>VLOOKUP(A204,'Point Allocation'!$A$46:$J$55,MATCH(A7,'Point Allocation'!$A$46:$J$46,0),0)</f>
        <v>1.5</v>
      </c>
      <c r="G204" s="547"/>
      <c r="H204" s="405">
        <f>IF(G204&gt;=80%,F204,0)</f>
        <v>0</v>
      </c>
      <c r="R204" s="53"/>
      <c r="S204" s="45"/>
    </row>
    <row r="205" spans="1:19" s="29" customFormat="1">
      <c r="A205" s="409">
        <v>4.3</v>
      </c>
      <c r="B205" s="844" t="s">
        <v>155</v>
      </c>
      <c r="C205" s="845"/>
      <c r="D205" s="5" t="s">
        <v>3</v>
      </c>
      <c r="E205" s="20" t="s">
        <v>50</v>
      </c>
      <c r="F205" s="20">
        <f>VLOOKUP(A205,'Point Allocation'!$A$46:$J$55,MATCH(A7,'Point Allocation'!$A$46:$J$46,0),0)</f>
        <v>1.5</v>
      </c>
      <c r="G205" s="547"/>
      <c r="H205" s="405">
        <f>IF(G205&gt;=80%,F205,0)</f>
        <v>0</v>
      </c>
      <c r="R205" s="53"/>
      <c r="S205" s="45"/>
    </row>
    <row r="206" spans="1:19" s="29" customFormat="1">
      <c r="A206" s="470">
        <v>4.4000000000000004</v>
      </c>
      <c r="B206" s="874" t="s">
        <v>270</v>
      </c>
      <c r="C206" s="875"/>
      <c r="D206" s="5" t="s">
        <v>3</v>
      </c>
      <c r="E206" s="20" t="s">
        <v>50</v>
      </c>
      <c r="F206" s="20">
        <f>VLOOKUP(A206,'Point Allocation'!$A$46:$J$55,MATCH(A7,'Point Allocation'!$A$46:$J$46,0),0)</f>
        <v>1.5</v>
      </c>
      <c r="G206" s="547"/>
      <c r="H206" s="405">
        <f>IF(G206&gt;=80%,F206,0)</f>
        <v>0</v>
      </c>
      <c r="R206" s="53"/>
      <c r="S206" s="45"/>
    </row>
    <row r="207" spans="1:19" s="29" customFormat="1" ht="15.6">
      <c r="A207" s="468">
        <v>5</v>
      </c>
      <c r="B207" s="122" t="s">
        <v>213</v>
      </c>
      <c r="C207" s="120"/>
      <c r="D207" s="126"/>
      <c r="E207" s="127"/>
      <c r="F207" s="127"/>
      <c r="G207" s="128"/>
      <c r="H207" s="471"/>
      <c r="R207" s="53"/>
      <c r="S207" s="45"/>
    </row>
    <row r="208" spans="1:19" s="29" customFormat="1">
      <c r="A208" s="411">
        <v>5.0999999999999996</v>
      </c>
      <c r="B208" s="826"/>
      <c r="C208" s="847"/>
      <c r="D208" s="530"/>
      <c r="E208" s="536"/>
      <c r="F208" s="536"/>
      <c r="G208" s="547"/>
      <c r="H208" s="542">
        <f>IF(G208&gt;=80%,F208,IF(G208&lt;65%,0,E208))</f>
        <v>0</v>
      </c>
      <c r="R208" s="53"/>
      <c r="S208" s="45"/>
    </row>
    <row r="209" spans="1:19" s="29" customFormat="1">
      <c r="A209" s="411">
        <v>5.2</v>
      </c>
      <c r="B209" s="826"/>
      <c r="C209" s="847"/>
      <c r="D209" s="530"/>
      <c r="E209" s="536"/>
      <c r="F209" s="536"/>
      <c r="G209" s="547"/>
      <c r="H209" s="542">
        <f>IF(G209&gt;=80%,F209,IF(G209&lt;65%,0,E209))</f>
        <v>0</v>
      </c>
      <c r="R209" s="53"/>
      <c r="S209" s="45"/>
    </row>
    <row r="210" spans="1:19" s="29" customFormat="1">
      <c r="A210" s="411">
        <v>5.3</v>
      </c>
      <c r="B210" s="826"/>
      <c r="C210" s="847"/>
      <c r="D210" s="530"/>
      <c r="E210" s="536"/>
      <c r="F210" s="536"/>
      <c r="G210" s="547"/>
      <c r="H210" s="542">
        <f>IF(G210&gt;=80%,F210,IF(G210&lt;65%,0,E210))</f>
        <v>0</v>
      </c>
      <c r="R210" s="53"/>
      <c r="S210" s="45"/>
    </row>
    <row r="211" spans="1:19" s="29" customFormat="1" ht="15.6">
      <c r="A211" s="412"/>
      <c r="B211" s="344"/>
      <c r="C211" s="344"/>
      <c r="D211" s="332"/>
      <c r="E211" s="332"/>
      <c r="F211" s="332"/>
      <c r="G211" s="330" t="s">
        <v>7</v>
      </c>
      <c r="H211" s="445">
        <f>IFERROR(SUM(H203:H206,H208:H210),0)</f>
        <v>0</v>
      </c>
      <c r="R211" s="53"/>
      <c r="S211" s="45"/>
    </row>
    <row r="212" spans="1:19" s="29" customFormat="1">
      <c r="A212" s="412"/>
      <c r="B212" s="325"/>
      <c r="C212" s="323"/>
      <c r="D212" s="323"/>
      <c r="E212" s="323"/>
      <c r="F212" s="323"/>
      <c r="G212" s="332"/>
      <c r="H212" s="388"/>
      <c r="R212" s="53"/>
      <c r="S212" s="45"/>
    </row>
    <row r="213" spans="1:19" s="29" customFormat="1" ht="15.6">
      <c r="A213" s="993" t="s">
        <v>0</v>
      </c>
      <c r="B213" s="994"/>
      <c r="C213" s="982"/>
      <c r="D213" s="894" t="s">
        <v>4</v>
      </c>
      <c r="E213" s="901" t="s">
        <v>1</v>
      </c>
      <c r="F213" s="901"/>
      <c r="G213" s="894" t="s">
        <v>21</v>
      </c>
      <c r="H213" s="887" t="s">
        <v>63</v>
      </c>
      <c r="R213" s="53"/>
      <c r="S213" s="45"/>
    </row>
    <row r="214" spans="1:19" s="29" customFormat="1" ht="31.2">
      <c r="A214" s="1007"/>
      <c r="B214" s="1008"/>
      <c r="C214" s="983"/>
      <c r="D214" s="901"/>
      <c r="E214" s="539" t="s">
        <v>65</v>
      </c>
      <c r="F214" s="539" t="s">
        <v>66</v>
      </c>
      <c r="G214" s="894"/>
      <c r="H214" s="887"/>
      <c r="R214" s="53"/>
      <c r="S214" s="45"/>
    </row>
    <row r="215" spans="1:19" s="29" customFormat="1" ht="15.6">
      <c r="A215" s="454" t="s">
        <v>273</v>
      </c>
      <c r="B215" s="109" t="s">
        <v>234</v>
      </c>
      <c r="C215" s="129"/>
      <c r="D215" s="130"/>
      <c r="E215" s="130"/>
      <c r="F215" s="131"/>
      <c r="G215" s="132"/>
      <c r="H215" s="472"/>
      <c r="R215" s="53"/>
      <c r="S215" s="45"/>
    </row>
    <row r="216" spans="1:19" s="29" customFormat="1" ht="15.6">
      <c r="A216" s="391" t="s">
        <v>199</v>
      </c>
      <c r="B216" s="844" t="s">
        <v>274</v>
      </c>
      <c r="C216" s="845"/>
      <c r="D216" s="98" t="s">
        <v>2</v>
      </c>
      <c r="E216" s="98">
        <v>1</v>
      </c>
      <c r="F216" s="98">
        <v>2</v>
      </c>
      <c r="G216" s="67"/>
      <c r="H216" s="437">
        <f>IF(G216&gt;=80%,F216,IF(G216&lt;65%,0,E216))</f>
        <v>0</v>
      </c>
      <c r="K216" s="135"/>
      <c r="R216" s="53"/>
      <c r="S216" s="45"/>
    </row>
    <row r="217" spans="1:19" s="29" customFormat="1" ht="31.5" customHeight="1">
      <c r="A217" s="473" t="s">
        <v>200</v>
      </c>
      <c r="B217" s="960" t="s">
        <v>275</v>
      </c>
      <c r="C217" s="962"/>
      <c r="D217" s="98" t="s">
        <v>51</v>
      </c>
      <c r="E217" s="98">
        <v>0.5</v>
      </c>
      <c r="F217" s="98">
        <v>1</v>
      </c>
      <c r="G217" s="67"/>
      <c r="H217" s="437">
        <f>IF(G217&gt;=80%,F217,IF(G217&lt;65%,0,E217))</f>
        <v>0</v>
      </c>
      <c r="R217" s="53"/>
      <c r="S217" s="45"/>
    </row>
    <row r="218" spans="1:19" s="29" customFormat="1" ht="15.6">
      <c r="A218" s="412"/>
      <c r="B218" s="325"/>
      <c r="C218" s="323"/>
      <c r="D218" s="323"/>
      <c r="E218" s="323"/>
      <c r="F218" s="326"/>
      <c r="G218" s="330" t="s">
        <v>110</v>
      </c>
      <c r="H218" s="474">
        <f>IFERROR(SUM(H216:H217),0)</f>
        <v>0</v>
      </c>
      <c r="R218" s="53"/>
      <c r="S218" s="45"/>
    </row>
    <row r="219" spans="1:19" s="29" customFormat="1">
      <c r="A219" s="412"/>
      <c r="B219" s="325"/>
      <c r="C219" s="323"/>
      <c r="D219" s="323"/>
      <c r="E219" s="323"/>
      <c r="F219" s="323"/>
      <c r="G219" s="332"/>
      <c r="H219" s="388"/>
      <c r="R219" s="53"/>
      <c r="S219" s="45"/>
    </row>
    <row r="220" spans="1:19" s="29" customFormat="1" ht="15.6">
      <c r="A220" s="412"/>
      <c r="B220" s="325"/>
      <c r="C220" s="323"/>
      <c r="D220" s="323"/>
      <c r="E220" s="323"/>
      <c r="F220" s="323"/>
      <c r="G220" s="330" t="s">
        <v>111</v>
      </c>
      <c r="H220" s="474">
        <f>IFERROR(MIN(SUM(H197+H211+H218),G185),0)</f>
        <v>0</v>
      </c>
      <c r="R220" s="53"/>
      <c r="S220" s="45"/>
    </row>
    <row r="221" spans="1:19" s="29" customFormat="1" ht="16.2" thickBot="1">
      <c r="A221" s="491"/>
      <c r="B221" s="492"/>
      <c r="C221" s="493"/>
      <c r="D221" s="493"/>
      <c r="E221" s="493"/>
      <c r="F221" s="493"/>
      <c r="G221" s="496"/>
      <c r="H221" s="495"/>
      <c r="R221" s="53"/>
      <c r="S221" s="45"/>
    </row>
    <row r="222" spans="1:19" s="29" customFormat="1" ht="15.6">
      <c r="A222" s="633" t="s">
        <v>137</v>
      </c>
      <c r="B222" s="634"/>
      <c r="C222" s="634"/>
      <c r="D222" s="634"/>
      <c r="E222" s="634"/>
      <c r="F222" s="635" t="s">
        <v>43</v>
      </c>
      <c r="G222" s="636">
        <v>20</v>
      </c>
      <c r="H222" s="637" t="s">
        <v>42</v>
      </c>
      <c r="R222" s="53"/>
      <c r="S222" s="45"/>
    </row>
    <row r="223" spans="1:19" s="29" customFormat="1" ht="15.6">
      <c r="A223" s="412"/>
      <c r="B223" s="347"/>
      <c r="C223" s="323"/>
      <c r="D223" s="323"/>
      <c r="E223" s="323"/>
      <c r="F223" s="323"/>
      <c r="G223" s="332"/>
      <c r="H223" s="388"/>
      <c r="R223" s="53"/>
      <c r="S223" s="45"/>
    </row>
    <row r="224" spans="1:19" s="29" customFormat="1" ht="33" customHeight="1">
      <c r="A224" s="1009" t="s">
        <v>0</v>
      </c>
      <c r="B224" s="1010"/>
      <c r="C224" s="136"/>
      <c r="D224" s="136"/>
      <c r="E224" s="137" t="s">
        <v>4</v>
      </c>
      <c r="F224" s="137" t="s">
        <v>70</v>
      </c>
      <c r="G224" s="138" t="s">
        <v>21</v>
      </c>
      <c r="H224" s="475" t="s">
        <v>63</v>
      </c>
      <c r="R224" s="53"/>
      <c r="S224" s="45"/>
    </row>
    <row r="225" spans="1:19" s="29" customFormat="1" ht="15.6">
      <c r="A225" s="454" t="s">
        <v>276</v>
      </c>
      <c r="B225" s="109" t="s">
        <v>277</v>
      </c>
      <c r="C225" s="110"/>
      <c r="D225" s="110"/>
      <c r="E225" s="110"/>
      <c r="F225" s="58"/>
      <c r="G225" s="139"/>
      <c r="H225" s="476"/>
      <c r="J225" s="134"/>
      <c r="R225" s="53"/>
      <c r="S225" s="45"/>
    </row>
    <row r="226" spans="1:19" s="29" customFormat="1" ht="15.6">
      <c r="A226" s="411">
        <v>1.1000000000000001</v>
      </c>
      <c r="B226" s="836" t="s">
        <v>123</v>
      </c>
      <c r="C226" s="837"/>
      <c r="D226" s="838"/>
      <c r="E226" s="167"/>
      <c r="F226" s="140"/>
      <c r="G226" s="141"/>
      <c r="H226" s="441">
        <f t="shared" ref="H226:H231" si="4">F226*G226</f>
        <v>0</v>
      </c>
      <c r="R226" s="53"/>
      <c r="S226" s="45"/>
    </row>
    <row r="227" spans="1:19" s="29" customFormat="1" ht="15.6">
      <c r="A227" s="406">
        <v>1.2</v>
      </c>
      <c r="B227" s="1004" t="s">
        <v>124</v>
      </c>
      <c r="C227" s="1005"/>
      <c r="D227" s="1006"/>
      <c r="E227" s="167"/>
      <c r="F227" s="140"/>
      <c r="G227" s="141"/>
      <c r="H227" s="441">
        <f t="shared" si="4"/>
        <v>0</v>
      </c>
      <c r="R227" s="53"/>
      <c r="S227" s="45"/>
    </row>
    <row r="228" spans="1:19" s="29" customFormat="1" ht="15.6">
      <c r="A228" s="411">
        <v>1.3</v>
      </c>
      <c r="B228" s="836" t="s">
        <v>115</v>
      </c>
      <c r="C228" s="837"/>
      <c r="D228" s="838"/>
      <c r="E228" s="167"/>
      <c r="F228" s="140"/>
      <c r="G228" s="141"/>
      <c r="H228" s="441">
        <f t="shared" si="4"/>
        <v>0</v>
      </c>
      <c r="R228" s="53"/>
      <c r="S228" s="45"/>
    </row>
    <row r="229" spans="1:19" s="29" customFormat="1" ht="15.6">
      <c r="A229" s="411">
        <v>1.4</v>
      </c>
      <c r="B229" s="836" t="s">
        <v>305</v>
      </c>
      <c r="C229" s="837"/>
      <c r="D229" s="838"/>
      <c r="E229" s="167"/>
      <c r="F229" s="140"/>
      <c r="G229" s="141"/>
      <c r="H229" s="441">
        <f t="shared" si="4"/>
        <v>0</v>
      </c>
      <c r="R229" s="53"/>
      <c r="S229" s="45"/>
    </row>
    <row r="230" spans="1:19" s="29" customFormat="1" ht="15.6">
      <c r="A230" s="411">
        <v>1.5</v>
      </c>
      <c r="B230" s="836"/>
      <c r="C230" s="837"/>
      <c r="D230" s="838"/>
      <c r="E230" s="167"/>
      <c r="F230" s="140"/>
      <c r="G230" s="141"/>
      <c r="H230" s="441">
        <f t="shared" si="4"/>
        <v>0</v>
      </c>
      <c r="R230" s="53"/>
      <c r="S230" s="45"/>
    </row>
    <row r="231" spans="1:19" s="29" customFormat="1" ht="15.6">
      <c r="A231" s="411">
        <v>1.6</v>
      </c>
      <c r="B231" s="836"/>
      <c r="C231" s="837"/>
      <c r="D231" s="838"/>
      <c r="E231" s="111"/>
      <c r="F231" s="142"/>
      <c r="G231" s="67"/>
      <c r="H231" s="441">
        <f t="shared" si="4"/>
        <v>0</v>
      </c>
      <c r="R231" s="53"/>
      <c r="S231" s="45"/>
    </row>
    <row r="232" spans="1:19" s="29" customFormat="1" ht="15.6">
      <c r="A232" s="454" t="s">
        <v>279</v>
      </c>
      <c r="B232" s="109" t="s">
        <v>278</v>
      </c>
      <c r="C232" s="110"/>
      <c r="D232" s="110"/>
      <c r="E232" s="110"/>
      <c r="F232" s="58"/>
      <c r="G232" s="139"/>
      <c r="H232" s="476"/>
      <c r="R232" s="53"/>
      <c r="S232" s="45"/>
    </row>
    <row r="233" spans="1:19" s="29" customFormat="1">
      <c r="A233" s="447">
        <v>2.1</v>
      </c>
      <c r="B233" s="1001" t="s">
        <v>138</v>
      </c>
      <c r="C233" s="1002"/>
      <c r="D233" s="1003"/>
      <c r="E233" s="157" t="s">
        <v>410</v>
      </c>
      <c r="F233" s="527">
        <v>2</v>
      </c>
      <c r="G233" s="528"/>
      <c r="H233" s="441">
        <f>IFERROR(VLOOKUP(E233,K234:L237,2,FALSE),0)</f>
        <v>0</v>
      </c>
      <c r="K233" s="29" t="s">
        <v>410</v>
      </c>
      <c r="L233" s="29">
        <v>0</v>
      </c>
      <c r="R233" s="53"/>
      <c r="S233" s="45"/>
    </row>
    <row r="234" spans="1:19" s="29" customFormat="1" ht="15.6">
      <c r="A234" s="412"/>
      <c r="B234" s="322"/>
      <c r="C234" s="323"/>
      <c r="D234" s="323"/>
      <c r="E234" s="323"/>
      <c r="F234" s="323"/>
      <c r="G234" s="330" t="s">
        <v>139</v>
      </c>
      <c r="H234" s="477">
        <f>IFERROR(MIN(SUM(H226:H233),G222),0)</f>
        <v>0</v>
      </c>
      <c r="K234" s="29" t="s">
        <v>406</v>
      </c>
      <c r="L234" s="29">
        <v>2</v>
      </c>
      <c r="R234" s="45"/>
      <c r="S234" s="45"/>
    </row>
    <row r="235" spans="1:19" s="29" customFormat="1">
      <c r="A235" s="412"/>
      <c r="B235" s="325"/>
      <c r="C235" s="323"/>
      <c r="D235" s="323"/>
      <c r="E235" s="323"/>
      <c r="F235" s="323"/>
      <c r="G235" s="332"/>
      <c r="H235" s="388"/>
      <c r="K235" s="29" t="s">
        <v>407</v>
      </c>
      <c r="L235" s="29">
        <v>2</v>
      </c>
      <c r="R235" s="45"/>
      <c r="S235" s="45"/>
    </row>
    <row r="236" spans="1:19" s="29" customFormat="1" ht="15.6">
      <c r="A236" s="412"/>
      <c r="B236" s="325"/>
      <c r="C236" s="323"/>
      <c r="D236" s="323"/>
      <c r="E236" s="323"/>
      <c r="F236" s="323"/>
      <c r="G236" s="330" t="s">
        <v>69</v>
      </c>
      <c r="H236" s="445">
        <f>IFERROR(H84+H183+H220+H234,0)</f>
        <v>0</v>
      </c>
      <c r="K236" s="29" t="s">
        <v>408</v>
      </c>
      <c r="L236" s="29">
        <v>2</v>
      </c>
      <c r="R236" s="45"/>
      <c r="S236" s="45"/>
    </row>
    <row r="237" spans="1:19" s="29" customFormat="1">
      <c r="A237" s="412"/>
      <c r="B237" s="325"/>
      <c r="C237" s="323"/>
      <c r="D237" s="323"/>
      <c r="E237" s="323"/>
      <c r="F237" s="323"/>
      <c r="G237" s="332"/>
      <c r="H237" s="388"/>
      <c r="K237" s="29" t="s">
        <v>409</v>
      </c>
      <c r="L237" s="29">
        <v>2</v>
      </c>
      <c r="R237" s="53"/>
      <c r="S237" s="45"/>
    </row>
    <row r="238" spans="1:19" s="29" customFormat="1" ht="15.75" customHeight="1">
      <c r="A238" s="412"/>
      <c r="B238" s="345" t="s">
        <v>37</v>
      </c>
      <c r="C238" s="332"/>
      <c r="D238" s="1013" t="s">
        <v>415</v>
      </c>
      <c r="E238" s="1013"/>
      <c r="F238" s="1013"/>
      <c r="G238" s="332"/>
      <c r="H238" s="478"/>
      <c r="R238" s="53"/>
      <c r="S238" s="45"/>
    </row>
    <row r="239" spans="1:19" s="29" customFormat="1" ht="15.6">
      <c r="A239" s="412"/>
      <c r="B239" s="346"/>
      <c r="C239" s="332"/>
      <c r="D239" s="1013"/>
      <c r="E239" s="1013"/>
      <c r="F239" s="1013"/>
      <c r="G239" s="332"/>
      <c r="H239" s="478"/>
      <c r="R239" s="53"/>
      <c r="S239" s="45"/>
    </row>
    <row r="240" spans="1:19" s="29" customFormat="1" ht="15.6">
      <c r="A240" s="479" t="s">
        <v>280</v>
      </c>
      <c r="B240" s="346" t="s">
        <v>100</v>
      </c>
      <c r="C240" s="369">
        <f>IFERROR(SUM(G29+G32+G34+G35+G44+G47),0)</f>
        <v>0</v>
      </c>
      <c r="D240" s="332" t="s">
        <v>284</v>
      </c>
      <c r="E240" s="141"/>
      <c r="F240" s="332" t="s">
        <v>285</v>
      </c>
      <c r="G240" s="144">
        <f>MIN(IFERROR(SUM(C240+E240),0),100%)</f>
        <v>0</v>
      </c>
      <c r="H240" s="388"/>
      <c r="M240" s="53"/>
      <c r="N240" s="45"/>
    </row>
    <row r="241" spans="1:19" s="29" customFormat="1" ht="15.6">
      <c r="A241" s="479" t="s">
        <v>281</v>
      </c>
      <c r="B241" s="346" t="s">
        <v>101</v>
      </c>
      <c r="C241" s="369">
        <f>IFERROR(SUM(F19+G91+G93+G95+G98+G101+G102+G103+G104+G105),0)</f>
        <v>0</v>
      </c>
      <c r="D241" s="332" t="s">
        <v>284</v>
      </c>
      <c r="E241" s="141"/>
      <c r="F241" s="332" t="s">
        <v>285</v>
      </c>
      <c r="G241" s="144">
        <f t="shared" ref="G241:G242" si="5">MIN(IFERROR(SUM(C241+E241),0),100%)</f>
        <v>0</v>
      </c>
      <c r="H241" s="388"/>
      <c r="M241" s="53"/>
      <c r="N241" s="45"/>
    </row>
    <row r="242" spans="1:19" s="29" customFormat="1" ht="15.6">
      <c r="A242" s="479" t="s">
        <v>282</v>
      </c>
      <c r="B242" s="346" t="s">
        <v>102</v>
      </c>
      <c r="C242" s="369">
        <f>IFERROR(G197,0)</f>
        <v>0</v>
      </c>
      <c r="D242" s="332" t="s">
        <v>284</v>
      </c>
      <c r="E242" s="141"/>
      <c r="F242" s="303" t="s">
        <v>285</v>
      </c>
      <c r="G242" s="144">
        <f t="shared" si="5"/>
        <v>0</v>
      </c>
      <c r="H242" s="283"/>
      <c r="I242" s="3"/>
      <c r="J242" s="3"/>
      <c r="K242" s="3"/>
      <c r="L242" s="3"/>
      <c r="M242" s="53"/>
      <c r="N242" s="45"/>
    </row>
    <row r="243" spans="1:19" s="29" customFormat="1" ht="15.6" thickBot="1">
      <c r="A243" s="491"/>
      <c r="B243" s="492"/>
      <c r="C243" s="493"/>
      <c r="D243" s="493"/>
      <c r="E243" s="493"/>
      <c r="F243" s="493"/>
      <c r="G243" s="638"/>
      <c r="H243" s="639"/>
      <c r="K243" s="3"/>
      <c r="L243" s="3"/>
      <c r="M243" s="3"/>
      <c r="N243" s="3"/>
      <c r="O243" s="3"/>
      <c r="P243" s="3"/>
      <c r="Q243" s="3"/>
      <c r="R243" s="53"/>
      <c r="S243" s="45"/>
    </row>
    <row r="244" spans="1:19" s="29" customFormat="1">
      <c r="A244" s="174"/>
      <c r="B244" s="3"/>
      <c r="C244" s="3"/>
      <c r="D244" s="3"/>
      <c r="E244" s="3"/>
      <c r="F244" s="3"/>
      <c r="G244" s="10"/>
      <c r="H244" s="3"/>
      <c r="K244" s="3"/>
      <c r="L244" s="3"/>
      <c r="M244" s="3"/>
      <c r="N244" s="3"/>
      <c r="O244" s="3"/>
      <c r="P244" s="3"/>
      <c r="Q244" s="3"/>
      <c r="R244" s="53"/>
      <c r="S244" s="45"/>
    </row>
    <row r="245" spans="1:19" s="29" customFormat="1">
      <c r="A245" s="174"/>
      <c r="B245" s="3"/>
      <c r="C245" s="3"/>
      <c r="D245" s="3"/>
      <c r="E245" s="3"/>
      <c r="F245" s="3"/>
      <c r="G245" s="10"/>
      <c r="H245" s="3"/>
      <c r="K245" s="3"/>
      <c r="L245" s="3"/>
      <c r="M245" s="3"/>
      <c r="N245" s="3"/>
      <c r="O245" s="3"/>
      <c r="P245" s="3"/>
      <c r="Q245" s="3"/>
      <c r="R245" s="53"/>
      <c r="S245" s="45"/>
    </row>
    <row r="246" spans="1:19" s="29" customFormat="1">
      <c r="A246" s="174"/>
      <c r="B246" s="3"/>
      <c r="C246" s="3"/>
      <c r="D246" s="3"/>
      <c r="E246" s="3"/>
      <c r="F246" s="3"/>
      <c r="G246" s="10"/>
      <c r="H246" s="3"/>
      <c r="K246" s="3"/>
      <c r="L246" s="3"/>
      <c r="M246" s="3"/>
      <c r="N246" s="3"/>
      <c r="O246" s="3"/>
      <c r="P246" s="3"/>
      <c r="Q246" s="3"/>
      <c r="R246" s="53"/>
      <c r="S246" s="45"/>
    </row>
    <row r="247" spans="1:19" s="29" customFormat="1">
      <c r="A247" s="174"/>
      <c r="B247" s="3"/>
      <c r="C247" s="3"/>
      <c r="D247" s="3"/>
      <c r="E247" s="3"/>
      <c r="F247" s="3"/>
      <c r="G247" s="10"/>
      <c r="H247" s="3"/>
      <c r="K247" s="3"/>
      <c r="L247" s="3"/>
      <c r="M247" s="3"/>
      <c r="N247" s="3"/>
      <c r="O247" s="3"/>
      <c r="P247" s="3"/>
      <c r="Q247" s="3"/>
      <c r="R247" s="45"/>
      <c r="S247" s="45"/>
    </row>
    <row r="248" spans="1:19" s="29" customFormat="1">
      <c r="A248" s="174"/>
      <c r="B248" s="3"/>
      <c r="C248" s="3"/>
      <c r="D248" s="3"/>
      <c r="E248" s="3"/>
      <c r="F248" s="3"/>
      <c r="G248" s="10"/>
      <c r="H248" s="3"/>
      <c r="K248" s="3"/>
      <c r="L248" s="3"/>
      <c r="M248" s="3"/>
      <c r="N248" s="3"/>
      <c r="O248" s="3"/>
      <c r="P248" s="3"/>
      <c r="Q248" s="3"/>
      <c r="R248" s="45"/>
      <c r="S248" s="45"/>
    </row>
    <row r="249" spans="1:19" s="29" customFormat="1">
      <c r="A249" s="174"/>
      <c r="B249" s="3"/>
      <c r="C249" s="3"/>
      <c r="D249" s="3"/>
      <c r="E249" s="3"/>
      <c r="F249" s="3"/>
      <c r="G249" s="10"/>
      <c r="H249" s="3"/>
      <c r="K249" s="3"/>
      <c r="L249" s="3"/>
      <c r="M249" s="3"/>
      <c r="N249" s="3"/>
      <c r="O249" s="3"/>
      <c r="P249" s="3"/>
      <c r="Q249" s="3"/>
      <c r="R249" s="45"/>
      <c r="S249" s="45"/>
    </row>
    <row r="250" spans="1:19" s="29" customFormat="1">
      <c r="A250" s="174"/>
      <c r="B250" s="3"/>
      <c r="C250" s="3"/>
      <c r="D250" s="3"/>
      <c r="E250" s="3"/>
      <c r="F250" s="3"/>
      <c r="G250" s="10"/>
      <c r="H250" s="3"/>
      <c r="K250" s="3"/>
      <c r="L250" s="3"/>
      <c r="M250" s="3"/>
      <c r="N250" s="3"/>
      <c r="O250" s="3"/>
      <c r="P250" s="3"/>
      <c r="Q250" s="3"/>
      <c r="R250" s="45"/>
      <c r="S250" s="45"/>
    </row>
  </sheetData>
  <sheetProtection algorithmName="SHA-512" hashValue="Lq5rchY5y21UlFIwM/ppPCFVNTqk+SPnOQVPey+6dDQn8bFadiUasN3uLbX1sUlEHbMPVIF/ZDjhpMcA7aGNdg==" saltValue="9VixFQD/Im+s7VPiqdu3Iw==" spinCount="100000" sheet="1" selectLockedCells="1"/>
  <mergeCells count="228">
    <mergeCell ref="D238:F239"/>
    <mergeCell ref="B30:D30"/>
    <mergeCell ref="E29:E30"/>
    <mergeCell ref="F29:F30"/>
    <mergeCell ref="G29:G30"/>
    <mergeCell ref="H29:H30"/>
    <mergeCell ref="A95:A96"/>
    <mergeCell ref="B96:D96"/>
    <mergeCell ref="E95:E96"/>
    <mergeCell ref="F95:F96"/>
    <mergeCell ref="G95:G96"/>
    <mergeCell ref="H95:H96"/>
    <mergeCell ref="B50:D50"/>
    <mergeCell ref="B79:C79"/>
    <mergeCell ref="B95:D95"/>
    <mergeCell ref="H35:H36"/>
    <mergeCell ref="B37:D37"/>
    <mergeCell ref="B38:D38"/>
    <mergeCell ref="B39:D39"/>
    <mergeCell ref="B40:D40"/>
    <mergeCell ref="B74:C74"/>
    <mergeCell ref="B61:C61"/>
    <mergeCell ref="B67:C67"/>
    <mergeCell ref="B64:C64"/>
    <mergeCell ref="B233:D233"/>
    <mergeCell ref="B230:D230"/>
    <mergeCell ref="B231:D231"/>
    <mergeCell ref="B227:D227"/>
    <mergeCell ref="B228:D228"/>
    <mergeCell ref="B229:D229"/>
    <mergeCell ref="B195:C195"/>
    <mergeCell ref="B208:C208"/>
    <mergeCell ref="B171:C171"/>
    <mergeCell ref="B203:C203"/>
    <mergeCell ref="B204:C204"/>
    <mergeCell ref="B206:C206"/>
    <mergeCell ref="B205:C205"/>
    <mergeCell ref="A213:B214"/>
    <mergeCell ref="A224:B224"/>
    <mergeCell ref="A199:B200"/>
    <mergeCell ref="B216:C216"/>
    <mergeCell ref="B217:C217"/>
    <mergeCell ref="D175:D176"/>
    <mergeCell ref="B196:C196"/>
    <mergeCell ref="C199:C200"/>
    <mergeCell ref="D199:D200"/>
    <mergeCell ref="B194:C194"/>
    <mergeCell ref="B192:C192"/>
    <mergeCell ref="B190:C190"/>
    <mergeCell ref="B179:C179"/>
    <mergeCell ref="B180:C180"/>
    <mergeCell ref="B178:C178"/>
    <mergeCell ref="A175:B176"/>
    <mergeCell ref="C175:C176"/>
    <mergeCell ref="A158:A159"/>
    <mergeCell ref="B158:C159"/>
    <mergeCell ref="B168:C168"/>
    <mergeCell ref="A167:A168"/>
    <mergeCell ref="B166:C166"/>
    <mergeCell ref="A165:A166"/>
    <mergeCell ref="B163:C163"/>
    <mergeCell ref="B172:C172"/>
    <mergeCell ref="B170:C170"/>
    <mergeCell ref="B162:C162"/>
    <mergeCell ref="B167:C167"/>
    <mergeCell ref="B165:C165"/>
    <mergeCell ref="B160:C160"/>
    <mergeCell ref="B209:C209"/>
    <mergeCell ref="B210:C210"/>
    <mergeCell ref="C213:C214"/>
    <mergeCell ref="D213:D214"/>
    <mergeCell ref="F11:F12"/>
    <mergeCell ref="D11:D12"/>
    <mergeCell ref="B20:C20"/>
    <mergeCell ref="B21:C21"/>
    <mergeCell ref="B73:C73"/>
    <mergeCell ref="B68:C68"/>
    <mergeCell ref="B69:C69"/>
    <mergeCell ref="B55:D55"/>
    <mergeCell ref="B29:D29"/>
    <mergeCell ref="B32:D32"/>
    <mergeCell ref="B34:D34"/>
    <mergeCell ref="B14:C14"/>
    <mergeCell ref="B16:C16"/>
    <mergeCell ref="B17:C17"/>
    <mergeCell ref="E11:E12"/>
    <mergeCell ref="B15:C15"/>
    <mergeCell ref="B19:C19"/>
    <mergeCell ref="B45:D45"/>
    <mergeCell ref="C146:C147"/>
    <mergeCell ref="A187:B187"/>
    <mergeCell ref="H37:H42"/>
    <mergeCell ref="G58:G59"/>
    <mergeCell ref="H58:H59"/>
    <mergeCell ref="E58:F58"/>
    <mergeCell ref="A58:B59"/>
    <mergeCell ref="E37:E42"/>
    <mergeCell ref="B46:D46"/>
    <mergeCell ref="B102:D102"/>
    <mergeCell ref="A11:B12"/>
    <mergeCell ref="B22:C22"/>
    <mergeCell ref="A35:A36"/>
    <mergeCell ref="B35:D36"/>
    <mergeCell ref="E35:E36"/>
    <mergeCell ref="B41:D41"/>
    <mergeCell ref="B42:D42"/>
    <mergeCell ref="B44:D44"/>
    <mergeCell ref="B54:D54"/>
    <mergeCell ref="B47:D47"/>
    <mergeCell ref="D58:D59"/>
    <mergeCell ref="B99:D99"/>
    <mergeCell ref="B75:C75"/>
    <mergeCell ref="B91:D91"/>
    <mergeCell ref="A29:A30"/>
    <mergeCell ref="H98:H99"/>
    <mergeCell ref="G93:G94"/>
    <mergeCell ref="F165:F166"/>
    <mergeCell ref="H93:H94"/>
    <mergeCell ref="B114:D114"/>
    <mergeCell ref="B126:C126"/>
    <mergeCell ref="D122:D123"/>
    <mergeCell ref="B70:C70"/>
    <mergeCell ref="B103:D103"/>
    <mergeCell ref="B104:D104"/>
    <mergeCell ref="B71:C71"/>
    <mergeCell ref="B120:C120"/>
    <mergeCell ref="B154:C157"/>
    <mergeCell ref="H152:H153"/>
    <mergeCell ref="G152:G153"/>
    <mergeCell ref="G154:G157"/>
    <mergeCell ref="H154:H157"/>
    <mergeCell ref="H165:H166"/>
    <mergeCell ref="D167:D168"/>
    <mergeCell ref="F167:F168"/>
    <mergeCell ref="E165:E166"/>
    <mergeCell ref="R101:R102"/>
    <mergeCell ref="I154:I158"/>
    <mergeCell ref="G98:G99"/>
    <mergeCell ref="B152:C153"/>
    <mergeCell ref="D165:D166"/>
    <mergeCell ref="B112:D112"/>
    <mergeCell ref="H126:H127"/>
    <mergeCell ref="B105:D105"/>
    <mergeCell ref="B109:D109"/>
    <mergeCell ref="B113:D113"/>
    <mergeCell ref="B150:C150"/>
    <mergeCell ref="H122:H123"/>
    <mergeCell ref="B108:D108"/>
    <mergeCell ref="B124:C124"/>
    <mergeCell ref="D126:D127"/>
    <mergeCell ref="E122:E123"/>
    <mergeCell ref="E126:E127"/>
    <mergeCell ref="B130:C130"/>
    <mergeCell ref="B133:C133"/>
    <mergeCell ref="D142:D143"/>
    <mergeCell ref="G126:G127"/>
    <mergeCell ref="H213:H214"/>
    <mergeCell ref="H175:H176"/>
    <mergeCell ref="H199:H200"/>
    <mergeCell ref="H146:H147"/>
    <mergeCell ref="E142:E143"/>
    <mergeCell ref="F142:G142"/>
    <mergeCell ref="F143:G143"/>
    <mergeCell ref="G199:G200"/>
    <mergeCell ref="G213:G214"/>
    <mergeCell ref="E146:F146"/>
    <mergeCell ref="G146:G147"/>
    <mergeCell ref="G175:G176"/>
    <mergeCell ref="G165:G166"/>
    <mergeCell ref="E199:F199"/>
    <mergeCell ref="E213:F213"/>
    <mergeCell ref="E175:F175"/>
    <mergeCell ref="E180:F180"/>
    <mergeCell ref="G167:G168"/>
    <mergeCell ref="E167:E168"/>
    <mergeCell ref="E156:F156"/>
    <mergeCell ref="E157:F157"/>
    <mergeCell ref="E152:F152"/>
    <mergeCell ref="H167:H168"/>
    <mergeCell ref="E153:F153"/>
    <mergeCell ref="A4:B4"/>
    <mergeCell ref="E154:F154"/>
    <mergeCell ref="E155:F155"/>
    <mergeCell ref="B136:C136"/>
    <mergeCell ref="B137:C137"/>
    <mergeCell ref="B127:C127"/>
    <mergeCell ref="B123:C123"/>
    <mergeCell ref="F126:F127"/>
    <mergeCell ref="A140:B140"/>
    <mergeCell ref="E93:E94"/>
    <mergeCell ref="F93:F94"/>
    <mergeCell ref="F140:G140"/>
    <mergeCell ref="B93:D93"/>
    <mergeCell ref="B101:D101"/>
    <mergeCell ref="B134:C134"/>
    <mergeCell ref="B135:C135"/>
    <mergeCell ref="B129:C129"/>
    <mergeCell ref="B151:C151"/>
    <mergeCell ref="A146:B147"/>
    <mergeCell ref="D146:D147"/>
    <mergeCell ref="A122:A123"/>
    <mergeCell ref="A126:A127"/>
    <mergeCell ref="B66:C66"/>
    <mergeCell ref="B65:C65"/>
    <mergeCell ref="B226:D226"/>
    <mergeCell ref="A154:A157"/>
    <mergeCell ref="A152:A153"/>
    <mergeCell ref="A7:B7"/>
    <mergeCell ref="D7:G7"/>
    <mergeCell ref="B122:C122"/>
    <mergeCell ref="B51:D51"/>
    <mergeCell ref="B53:D53"/>
    <mergeCell ref="B80:C80"/>
    <mergeCell ref="B81:C81"/>
    <mergeCell ref="B94:D94"/>
    <mergeCell ref="A93:A94"/>
    <mergeCell ref="A98:A99"/>
    <mergeCell ref="B62:C62"/>
    <mergeCell ref="B63:C63"/>
    <mergeCell ref="B77:C77"/>
    <mergeCell ref="B98:D98"/>
    <mergeCell ref="E98:E99"/>
    <mergeCell ref="F98:F99"/>
    <mergeCell ref="E71:F71"/>
    <mergeCell ref="D66:D69"/>
    <mergeCell ref="B110:D110"/>
    <mergeCell ref="F122:F123"/>
    <mergeCell ref="G122:G123"/>
  </mergeCells>
  <dataValidations count="3">
    <dataValidation type="list" allowBlank="1" showInputMessage="1" showErrorMessage="1" sqref="F143:G143" xr:uid="{00000000-0002-0000-0500-000001000000}">
      <formula1>$L$140:$Q$140</formula1>
    </dataValidation>
    <dataValidation type="list" allowBlank="1" showInputMessage="1" showErrorMessage="1" sqref="E233" xr:uid="{C64261B6-C630-4C15-A5CB-45EEBC4D8DEF}">
      <formula1>$K$233:$K$237</formula1>
    </dataValidation>
    <dataValidation type="list" allowBlank="1" showInputMessage="1" showErrorMessage="1" sqref="A7" xr:uid="{00000000-0002-0000-0500-000002000000}">
      <formula1>$K$1:$K$7</formula1>
    </dataValidation>
  </dataValidations>
  <pageMargins left="0.25" right="0.25" top="0.75" bottom="0.75" header="0.3" footer="0.3"/>
  <pageSetup paperSize="8" scale="83" fitToWidth="0" fitToHeight="4" orientation="portrait" r:id="rId1"/>
  <headerFooter>
    <oddFooter>&amp;F</oddFooter>
  </headerFooter>
  <rowBreaks count="4" manualBreakCount="4">
    <brk id="57" max="8" man="1"/>
    <brk id="116" max="8" man="1"/>
    <brk id="174" max="8" man="1"/>
    <brk id="22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73"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21" width="0" style="3" hidden="1" customWidth="1"/>
    <col min="22" max="16384" width="9.109375" style="3"/>
  </cols>
  <sheetData>
    <row r="1" spans="1:16" ht="15.6">
      <c r="A1" s="377" t="s">
        <v>90</v>
      </c>
      <c r="B1" s="378"/>
      <c r="C1" s="378"/>
      <c r="D1" s="378"/>
      <c r="E1" s="378"/>
      <c r="F1" s="378"/>
      <c r="G1" s="378"/>
      <c r="H1" s="379"/>
      <c r="K1" s="3" t="s">
        <v>41</v>
      </c>
    </row>
    <row r="2" spans="1:16">
      <c r="A2" s="380"/>
      <c r="B2" s="281"/>
      <c r="C2" s="281"/>
      <c r="D2" s="281"/>
      <c r="E2" s="281"/>
      <c r="F2" s="281"/>
      <c r="G2" s="282"/>
      <c r="H2" s="283"/>
      <c r="J2" s="6"/>
      <c r="K2" s="6" t="s">
        <v>428</v>
      </c>
    </row>
    <row r="3" spans="1:16" ht="15.6">
      <c r="A3" s="381" t="s">
        <v>378</v>
      </c>
      <c r="B3" s="281"/>
      <c r="C3" s="281"/>
      <c r="D3" s="349" t="s">
        <v>143</v>
      </c>
      <c r="E3" s="349" t="s">
        <v>144</v>
      </c>
      <c r="F3" s="349" t="s">
        <v>145</v>
      </c>
      <c r="G3" s="306" t="s">
        <v>105</v>
      </c>
      <c r="H3" s="292" t="s">
        <v>63</v>
      </c>
      <c r="J3" s="6"/>
      <c r="K3" s="6" t="s">
        <v>45</v>
      </c>
    </row>
    <row r="4" spans="1:16" ht="15.6">
      <c r="A4" s="862">
        <f>Summary!A6</f>
        <v>0</v>
      </c>
      <c r="B4" s="863"/>
      <c r="C4" s="281"/>
      <c r="D4" s="78">
        <f>H84</f>
        <v>0</v>
      </c>
      <c r="E4" s="166">
        <f>H183</f>
        <v>0</v>
      </c>
      <c r="F4" s="133">
        <f>H220</f>
        <v>0</v>
      </c>
      <c r="G4" s="143">
        <f>H234</f>
        <v>0</v>
      </c>
      <c r="H4" s="382">
        <f>H236</f>
        <v>0</v>
      </c>
      <c r="J4" s="6"/>
      <c r="K4" s="6" t="s">
        <v>15</v>
      </c>
    </row>
    <row r="5" spans="1:16">
      <c r="A5" s="380"/>
      <c r="B5" s="281"/>
      <c r="C5" s="281"/>
      <c r="D5" s="281"/>
      <c r="E5" s="281"/>
      <c r="F5" s="281"/>
      <c r="G5" s="282"/>
      <c r="H5" s="283"/>
      <c r="J5" s="6"/>
      <c r="K5" s="6" t="s">
        <v>16</v>
      </c>
    </row>
    <row r="6" spans="1:16" s="4" customFormat="1" ht="15.6">
      <c r="A6" s="381" t="s">
        <v>91</v>
      </c>
      <c r="B6" s="313"/>
      <c r="C6" s="313"/>
      <c r="D6" s="314" t="s">
        <v>35</v>
      </c>
      <c r="E6" s="281"/>
      <c r="F6" s="281"/>
      <c r="G6" s="282"/>
      <c r="H6" s="283"/>
      <c r="J6" s="6"/>
      <c r="K6" s="6" t="s">
        <v>427</v>
      </c>
      <c r="L6" s="3"/>
      <c r="M6" s="3"/>
      <c r="N6" s="3"/>
    </row>
    <row r="7" spans="1:16" ht="15.75" customHeight="1">
      <c r="A7" s="842" t="s">
        <v>428</v>
      </c>
      <c r="B7" s="843"/>
      <c r="D7" s="835">
        <f>Summary!A78</f>
        <v>0</v>
      </c>
      <c r="E7" s="785"/>
      <c r="F7" s="785"/>
      <c r="G7" s="786"/>
      <c r="H7" s="383"/>
      <c r="J7" s="29"/>
      <c r="K7" s="29" t="s">
        <v>426</v>
      </c>
    </row>
    <row r="8" spans="1:16" ht="15.6" thickBot="1">
      <c r="A8" s="380"/>
      <c r="B8" s="315"/>
      <c r="C8" s="281"/>
      <c r="D8" s="281"/>
      <c r="E8" s="281"/>
      <c r="F8" s="281"/>
      <c r="G8" s="282"/>
      <c r="H8" s="283"/>
    </row>
    <row r="9" spans="1:16" ht="16.2" thickBot="1">
      <c r="A9" s="384" t="s">
        <v>126</v>
      </c>
      <c r="B9" s="145"/>
      <c r="C9" s="145"/>
      <c r="D9" s="145"/>
      <c r="E9" s="145"/>
      <c r="F9" s="146"/>
      <c r="G9" s="16"/>
      <c r="H9" s="385"/>
    </row>
    <row r="10" spans="1:16">
      <c r="A10" s="380"/>
      <c r="B10" s="316"/>
      <c r="C10" s="281"/>
      <c r="D10" s="281"/>
      <c r="E10" s="281"/>
      <c r="F10" s="281"/>
      <c r="G10" s="282"/>
      <c r="H10" s="283"/>
    </row>
    <row r="11" spans="1:16" ht="15.75" customHeight="1">
      <c r="A11" s="963" t="s">
        <v>0</v>
      </c>
      <c r="B11" s="964"/>
      <c r="C11" s="153"/>
      <c r="D11" s="985" t="s">
        <v>4</v>
      </c>
      <c r="E11" s="984" t="s">
        <v>81</v>
      </c>
      <c r="F11" s="984" t="s">
        <v>21</v>
      </c>
      <c r="G11" s="317"/>
      <c r="H11" s="386"/>
    </row>
    <row r="12" spans="1:16" ht="15.75" customHeight="1">
      <c r="A12" s="965"/>
      <c r="B12" s="966"/>
      <c r="C12" s="154"/>
      <c r="D12" s="986"/>
      <c r="E12" s="984"/>
      <c r="F12" s="984"/>
      <c r="G12" s="317"/>
      <c r="H12" s="386"/>
    </row>
    <row r="13" spans="1:16" s="29" customFormat="1" ht="15.6">
      <c r="A13" s="387" t="s">
        <v>128</v>
      </c>
      <c r="B13" s="180"/>
      <c r="C13" s="180"/>
      <c r="D13" s="180"/>
      <c r="E13" s="183"/>
      <c r="F13" s="183"/>
      <c r="G13" s="318"/>
      <c r="H13" s="388"/>
      <c r="O13" s="45"/>
      <c r="P13" s="45"/>
    </row>
    <row r="14" spans="1:16">
      <c r="A14" s="389">
        <v>1</v>
      </c>
      <c r="B14" s="987" t="s">
        <v>287</v>
      </c>
      <c r="C14" s="851"/>
      <c r="D14" s="149" t="s">
        <v>2</v>
      </c>
      <c r="E14" s="54" t="s">
        <v>50</v>
      </c>
      <c r="F14" s="30"/>
      <c r="G14" s="278"/>
      <c r="H14" s="304"/>
      <c r="I14" s="148" t="s">
        <v>143</v>
      </c>
      <c r="K14" s="152" t="str">
        <f>IF(F14&lt;65%,"Min. 65% coverage"," ")</f>
        <v>Min. 65% coverage</v>
      </c>
    </row>
    <row r="15" spans="1:16" ht="30.75" customHeight="1">
      <c r="A15" s="389">
        <v>2</v>
      </c>
      <c r="B15" s="987" t="s">
        <v>376</v>
      </c>
      <c r="C15" s="851"/>
      <c r="D15" s="150" t="s">
        <v>51</v>
      </c>
      <c r="E15" s="31" t="s">
        <v>50</v>
      </c>
      <c r="F15" s="547"/>
      <c r="G15" s="278"/>
      <c r="H15" s="283"/>
      <c r="I15" s="148" t="s">
        <v>144</v>
      </c>
      <c r="K15" s="152" t="str">
        <f>IF(F15&lt;65%,"Min. 80% coverage"," ")</f>
        <v>Min. 80% coverage</v>
      </c>
    </row>
    <row r="16" spans="1:16" ht="15" customHeight="1">
      <c r="A16" s="389">
        <v>3</v>
      </c>
      <c r="B16" s="987" t="s">
        <v>375</v>
      </c>
      <c r="C16" s="851"/>
      <c r="D16" s="150" t="s">
        <v>51</v>
      </c>
      <c r="E16" s="31" t="s">
        <v>50</v>
      </c>
      <c r="F16" s="547"/>
      <c r="G16" s="278"/>
      <c r="H16" s="386"/>
      <c r="I16" s="3" t="s">
        <v>143</v>
      </c>
      <c r="K16" s="152" t="str">
        <f>IF(F16&lt;65%,"Min. 65% coverage"," ")</f>
        <v>Min. 65% coverage</v>
      </c>
    </row>
    <row r="17" spans="1:19">
      <c r="A17" s="389">
        <v>4</v>
      </c>
      <c r="B17" s="886" t="s">
        <v>191</v>
      </c>
      <c r="C17" s="884"/>
      <c r="D17" s="147" t="s">
        <v>3</v>
      </c>
      <c r="E17" s="31" t="s">
        <v>50</v>
      </c>
      <c r="F17" s="547"/>
      <c r="G17" s="278"/>
      <c r="H17" s="386"/>
      <c r="I17" s="3" t="s">
        <v>145</v>
      </c>
      <c r="K17" s="152" t="str">
        <f>IF(F17&lt;65%,"Min. 65% coverage"," ")</f>
        <v>Min. 65% coverage</v>
      </c>
    </row>
    <row r="18" spans="1:19" s="29" customFormat="1" ht="15.6">
      <c r="A18" s="390" t="s">
        <v>127</v>
      </c>
      <c r="B18" s="180"/>
      <c r="C18" s="180"/>
      <c r="D18" s="180"/>
      <c r="E18" s="181"/>
      <c r="F18" s="182"/>
      <c r="G18" s="319"/>
      <c r="H18" s="388"/>
      <c r="K18" s="10"/>
      <c r="O18" s="45"/>
      <c r="P18" s="45"/>
    </row>
    <row r="19" spans="1:19" ht="32.25" customHeight="1">
      <c r="A19" s="391">
        <v>5</v>
      </c>
      <c r="B19" s="873" t="s">
        <v>288</v>
      </c>
      <c r="C19" s="989"/>
      <c r="D19" s="151" t="s">
        <v>3</v>
      </c>
      <c r="E19" s="536"/>
      <c r="F19" s="31">
        <f>IFERROR(E19/$F$115,0)</f>
        <v>0</v>
      </c>
      <c r="G19" s="278"/>
      <c r="H19" s="386"/>
      <c r="I19" s="3" t="s">
        <v>144</v>
      </c>
      <c r="K19" s="152" t="str">
        <f>IF($A$7=$K$2,IF(E19=0,"Please input wall length"," ")," ")</f>
        <v>Please input wall length</v>
      </c>
    </row>
    <row r="20" spans="1:19">
      <c r="A20" s="391">
        <v>6</v>
      </c>
      <c r="B20" s="987" t="s">
        <v>289</v>
      </c>
      <c r="C20" s="851"/>
      <c r="D20" s="190" t="s">
        <v>51</v>
      </c>
      <c r="E20" s="31" t="s">
        <v>50</v>
      </c>
      <c r="F20" s="30"/>
      <c r="G20" s="278"/>
      <c r="H20" s="386"/>
      <c r="I20" s="3" t="s">
        <v>144</v>
      </c>
      <c r="K20" s="152" t="str">
        <f>IF($A$7=$K$2,IF(F20&lt;65%,"Min. 65% coverage"," ")," ")</f>
        <v>Min. 65% coverage</v>
      </c>
    </row>
    <row r="21" spans="1:19">
      <c r="A21" s="391">
        <v>7</v>
      </c>
      <c r="B21" s="886" t="s">
        <v>306</v>
      </c>
      <c r="C21" s="884"/>
      <c r="D21" s="150" t="s">
        <v>51</v>
      </c>
      <c r="E21" s="31" t="s">
        <v>50</v>
      </c>
      <c r="F21" s="547"/>
      <c r="H21" s="386"/>
      <c r="I21" s="3" t="s">
        <v>143</v>
      </c>
      <c r="K21" s="152" t="str">
        <f>IF($A$7=$K$2,IF(F21&lt;65%,"Min. 65% coverage"," ")," ")</f>
        <v>Min. 65% coverage</v>
      </c>
    </row>
    <row r="22" spans="1:19">
      <c r="A22" s="391" t="s">
        <v>308</v>
      </c>
      <c r="B22" s="886" t="s">
        <v>307</v>
      </c>
      <c r="C22" s="884"/>
      <c r="D22" s="150" t="s">
        <v>51</v>
      </c>
      <c r="E22" s="31" t="s">
        <v>50</v>
      </c>
      <c r="F22" s="547"/>
      <c r="G22" s="278"/>
      <c r="H22" s="386"/>
      <c r="K22" s="152"/>
    </row>
    <row r="23" spans="1:19">
      <c r="A23" s="380"/>
      <c r="B23" s="281"/>
      <c r="C23" s="281"/>
      <c r="D23" s="281"/>
      <c r="E23" s="281"/>
      <c r="F23" s="281"/>
      <c r="G23" s="282"/>
      <c r="H23" s="283"/>
      <c r="K23" s="6"/>
    </row>
    <row r="24" spans="1:19" ht="15.6">
      <c r="A24" s="392" t="s">
        <v>44</v>
      </c>
      <c r="B24" s="169"/>
      <c r="C24" s="169"/>
      <c r="D24" s="169"/>
      <c r="E24" s="169"/>
      <c r="F24" s="170" t="s">
        <v>43</v>
      </c>
      <c r="G24" s="171">
        <f>VLOOKUP($A$7,'Manpower allocation'!A4:D11,2,FALSE)*100</f>
        <v>45</v>
      </c>
      <c r="H24" s="393" t="s">
        <v>42</v>
      </c>
      <c r="J24" s="497">
        <f>VLOOKUP($A$7,'Manpower allocation'!A4:D11,2,FALSE)*100</f>
        <v>45</v>
      </c>
      <c r="K24" s="6"/>
    </row>
    <row r="25" spans="1:19" ht="15.6">
      <c r="A25" s="380"/>
      <c r="B25" s="320"/>
      <c r="C25" s="321"/>
      <c r="D25" s="281"/>
      <c r="E25" s="281"/>
      <c r="F25" s="281"/>
      <c r="G25" s="282"/>
      <c r="H25" s="283"/>
      <c r="K25" s="6"/>
    </row>
    <row r="26" spans="1:19" s="29" customFormat="1" ht="46.8">
      <c r="A26" s="394" t="s">
        <v>0</v>
      </c>
      <c r="B26" s="41"/>
      <c r="C26" s="41"/>
      <c r="D26" s="42"/>
      <c r="E26" s="43" t="s">
        <v>17</v>
      </c>
      <c r="F26" s="43" t="s">
        <v>114</v>
      </c>
      <c r="G26" s="43" t="s">
        <v>18</v>
      </c>
      <c r="H26" s="395" t="s">
        <v>53</v>
      </c>
      <c r="K26" s="44"/>
      <c r="R26" s="45"/>
      <c r="S26" s="45"/>
    </row>
    <row r="27" spans="1:19" s="29" customFormat="1" ht="15.6">
      <c r="A27" s="396" t="s">
        <v>198</v>
      </c>
      <c r="B27" s="46" t="s">
        <v>214</v>
      </c>
      <c r="C27" s="47"/>
      <c r="D27" s="47"/>
      <c r="E27" s="48"/>
      <c r="F27" s="48"/>
      <c r="G27" s="48"/>
      <c r="H27" s="397"/>
      <c r="R27" s="45"/>
      <c r="S27" s="45"/>
    </row>
    <row r="28" spans="1:19" s="29" customFormat="1" ht="15.6">
      <c r="A28" s="398">
        <v>1</v>
      </c>
      <c r="B28" s="40" t="s">
        <v>338</v>
      </c>
      <c r="C28" s="41"/>
      <c r="D28" s="49"/>
      <c r="E28" s="41"/>
      <c r="F28" s="50"/>
      <c r="G28" s="50"/>
      <c r="H28" s="399"/>
      <c r="R28" s="45"/>
      <c r="S28" s="45"/>
    </row>
    <row r="29" spans="1:19" s="29" customFormat="1">
      <c r="A29" s="980">
        <v>1.1000000000000001</v>
      </c>
      <c r="B29" s="852" t="s">
        <v>290</v>
      </c>
      <c r="C29" s="988"/>
      <c r="D29" s="988"/>
      <c r="E29" s="904">
        <f>VLOOKUP(A29,'Point Allocation'!$A$5:$J$15,MATCH(A7,'Point Allocation'!$A$5:$J$5,0),0)</f>
        <v>45</v>
      </c>
      <c r="F29" s="1014"/>
      <c r="G29" s="1015">
        <f>IFERROR(F29/$F$56,0)</f>
        <v>0</v>
      </c>
      <c r="H29" s="909">
        <f>E29*G29</f>
        <v>0</v>
      </c>
      <c r="R29" s="45"/>
      <c r="S29" s="45"/>
    </row>
    <row r="30" spans="1:19" s="29" customFormat="1" ht="15.6">
      <c r="A30" s="981"/>
      <c r="B30" s="998" t="s">
        <v>401</v>
      </c>
      <c r="C30" s="998"/>
      <c r="D30" s="998"/>
      <c r="E30" s="904"/>
      <c r="F30" s="1014"/>
      <c r="G30" s="1015">
        <f t="shared" ref="G30" si="0">IFERROR(F30/$F$56,0)</f>
        <v>0</v>
      </c>
      <c r="H30" s="909"/>
      <c r="R30" s="45"/>
      <c r="S30" s="45"/>
    </row>
    <row r="31" spans="1:19" s="29" customFormat="1" ht="15.6">
      <c r="A31" s="398">
        <v>2</v>
      </c>
      <c r="B31" s="40" t="s">
        <v>339</v>
      </c>
      <c r="C31" s="51"/>
      <c r="D31" s="49"/>
      <c r="E31" s="52"/>
      <c r="F31" s="8"/>
      <c r="G31" s="22"/>
      <c r="H31" s="400"/>
      <c r="R31" s="53"/>
      <c r="S31" s="45"/>
    </row>
    <row r="32" spans="1:19" s="29" customFormat="1">
      <c r="A32" s="401">
        <v>2.1</v>
      </c>
      <c r="B32" s="885" t="s">
        <v>203</v>
      </c>
      <c r="C32" s="886"/>
      <c r="D32" s="884"/>
      <c r="E32" s="20">
        <f>VLOOKUP(A32,'Point Allocation'!$A$5:$J$15,MATCH(A7,'Point Allocation'!$A$5:$J$5,0),0)</f>
        <v>42</v>
      </c>
      <c r="F32" s="536"/>
      <c r="G32" s="31">
        <f>IFERROR(F32/$F$56,0)</f>
        <v>0</v>
      </c>
      <c r="H32" s="405">
        <f>E32*G32</f>
        <v>0</v>
      </c>
      <c r="R32" s="53"/>
      <c r="S32" s="45"/>
    </row>
    <row r="33" spans="1:19" s="29" customFormat="1" ht="15.6">
      <c r="A33" s="398">
        <v>3</v>
      </c>
      <c r="B33" s="40" t="s">
        <v>340</v>
      </c>
      <c r="C33" s="51"/>
      <c r="D33" s="49"/>
      <c r="E33" s="52"/>
      <c r="F33" s="8"/>
      <c r="G33" s="22"/>
      <c r="H33" s="400"/>
      <c r="R33" s="53"/>
      <c r="S33" s="45"/>
    </row>
    <row r="34" spans="1:19" s="29" customFormat="1" ht="15" customHeight="1">
      <c r="A34" s="401">
        <v>3.1</v>
      </c>
      <c r="B34" s="885" t="s">
        <v>587</v>
      </c>
      <c r="C34" s="886"/>
      <c r="D34" s="884"/>
      <c r="E34" s="20">
        <f>VLOOKUP(A34,'Point Allocation'!$A$5:$J$15,MATCH(A7,'Point Allocation'!$A$5:$J$5,0),0)</f>
        <v>39</v>
      </c>
      <c r="F34" s="37"/>
      <c r="G34" s="31">
        <f>IFERROR(F34/$F$56,0)</f>
        <v>0</v>
      </c>
      <c r="H34" s="419">
        <f>E34*G34</f>
        <v>0</v>
      </c>
      <c r="R34" s="53"/>
      <c r="S34" s="45"/>
    </row>
    <row r="35" spans="1:19" s="29" customFormat="1" ht="31.5" customHeight="1">
      <c r="A35" s="967">
        <v>3.2</v>
      </c>
      <c r="B35" s="969" t="s">
        <v>330</v>
      </c>
      <c r="C35" s="970"/>
      <c r="D35" s="971"/>
      <c r="E35" s="910">
        <f>VLOOKUP(A35,'Point Allocation'!$A$5:$J$15,MATCH(A7,'Point Allocation'!$A$5:$J$5,0),0)</f>
        <v>39</v>
      </c>
      <c r="F35" s="37"/>
      <c r="G35" s="31">
        <f>IFERROR(F35/$F$56,0)</f>
        <v>0</v>
      </c>
      <c r="H35" s="945">
        <f>IF(SUM(J37:J42)&gt;=4,E35*G35,0)</f>
        <v>0</v>
      </c>
      <c r="R35" s="53"/>
      <c r="S35" s="45"/>
    </row>
    <row r="36" spans="1:19" s="29" customFormat="1" ht="31.5" customHeight="1">
      <c r="A36" s="968"/>
      <c r="B36" s="972"/>
      <c r="C36" s="973"/>
      <c r="D36" s="974"/>
      <c r="E36" s="911"/>
      <c r="F36" s="9" t="s">
        <v>130</v>
      </c>
      <c r="G36" s="54" t="s">
        <v>117</v>
      </c>
      <c r="H36" s="947"/>
      <c r="R36" s="53"/>
      <c r="S36" s="45"/>
    </row>
    <row r="37" spans="1:19" s="29" customFormat="1" ht="89.25" customHeight="1">
      <c r="A37" s="402" t="s">
        <v>192</v>
      </c>
      <c r="B37" s="1016" t="s">
        <v>359</v>
      </c>
      <c r="C37" s="1017"/>
      <c r="D37" s="1018"/>
      <c r="E37" s="958"/>
      <c r="F37" s="187" t="s">
        <v>131</v>
      </c>
      <c r="G37" s="546"/>
      <c r="H37" s="946"/>
      <c r="J37" s="55">
        <f t="shared" ref="J37:J42" si="1">IF(G37&gt;=65%,1,0)</f>
        <v>0</v>
      </c>
      <c r="R37" s="53"/>
      <c r="S37" s="45"/>
    </row>
    <row r="38" spans="1:19" s="29" customFormat="1" ht="33.75" customHeight="1">
      <c r="A38" s="402" t="s">
        <v>193</v>
      </c>
      <c r="B38" s="871" t="s">
        <v>215</v>
      </c>
      <c r="C38" s="872"/>
      <c r="D38" s="873"/>
      <c r="E38" s="958"/>
      <c r="F38" s="39" t="s">
        <v>132</v>
      </c>
      <c r="G38" s="547"/>
      <c r="H38" s="946"/>
      <c r="J38" s="55">
        <f t="shared" si="1"/>
        <v>0</v>
      </c>
      <c r="R38" s="53"/>
      <c r="S38" s="45"/>
    </row>
    <row r="39" spans="1:19" s="29" customFormat="1" ht="48.75" customHeight="1">
      <c r="A39" s="402" t="s">
        <v>201</v>
      </c>
      <c r="B39" s="871" t="s">
        <v>216</v>
      </c>
      <c r="C39" s="872"/>
      <c r="D39" s="873"/>
      <c r="E39" s="958"/>
      <c r="F39" s="39" t="s">
        <v>133</v>
      </c>
      <c r="G39" s="547"/>
      <c r="H39" s="946"/>
      <c r="J39" s="55">
        <f t="shared" si="1"/>
        <v>0</v>
      </c>
      <c r="R39" s="53"/>
      <c r="S39" s="45"/>
    </row>
    <row r="40" spans="1:19" s="29" customFormat="1" ht="45">
      <c r="A40" s="402" t="s">
        <v>194</v>
      </c>
      <c r="B40" s="871" t="s">
        <v>217</v>
      </c>
      <c r="C40" s="872"/>
      <c r="D40" s="873"/>
      <c r="E40" s="958"/>
      <c r="F40" s="39" t="s">
        <v>134</v>
      </c>
      <c r="G40" s="547"/>
      <c r="H40" s="946"/>
      <c r="J40" s="55">
        <f t="shared" si="1"/>
        <v>0</v>
      </c>
      <c r="R40" s="53"/>
      <c r="S40" s="45"/>
    </row>
    <row r="41" spans="1:19" s="29" customFormat="1" ht="48.75" customHeight="1">
      <c r="A41" s="402" t="s">
        <v>202</v>
      </c>
      <c r="B41" s="871" t="s">
        <v>218</v>
      </c>
      <c r="C41" s="872"/>
      <c r="D41" s="873"/>
      <c r="E41" s="958"/>
      <c r="F41" s="39" t="s">
        <v>135</v>
      </c>
      <c r="G41" s="547"/>
      <c r="H41" s="946"/>
      <c r="J41" s="55">
        <f t="shared" si="1"/>
        <v>0</v>
      </c>
      <c r="R41" s="53"/>
      <c r="S41" s="45"/>
    </row>
    <row r="42" spans="1:19" s="29" customFormat="1" ht="31.5" customHeight="1">
      <c r="A42" s="402" t="s">
        <v>195</v>
      </c>
      <c r="B42" s="975" t="s">
        <v>345</v>
      </c>
      <c r="C42" s="976"/>
      <c r="D42" s="977"/>
      <c r="E42" s="959"/>
      <c r="F42" s="39" t="s">
        <v>136</v>
      </c>
      <c r="G42" s="547"/>
      <c r="H42" s="947"/>
      <c r="J42" s="55">
        <f t="shared" si="1"/>
        <v>0</v>
      </c>
      <c r="R42" s="53"/>
      <c r="S42" s="45"/>
    </row>
    <row r="43" spans="1:19" s="29" customFormat="1" ht="15.6">
      <c r="A43" s="398" t="s">
        <v>196</v>
      </c>
      <c r="B43" s="40" t="s">
        <v>341</v>
      </c>
      <c r="C43" s="56"/>
      <c r="D43" s="49"/>
      <c r="E43" s="52"/>
      <c r="F43" s="36"/>
      <c r="G43" s="23"/>
      <c r="H43" s="403"/>
      <c r="R43" s="53"/>
      <c r="S43" s="45"/>
    </row>
    <row r="44" spans="1:19" s="29" customFormat="1" ht="31.5" customHeight="1">
      <c r="A44" s="404">
        <v>4.0999999999999996</v>
      </c>
      <c r="B44" s="885" t="s">
        <v>331</v>
      </c>
      <c r="C44" s="886"/>
      <c r="D44" s="884"/>
      <c r="E44" s="20">
        <f>VLOOKUP(A44,'Point Allocation'!$A$5:$J$15,MATCH(A7,'Point Allocation'!$A$5:$J$5,0),0)</f>
        <v>35</v>
      </c>
      <c r="F44" s="536"/>
      <c r="G44" s="31">
        <f>IFERROR(F44/$F$56,0)</f>
        <v>0</v>
      </c>
      <c r="H44" s="405">
        <f>E44*G44</f>
        <v>0</v>
      </c>
      <c r="R44" s="53"/>
      <c r="S44" s="45"/>
    </row>
    <row r="45" spans="1:19" s="29" customFormat="1">
      <c r="A45" s="406">
        <v>4.2</v>
      </c>
      <c r="B45" s="928" t="s">
        <v>348</v>
      </c>
      <c r="C45" s="990"/>
      <c r="D45" s="929"/>
      <c r="E45" s="20">
        <f>VLOOKUP(A45,'Point Allocation'!$A$5:$J$15,MATCH(A7,'Point Allocation'!$A$5:$J$5,0),0)</f>
        <v>35</v>
      </c>
      <c r="F45" s="536"/>
      <c r="G45" s="31">
        <f>IFERROR(F45/$F$56,0)</f>
        <v>0</v>
      </c>
      <c r="H45" s="405">
        <f>E45*G45</f>
        <v>0</v>
      </c>
      <c r="R45" s="53"/>
      <c r="S45" s="45"/>
    </row>
    <row r="46" spans="1:19" s="29" customFormat="1">
      <c r="A46" s="406">
        <v>4.3</v>
      </c>
      <c r="B46" s="960" t="s">
        <v>346</v>
      </c>
      <c r="C46" s="961"/>
      <c r="D46" s="962"/>
      <c r="E46" s="20">
        <f>VLOOKUP(A46,'Point Allocation'!$A$5:$J$15,MATCH(A7,'Point Allocation'!$A$5:$J$5,0),0)</f>
        <v>28</v>
      </c>
      <c r="F46" s="536"/>
      <c r="G46" s="31">
        <f>IFERROR(F46/$F$56,0)</f>
        <v>0</v>
      </c>
      <c r="H46" s="405">
        <f>E46*G46</f>
        <v>0</v>
      </c>
      <c r="R46" s="53"/>
      <c r="S46" s="45"/>
    </row>
    <row r="47" spans="1:19" s="29" customFormat="1">
      <c r="A47" s="404">
        <v>4.4000000000000004</v>
      </c>
      <c r="B47" s="885" t="s">
        <v>347</v>
      </c>
      <c r="C47" s="886"/>
      <c r="D47" s="884"/>
      <c r="E47" s="20">
        <f>VLOOKUP(A47,'Point Allocation'!$A$5:$J$15,MATCH(A7,'Point Allocation'!$A$5:$J$5,0),0)</f>
        <v>28</v>
      </c>
      <c r="F47" s="536"/>
      <c r="G47" s="31">
        <f>IFERROR(F47/$F$56,0)</f>
        <v>0</v>
      </c>
      <c r="H47" s="405">
        <f>E47*G47</f>
        <v>0</v>
      </c>
      <c r="R47" s="53"/>
      <c r="S47" s="45"/>
    </row>
    <row r="48" spans="1:19" s="59" customFormat="1" ht="15.6">
      <c r="A48" s="396" t="s">
        <v>197</v>
      </c>
      <c r="B48" s="46" t="s">
        <v>211</v>
      </c>
      <c r="C48" s="57"/>
      <c r="D48" s="58"/>
      <c r="E48" s="7"/>
      <c r="F48" s="7"/>
      <c r="G48" s="24"/>
      <c r="H48" s="407"/>
      <c r="J48" s="29"/>
      <c r="K48" s="29"/>
      <c r="L48" s="29"/>
      <c r="M48" s="29"/>
      <c r="N48" s="29"/>
      <c r="R48" s="60"/>
    </row>
    <row r="49" spans="1:19" s="59" customFormat="1" ht="15.6">
      <c r="A49" s="408">
        <v>5</v>
      </c>
      <c r="B49" s="40" t="s">
        <v>212</v>
      </c>
      <c r="C49" s="49"/>
      <c r="D49" s="49"/>
      <c r="E49" s="8"/>
      <c r="F49" s="8"/>
      <c r="G49" s="22"/>
      <c r="H49" s="403"/>
      <c r="J49" s="29"/>
      <c r="K49" s="29"/>
      <c r="L49" s="29"/>
      <c r="M49" s="29"/>
      <c r="N49" s="29"/>
      <c r="R49" s="60"/>
    </row>
    <row r="50" spans="1:19" s="29" customFormat="1">
      <c r="A50" s="409">
        <v>5.0999999999999996</v>
      </c>
      <c r="B50" s="844" t="s">
        <v>204</v>
      </c>
      <c r="C50" s="846"/>
      <c r="D50" s="845"/>
      <c r="E50" s="20">
        <f>VLOOKUP(A50,'Point Allocation'!$A$5:$J$15,MATCH(A7,'Point Allocation'!$A$5:$J$5,0),0)</f>
        <v>22</v>
      </c>
      <c r="F50" s="536"/>
      <c r="G50" s="31">
        <f>IFERROR(F50/$F$56,0)</f>
        <v>0</v>
      </c>
      <c r="H50" s="405">
        <f>E50*G50</f>
        <v>0</v>
      </c>
      <c r="R50" s="53"/>
      <c r="S50" s="45"/>
    </row>
    <row r="51" spans="1:19" s="29" customFormat="1">
      <c r="A51" s="409">
        <v>5.2</v>
      </c>
      <c r="B51" s="844" t="s">
        <v>151</v>
      </c>
      <c r="C51" s="846"/>
      <c r="D51" s="845"/>
      <c r="E51" s="20">
        <f>VLOOKUP(A51,'Point Allocation'!$A$5:$J$15,MATCH(A7,'Point Allocation'!$A$5:$J$5,0),0)</f>
        <v>10</v>
      </c>
      <c r="F51" s="536"/>
      <c r="G51" s="31">
        <f>IFERROR(F51/$F$56,0)</f>
        <v>0</v>
      </c>
      <c r="H51" s="405">
        <f>E51*G51</f>
        <v>0</v>
      </c>
      <c r="R51" s="53"/>
      <c r="S51" s="45"/>
    </row>
    <row r="52" spans="1:19" s="29" customFormat="1" ht="15.6">
      <c r="A52" s="410">
        <v>6</v>
      </c>
      <c r="B52" s="61" t="s">
        <v>213</v>
      </c>
      <c r="C52" s="49"/>
      <c r="D52" s="49"/>
      <c r="E52" s="8"/>
      <c r="F52" s="8"/>
      <c r="G52" s="22"/>
      <c r="H52" s="403"/>
      <c r="R52" s="53"/>
      <c r="S52" s="45"/>
    </row>
    <row r="53" spans="1:19" s="29" customFormat="1">
      <c r="A53" s="411">
        <v>6.1</v>
      </c>
      <c r="B53" s="826"/>
      <c r="C53" s="821"/>
      <c r="D53" s="847"/>
      <c r="E53" s="536"/>
      <c r="F53" s="536"/>
      <c r="G53" s="31">
        <f>IFERROR(F53/$F$56,0)</f>
        <v>0</v>
      </c>
      <c r="H53" s="405">
        <f>E53*G53</f>
        <v>0</v>
      </c>
      <c r="R53" s="53"/>
      <c r="S53" s="45"/>
    </row>
    <row r="54" spans="1:19" s="29" customFormat="1">
      <c r="A54" s="411">
        <v>6.2</v>
      </c>
      <c r="B54" s="826"/>
      <c r="C54" s="821"/>
      <c r="D54" s="847"/>
      <c r="E54" s="536"/>
      <c r="F54" s="536"/>
      <c r="G54" s="31">
        <f>IFERROR(F54/$F$56,0)</f>
        <v>0</v>
      </c>
      <c r="H54" s="405">
        <f>E54*G54</f>
        <v>0</v>
      </c>
      <c r="R54" s="53"/>
      <c r="S54" s="45"/>
    </row>
    <row r="55" spans="1:19" s="29" customFormat="1">
      <c r="A55" s="411">
        <v>6.3</v>
      </c>
      <c r="B55" s="826"/>
      <c r="C55" s="821"/>
      <c r="D55" s="847"/>
      <c r="E55" s="536"/>
      <c r="F55" s="536"/>
      <c r="G55" s="31">
        <f>IFERROR(F55/$F$56,0)</f>
        <v>0</v>
      </c>
      <c r="H55" s="405">
        <f>E55*G55</f>
        <v>0</v>
      </c>
      <c r="R55" s="53"/>
      <c r="S55" s="45"/>
    </row>
    <row r="56" spans="1:19" s="29" customFormat="1" ht="15.6">
      <c r="A56" s="412"/>
      <c r="B56" s="322"/>
      <c r="C56" s="323"/>
      <c r="D56" s="323"/>
      <c r="E56" s="324" t="s">
        <v>61</v>
      </c>
      <c r="F56" s="26">
        <f>SUM(F29,F32,F34,F35,F44,F45,F46,F47,F50,F51,F53,F54,F55)</f>
        <v>0</v>
      </c>
      <c r="G56" s="25">
        <f>SUM(G29,G32:G32,G34:G35,G44:G47,G50:G51,G53:G55)</f>
        <v>0</v>
      </c>
      <c r="H56" s="413">
        <f>IFERROR(SUM(H29:H55),0)</f>
        <v>0</v>
      </c>
      <c r="N56" s="62"/>
      <c r="R56" s="53"/>
      <c r="S56" s="45"/>
    </row>
    <row r="57" spans="1:19" s="29" customFormat="1" ht="15.6" thickBot="1">
      <c r="A57" s="491"/>
      <c r="B57" s="492"/>
      <c r="C57" s="493"/>
      <c r="D57" s="493"/>
      <c r="E57" s="493"/>
      <c r="F57" s="493"/>
      <c r="G57" s="480"/>
      <c r="H57" s="639"/>
      <c r="R57" s="53"/>
      <c r="S57" s="45"/>
    </row>
    <row r="58" spans="1:19" s="29" customFormat="1" ht="15.6">
      <c r="A58" s="954" t="s">
        <v>0</v>
      </c>
      <c r="B58" s="955"/>
      <c r="C58" s="646"/>
      <c r="D58" s="978" t="s">
        <v>4</v>
      </c>
      <c r="E58" s="952" t="s">
        <v>1</v>
      </c>
      <c r="F58" s="953"/>
      <c r="G58" s="948" t="s">
        <v>21</v>
      </c>
      <c r="H58" s="950" t="s">
        <v>63</v>
      </c>
      <c r="R58" s="53"/>
      <c r="S58" s="45"/>
    </row>
    <row r="59" spans="1:19" s="29" customFormat="1" ht="31.2">
      <c r="A59" s="956"/>
      <c r="B59" s="957"/>
      <c r="C59" s="63"/>
      <c r="D59" s="979"/>
      <c r="E59" s="43" t="s">
        <v>118</v>
      </c>
      <c r="F59" s="43" t="s">
        <v>119</v>
      </c>
      <c r="G59" s="949"/>
      <c r="H59" s="951"/>
      <c r="J59" s="64"/>
      <c r="R59" s="53"/>
      <c r="S59" s="45"/>
    </row>
    <row r="60" spans="1:19" s="29" customFormat="1" ht="15.6">
      <c r="A60" s="415" t="s">
        <v>219</v>
      </c>
      <c r="B60" s="46" t="s">
        <v>148</v>
      </c>
      <c r="C60" s="58"/>
      <c r="D60" s="65"/>
      <c r="E60" s="48"/>
      <c r="F60" s="48"/>
      <c r="G60" s="48"/>
      <c r="H60" s="416"/>
      <c r="J60" s="62"/>
      <c r="K60" s="62"/>
      <c r="L60" s="62"/>
      <c r="M60" s="62"/>
      <c r="R60" s="53"/>
      <c r="S60" s="45"/>
    </row>
    <row r="61" spans="1:19" s="29" customFormat="1" ht="15" customHeight="1">
      <c r="A61" s="417" t="s">
        <v>349</v>
      </c>
      <c r="B61" s="850" t="s">
        <v>595</v>
      </c>
      <c r="C61" s="851"/>
      <c r="D61" s="5" t="s">
        <v>51</v>
      </c>
      <c r="E61" s="9">
        <v>3</v>
      </c>
      <c r="F61" s="9">
        <v>4</v>
      </c>
      <c r="G61" s="66"/>
      <c r="H61" s="405">
        <f>IF(G61&gt;=80%,F61,IF(G61&lt;65%,0,E61))</f>
        <v>0</v>
      </c>
      <c r="R61" s="53"/>
      <c r="S61" s="45"/>
    </row>
    <row r="62" spans="1:19" s="29" customFormat="1">
      <c r="A62" s="417" t="s">
        <v>350</v>
      </c>
      <c r="B62" s="850" t="s">
        <v>596</v>
      </c>
      <c r="C62" s="851"/>
      <c r="D62" s="5" t="s">
        <v>51</v>
      </c>
      <c r="E62" s="9">
        <v>3</v>
      </c>
      <c r="F62" s="9">
        <v>4</v>
      </c>
      <c r="G62" s="66"/>
      <c r="H62" s="405">
        <f>IF(G62&gt;=80%,F62,IF(G62&lt;65%,0,E62))</f>
        <v>0</v>
      </c>
      <c r="R62" s="53"/>
      <c r="S62" s="45"/>
    </row>
    <row r="63" spans="1:19" s="29" customFormat="1">
      <c r="A63" s="418" t="s">
        <v>351</v>
      </c>
      <c r="B63" s="850" t="s">
        <v>588</v>
      </c>
      <c r="C63" s="851"/>
      <c r="D63" s="5" t="s">
        <v>51</v>
      </c>
      <c r="E63" s="9">
        <v>3</v>
      </c>
      <c r="F63" s="9">
        <v>4</v>
      </c>
      <c r="G63" s="66"/>
      <c r="H63" s="405">
        <f>IF(G63&gt;=80%,F63,IF(G63&lt;65%,0,E63))</f>
        <v>0</v>
      </c>
      <c r="R63" s="53"/>
      <c r="S63" s="45"/>
    </row>
    <row r="64" spans="1:19" s="29" customFormat="1" ht="51" customHeight="1">
      <c r="A64" s="417">
        <v>7.2</v>
      </c>
      <c r="B64" s="1019" t="s">
        <v>354</v>
      </c>
      <c r="C64" s="1019"/>
      <c r="D64" s="518" t="s">
        <v>51</v>
      </c>
      <c r="E64" s="540">
        <v>2</v>
      </c>
      <c r="F64" s="540">
        <v>2.5</v>
      </c>
      <c r="G64" s="516"/>
      <c r="H64" s="419">
        <f>IF(H35&gt;0,0,IF(G64&gt;=80%,F64,IF(G64&lt;65%,0,E64)))</f>
        <v>0</v>
      </c>
      <c r="J64" s="11"/>
      <c r="K64" s="11"/>
      <c r="L64" s="11"/>
      <c r="R64" s="53"/>
      <c r="S64" s="45"/>
    </row>
    <row r="65" spans="1:19" s="29" customFormat="1" ht="15" customHeight="1">
      <c r="A65" s="417">
        <v>7.3</v>
      </c>
      <c r="B65" s="885" t="s">
        <v>226</v>
      </c>
      <c r="C65" s="886"/>
      <c r="D65" s="375"/>
      <c r="E65" s="375"/>
      <c r="F65" s="375"/>
      <c r="G65" s="375"/>
      <c r="H65" s="420"/>
      <c r="J65" s="11"/>
      <c r="K65" s="11"/>
      <c r="L65" s="11"/>
      <c r="R65" s="53"/>
      <c r="S65" s="45"/>
    </row>
    <row r="66" spans="1:19" s="29" customFormat="1" ht="32.25" customHeight="1">
      <c r="A66" s="418" t="s">
        <v>220</v>
      </c>
      <c r="B66" s="883" t="s">
        <v>227</v>
      </c>
      <c r="C66" s="884"/>
      <c r="D66" s="856" t="s">
        <v>51</v>
      </c>
      <c r="E66" s="296">
        <v>1</v>
      </c>
      <c r="F66" s="296">
        <v>1.5</v>
      </c>
      <c r="G66" s="67"/>
      <c r="H66" s="298">
        <f>IF(H29+H35&gt;0,0.5,IF(G66&gt;=80%,F66,IF(G66&lt;65%,0,E66)))</f>
        <v>0</v>
      </c>
      <c r="K66" s="11"/>
      <c r="L66" s="11"/>
      <c r="R66" s="53"/>
      <c r="S66" s="45"/>
    </row>
    <row r="67" spans="1:19" s="29" customFormat="1" ht="47.25" customHeight="1">
      <c r="A67" s="418" t="s">
        <v>221</v>
      </c>
      <c r="B67" s="883" t="s">
        <v>228</v>
      </c>
      <c r="C67" s="884"/>
      <c r="D67" s="857"/>
      <c r="E67" s="296">
        <v>1</v>
      </c>
      <c r="F67" s="296">
        <v>1.5</v>
      </c>
      <c r="G67" s="67"/>
      <c r="H67" s="298">
        <f>IF(H29+H35&gt;0,0.5,IF(G67&gt;=80%,F67,IF(G67&lt;65%,0,E67)))</f>
        <v>0</v>
      </c>
      <c r="R67" s="53"/>
      <c r="S67" s="45"/>
    </row>
    <row r="68" spans="1:19" s="29" customFormat="1">
      <c r="A68" s="418" t="s">
        <v>235</v>
      </c>
      <c r="B68" s="883" t="s">
        <v>229</v>
      </c>
      <c r="C68" s="884"/>
      <c r="D68" s="857"/>
      <c r="E68" s="296">
        <v>1</v>
      </c>
      <c r="F68" s="296">
        <v>1.5</v>
      </c>
      <c r="G68" s="67"/>
      <c r="H68" s="298">
        <f>IF(H29+H35&gt;0,0.5,IF(G68&gt;=80%,F68,IF(G68&lt;65%,0,E68)))</f>
        <v>0</v>
      </c>
      <c r="R68" s="53"/>
      <c r="S68" s="45"/>
    </row>
    <row r="69" spans="1:19" s="29" customFormat="1" ht="46.5" customHeight="1">
      <c r="A69" s="418" t="s">
        <v>222</v>
      </c>
      <c r="B69" s="883" t="s">
        <v>230</v>
      </c>
      <c r="C69" s="884"/>
      <c r="D69" s="858"/>
      <c r="E69" s="296">
        <v>1</v>
      </c>
      <c r="F69" s="296">
        <v>1.5</v>
      </c>
      <c r="G69" s="67"/>
      <c r="H69" s="298">
        <f>IF(H29+H35&gt;0,0.5,IF(G69&gt;=80%,F69,IF(G69&lt;65%,0,E69)))</f>
        <v>0</v>
      </c>
      <c r="R69" s="53"/>
      <c r="S69" s="45"/>
    </row>
    <row r="70" spans="1:19" s="29" customFormat="1">
      <c r="A70" s="417">
        <v>7.4</v>
      </c>
      <c r="B70" s="930" t="s">
        <v>441</v>
      </c>
      <c r="C70" s="930"/>
      <c r="D70" s="350" t="s">
        <v>2</v>
      </c>
      <c r="E70" s="296">
        <v>1</v>
      </c>
      <c r="F70" s="296">
        <v>1.5</v>
      </c>
      <c r="G70" s="67"/>
      <c r="H70" s="298">
        <f>IF(G70&gt;=80%,F70,IF(G70&lt;65%,0,E70))</f>
        <v>0</v>
      </c>
      <c r="R70" s="53"/>
      <c r="S70" s="45"/>
    </row>
    <row r="71" spans="1:19" s="29" customFormat="1" ht="15" customHeight="1">
      <c r="A71" s="526">
        <v>7.5</v>
      </c>
      <c r="B71" s="932" t="s">
        <v>422</v>
      </c>
      <c r="C71" s="932"/>
      <c r="D71" s="561" t="s">
        <v>420</v>
      </c>
      <c r="E71" s="855">
        <v>2</v>
      </c>
      <c r="F71" s="855"/>
      <c r="G71" s="546"/>
      <c r="H71" s="519">
        <f>IF(G71&gt;=5%,E71,0)</f>
        <v>0</v>
      </c>
      <c r="R71" s="53"/>
      <c r="S71" s="45"/>
    </row>
    <row r="72" spans="1:19" s="29" customFormat="1" ht="15.6">
      <c r="A72" s="421" t="s">
        <v>223</v>
      </c>
      <c r="B72" s="68" t="s">
        <v>231</v>
      </c>
      <c r="C72" s="69"/>
      <c r="D72" s="70"/>
      <c r="E72" s="71"/>
      <c r="F72" s="71"/>
      <c r="G72" s="71"/>
      <c r="H72" s="422"/>
      <c r="R72" s="53"/>
      <c r="S72" s="45"/>
    </row>
    <row r="73" spans="1:19" s="29" customFormat="1">
      <c r="A73" s="417">
        <v>8.1</v>
      </c>
      <c r="B73" s="852" t="s">
        <v>232</v>
      </c>
      <c r="C73" s="852"/>
      <c r="D73" s="5" t="s">
        <v>51</v>
      </c>
      <c r="E73" s="20">
        <v>2</v>
      </c>
      <c r="F73" s="20">
        <v>2.5</v>
      </c>
      <c r="G73" s="72"/>
      <c r="H73" s="405">
        <f>IF(G73&gt;=80%,F73,IF(G73&lt;65%,0,E73))</f>
        <v>0</v>
      </c>
      <c r="J73" s="73"/>
      <c r="R73" s="53"/>
      <c r="S73" s="45"/>
    </row>
    <row r="74" spans="1:19" s="29" customFormat="1">
      <c r="A74" s="417">
        <v>8.1999999999999993</v>
      </c>
      <c r="B74" s="852" t="s">
        <v>233</v>
      </c>
      <c r="C74" s="852"/>
      <c r="D74" s="5" t="s">
        <v>51</v>
      </c>
      <c r="E74" s="20">
        <v>2</v>
      </c>
      <c r="F74" s="20">
        <v>2.5</v>
      </c>
      <c r="G74" s="72"/>
      <c r="H74" s="405">
        <f>IF(G74&gt;=80%,F74,IF(G74&lt;65%,0,E74))</f>
        <v>0</v>
      </c>
      <c r="J74" s="11"/>
      <c r="K74" s="11"/>
      <c r="L74" s="11"/>
      <c r="R74" s="53"/>
      <c r="S74" s="45"/>
    </row>
    <row r="75" spans="1:19" s="29" customFormat="1">
      <c r="A75" s="417">
        <v>8.3000000000000007</v>
      </c>
      <c r="B75" s="874" t="s">
        <v>147</v>
      </c>
      <c r="C75" s="875"/>
      <c r="D75" s="5" t="s">
        <v>2</v>
      </c>
      <c r="E75" s="20">
        <v>2</v>
      </c>
      <c r="F75" s="20">
        <v>2.5</v>
      </c>
      <c r="G75" s="66"/>
      <c r="H75" s="405">
        <f>IF(G75&gt;=80%,F75,IF(G75&lt;65%,0,E75))</f>
        <v>0</v>
      </c>
      <c r="R75" s="53"/>
      <c r="S75" s="45"/>
    </row>
    <row r="76" spans="1:19" s="29" customFormat="1" ht="15.6">
      <c r="A76" s="421" t="s">
        <v>224</v>
      </c>
      <c r="B76" s="68" t="s">
        <v>234</v>
      </c>
      <c r="C76" s="69"/>
      <c r="D76" s="70"/>
      <c r="E76" s="71"/>
      <c r="F76" s="71"/>
      <c r="G76" s="71"/>
      <c r="H76" s="422"/>
      <c r="R76" s="53"/>
      <c r="S76" s="45"/>
    </row>
    <row r="77" spans="1:19" s="29" customFormat="1" ht="31.5" customHeight="1">
      <c r="A77" s="417">
        <v>9.1</v>
      </c>
      <c r="B77" s="852" t="s">
        <v>371</v>
      </c>
      <c r="C77" s="852"/>
      <c r="D77" s="5" t="s">
        <v>51</v>
      </c>
      <c r="E77" s="20">
        <v>2</v>
      </c>
      <c r="F77" s="20">
        <v>2.5</v>
      </c>
      <c r="G77" s="72"/>
      <c r="H77" s="405">
        <f>IF(G77&gt;=80%,F77,IF(G77&lt;65%,0,E77))</f>
        <v>0</v>
      </c>
      <c r="R77" s="53"/>
      <c r="S77" s="45"/>
    </row>
    <row r="78" spans="1:19" s="29" customFormat="1" ht="15.6">
      <c r="A78" s="423" t="s">
        <v>225</v>
      </c>
      <c r="B78" s="74" t="s">
        <v>213</v>
      </c>
      <c r="C78" s="58"/>
      <c r="D78" s="58"/>
      <c r="E78" s="75"/>
      <c r="F78" s="75"/>
      <c r="G78" s="76"/>
      <c r="H78" s="424"/>
      <c r="R78" s="53"/>
      <c r="S78" s="45"/>
    </row>
    <row r="79" spans="1:19" s="29" customFormat="1">
      <c r="A79" s="417">
        <v>10.1</v>
      </c>
      <c r="B79" s="848"/>
      <c r="C79" s="848"/>
      <c r="D79" s="77"/>
      <c r="E79" s="536"/>
      <c r="F79" s="536"/>
      <c r="G79" s="547"/>
      <c r="H79" s="405">
        <f>IF(G79&gt;=80%,F79,IF(G79&lt;65%,0,E79))</f>
        <v>0</v>
      </c>
      <c r="R79" s="53"/>
      <c r="S79" s="45"/>
    </row>
    <row r="80" spans="1:19" s="29" customFormat="1">
      <c r="A80" s="417">
        <v>10.199999999999999</v>
      </c>
      <c r="B80" s="848"/>
      <c r="C80" s="848"/>
      <c r="D80" s="77"/>
      <c r="E80" s="536"/>
      <c r="F80" s="536"/>
      <c r="G80" s="547"/>
      <c r="H80" s="405">
        <f>IF(G80&gt;=80%,F80,IF(G80&lt;65%,0,E80))</f>
        <v>0</v>
      </c>
      <c r="R80" s="53"/>
      <c r="S80" s="45"/>
    </row>
    <row r="81" spans="1:19" s="29" customFormat="1">
      <c r="A81" s="417">
        <v>10.3</v>
      </c>
      <c r="B81" s="848"/>
      <c r="C81" s="848"/>
      <c r="D81" s="77"/>
      <c r="E81" s="536"/>
      <c r="F81" s="536"/>
      <c r="G81" s="547"/>
      <c r="H81" s="405">
        <f>IF(G81&gt;=80%,F81,IF(G81&lt;65%,0,E81))</f>
        <v>0</v>
      </c>
      <c r="R81" s="53"/>
      <c r="S81" s="45"/>
    </row>
    <row r="82" spans="1:19" s="29" customFormat="1" ht="15.6">
      <c r="A82" s="425"/>
      <c r="B82" s="325"/>
      <c r="C82" s="323"/>
      <c r="D82" s="323"/>
      <c r="E82" s="326"/>
      <c r="F82" s="327"/>
      <c r="G82" s="328" t="s">
        <v>418</v>
      </c>
      <c r="H82" s="426">
        <f>IFERROR((SUM(H61:H81)),0)</f>
        <v>0</v>
      </c>
      <c r="R82" s="53"/>
      <c r="S82" s="45"/>
    </row>
    <row r="83" spans="1:19" s="29" customFormat="1">
      <c r="A83" s="412"/>
      <c r="B83" s="325"/>
      <c r="C83" s="323"/>
      <c r="D83" s="323"/>
      <c r="E83" s="323"/>
      <c r="F83" s="323"/>
      <c r="G83" s="329"/>
      <c r="H83" s="388"/>
      <c r="R83" s="53"/>
      <c r="S83" s="45"/>
    </row>
    <row r="84" spans="1:19" s="29" customFormat="1" ht="15.6">
      <c r="A84" s="412"/>
      <c r="B84" s="325"/>
      <c r="C84" s="323"/>
      <c r="D84" s="323"/>
      <c r="E84" s="323"/>
      <c r="F84" s="323"/>
      <c r="G84" s="330" t="s">
        <v>129</v>
      </c>
      <c r="H84" s="427">
        <f>IFERROR(MIN(G24,H56+H82),0)</f>
        <v>0</v>
      </c>
      <c r="R84" s="53"/>
      <c r="S84" s="45"/>
    </row>
    <row r="85" spans="1:19" s="29" customFormat="1" ht="16.2" thickBot="1">
      <c r="A85" s="491"/>
      <c r="B85" s="492"/>
      <c r="C85" s="493"/>
      <c r="D85" s="493"/>
      <c r="E85" s="493"/>
      <c r="F85" s="493"/>
      <c r="G85" s="496"/>
      <c r="H85" s="495"/>
      <c r="R85" s="53"/>
      <c r="S85" s="45"/>
    </row>
    <row r="86" spans="1:19" s="29" customFormat="1" ht="15.6">
      <c r="A86" s="486" t="s">
        <v>52</v>
      </c>
      <c r="B86" s="487"/>
      <c r="C86" s="487"/>
      <c r="D86" s="487"/>
      <c r="E86" s="487"/>
      <c r="F86" s="488" t="s">
        <v>43</v>
      </c>
      <c r="G86" s="489">
        <f>VLOOKUP($A$7,'Manpower allocation'!A4:D11,3,FALSE)*100</f>
        <v>40</v>
      </c>
      <c r="H86" s="490" t="s">
        <v>42</v>
      </c>
      <c r="J86" s="79">
        <f>VLOOKUP($A$7,'Manpower allocation'!A4:D11,3,FALSE)*100</f>
        <v>40</v>
      </c>
      <c r="R86" s="53"/>
      <c r="S86" s="45"/>
    </row>
    <row r="87" spans="1:19" s="29" customFormat="1" ht="15.6">
      <c r="A87" s="412"/>
      <c r="B87" s="331"/>
      <c r="C87" s="326"/>
      <c r="D87" s="323"/>
      <c r="E87" s="323"/>
      <c r="F87" s="323"/>
      <c r="G87" s="332"/>
      <c r="H87" s="388"/>
      <c r="R87" s="53"/>
      <c r="S87" s="45"/>
    </row>
    <row r="88" spans="1:19" s="29" customFormat="1" ht="46.8">
      <c r="A88" s="549" t="s">
        <v>0</v>
      </c>
      <c r="B88" s="550"/>
      <c r="C88" s="168"/>
      <c r="D88" s="80"/>
      <c r="E88" s="81" t="s">
        <v>17</v>
      </c>
      <c r="F88" s="82" t="s">
        <v>81</v>
      </c>
      <c r="G88" s="82" t="s">
        <v>20</v>
      </c>
      <c r="H88" s="428" t="s">
        <v>53</v>
      </c>
      <c r="R88" s="53"/>
      <c r="S88" s="45"/>
    </row>
    <row r="89" spans="1:19" s="29" customFormat="1" ht="15.6">
      <c r="A89" s="429" t="s">
        <v>303</v>
      </c>
      <c r="B89" s="83" t="s">
        <v>332</v>
      </c>
      <c r="C89" s="84"/>
      <c r="D89" s="84"/>
      <c r="E89" s="85"/>
      <c r="F89" s="85"/>
      <c r="G89" s="85"/>
      <c r="H89" s="430"/>
      <c r="R89" s="53"/>
      <c r="S89" s="45"/>
    </row>
    <row r="90" spans="1:19" s="29" customFormat="1" ht="15.6">
      <c r="A90" s="431">
        <v>1</v>
      </c>
      <c r="B90" s="86" t="s">
        <v>338</v>
      </c>
      <c r="C90" s="87"/>
      <c r="D90" s="87"/>
      <c r="E90" s="88"/>
      <c r="F90" s="88"/>
      <c r="G90" s="88"/>
      <c r="H90" s="432"/>
      <c r="R90" s="53"/>
      <c r="S90" s="45"/>
    </row>
    <row r="91" spans="1:19" s="29" customFormat="1">
      <c r="A91" s="417">
        <v>1.1000000000000001</v>
      </c>
      <c r="B91" s="885" t="s">
        <v>290</v>
      </c>
      <c r="C91" s="846"/>
      <c r="D91" s="845"/>
      <c r="E91" s="89">
        <f>VLOOKUP(A91,'Point Allocation'!$A$20:$J$40,MATCH(A7,'Point Allocation'!$A$20:$J$20,0),0)</f>
        <v>30</v>
      </c>
      <c r="F91" s="90"/>
      <c r="G91" s="91">
        <f>IFERROR(F91/$F$115,0)</f>
        <v>0</v>
      </c>
      <c r="H91" s="433">
        <f>E91*G91</f>
        <v>0</v>
      </c>
      <c r="R91" s="45"/>
      <c r="S91" s="45"/>
    </row>
    <row r="92" spans="1:19" s="29" customFormat="1" ht="15.6">
      <c r="A92" s="434">
        <v>2</v>
      </c>
      <c r="B92" s="92" t="s">
        <v>339</v>
      </c>
      <c r="C92" s="93"/>
      <c r="D92" s="94"/>
      <c r="E92" s="94"/>
      <c r="F92" s="95"/>
      <c r="G92" s="96"/>
      <c r="H92" s="435"/>
      <c r="R92" s="53"/>
      <c r="S92" s="45"/>
    </row>
    <row r="93" spans="1:19" s="29" customFormat="1">
      <c r="A93" s="849">
        <v>2.1</v>
      </c>
      <c r="B93" s="844" t="s">
        <v>207</v>
      </c>
      <c r="C93" s="846"/>
      <c r="D93" s="845"/>
      <c r="E93" s="853">
        <f>VLOOKUP(A93,'Point Allocation'!$A$20:$J$40,MATCH(A7,'Point Allocation'!$A$20:$J$20,0),0)</f>
        <v>28</v>
      </c>
      <c r="F93" s="854"/>
      <c r="G93" s="914">
        <f>IFERROR(F93/$F$115,0)</f>
        <v>0</v>
      </c>
      <c r="H93" s="921">
        <f>E93*G93</f>
        <v>0</v>
      </c>
      <c r="R93" s="53"/>
      <c r="S93" s="45"/>
    </row>
    <row r="94" spans="1:19" s="29" customFormat="1" ht="15.6">
      <c r="A94" s="841"/>
      <c r="B94" s="836" t="s">
        <v>120</v>
      </c>
      <c r="C94" s="837"/>
      <c r="D94" s="838"/>
      <c r="E94" s="853"/>
      <c r="F94" s="854"/>
      <c r="G94" s="914"/>
      <c r="H94" s="921"/>
      <c r="R94" s="53"/>
      <c r="S94" s="45"/>
    </row>
    <row r="95" spans="1:19" s="29" customFormat="1">
      <c r="A95" s="849">
        <v>2.2000000000000002</v>
      </c>
      <c r="B95" s="885" t="s">
        <v>178</v>
      </c>
      <c r="C95" s="886"/>
      <c r="D95" s="884"/>
      <c r="E95" s="853">
        <f>VLOOKUP(A95,'Point Allocation'!$A$20:$J$40,MATCH(A7,'Point Allocation'!$A$20:$J$20,0),0)</f>
        <v>28</v>
      </c>
      <c r="F95" s="854"/>
      <c r="G95" s="914">
        <f>IFERROR(F95/$F$115,0)</f>
        <v>0</v>
      </c>
      <c r="H95" s="921">
        <f>E95*G95</f>
        <v>0</v>
      </c>
      <c r="R95" s="53"/>
      <c r="S95" s="45"/>
    </row>
    <row r="96" spans="1:19" s="29" customFormat="1" ht="15.6">
      <c r="A96" s="882"/>
      <c r="B96" s="836" t="s">
        <v>120</v>
      </c>
      <c r="C96" s="837"/>
      <c r="D96" s="838"/>
      <c r="E96" s="853"/>
      <c r="F96" s="854"/>
      <c r="G96" s="914"/>
      <c r="H96" s="921"/>
      <c r="R96" s="53"/>
      <c r="S96" s="45"/>
    </row>
    <row r="97" spans="1:19" s="29" customFormat="1" ht="15.6">
      <c r="A97" s="431">
        <v>3</v>
      </c>
      <c r="B97" s="86" t="s">
        <v>340</v>
      </c>
      <c r="C97" s="93"/>
      <c r="D97" s="93"/>
      <c r="E97" s="95"/>
      <c r="F97" s="95"/>
      <c r="G97" s="96"/>
      <c r="H97" s="436"/>
      <c r="R97" s="53"/>
      <c r="S97" s="45"/>
    </row>
    <row r="98" spans="1:19" s="29" customFormat="1">
      <c r="A98" s="849">
        <v>3.1</v>
      </c>
      <c r="B98" s="844" t="s">
        <v>208</v>
      </c>
      <c r="C98" s="846"/>
      <c r="D98" s="845"/>
      <c r="E98" s="853">
        <f>VLOOKUP(A98,'Point Allocation'!$A$20:$J$40,MATCH(A7,'Point Allocation'!$A$20:$J$20,0),0)</f>
        <v>27</v>
      </c>
      <c r="F98" s="854"/>
      <c r="G98" s="914">
        <f>IFERROR(F98/$F$115,0)</f>
        <v>0</v>
      </c>
      <c r="H98" s="921">
        <f>E98*G98</f>
        <v>0</v>
      </c>
      <c r="R98" s="53"/>
      <c r="S98" s="45"/>
    </row>
    <row r="99" spans="1:19" s="29" customFormat="1" ht="15.6">
      <c r="A99" s="841"/>
      <c r="B99" s="836" t="s">
        <v>286</v>
      </c>
      <c r="C99" s="837"/>
      <c r="D99" s="838"/>
      <c r="E99" s="853"/>
      <c r="F99" s="854"/>
      <c r="G99" s="914"/>
      <c r="H99" s="921"/>
      <c r="R99" s="53"/>
      <c r="S99" s="45"/>
    </row>
    <row r="100" spans="1:19" s="29" customFormat="1" ht="15.6">
      <c r="A100" s="431">
        <v>4</v>
      </c>
      <c r="B100" s="86" t="s">
        <v>341</v>
      </c>
      <c r="C100" s="93"/>
      <c r="D100" s="93"/>
      <c r="E100" s="95"/>
      <c r="F100" s="95"/>
      <c r="G100" s="96"/>
      <c r="H100" s="436"/>
      <c r="R100" s="53"/>
      <c r="S100" s="45"/>
    </row>
    <row r="101" spans="1:19" s="29" customFormat="1" ht="30" customHeight="1">
      <c r="A101" s="418" t="s">
        <v>205</v>
      </c>
      <c r="B101" s="871" t="s">
        <v>292</v>
      </c>
      <c r="C101" s="872"/>
      <c r="D101" s="873"/>
      <c r="E101" s="97">
        <f>VLOOKUP(A101,'Point Allocation'!$A$20:$J$40,MATCH(A7,'Point Allocation'!$A$20:$J$20,0),0)</f>
        <v>25</v>
      </c>
      <c r="F101" s="537"/>
      <c r="G101" s="538">
        <f>IFERROR(F101/$F$115,0)</f>
        <v>0</v>
      </c>
      <c r="H101" s="437">
        <f>E101*G101</f>
        <v>0</v>
      </c>
      <c r="R101" s="912"/>
      <c r="S101" s="45"/>
    </row>
    <row r="102" spans="1:19" s="29" customFormat="1">
      <c r="A102" s="418" t="s">
        <v>206</v>
      </c>
      <c r="B102" s="871" t="s">
        <v>293</v>
      </c>
      <c r="C102" s="872"/>
      <c r="D102" s="873"/>
      <c r="E102" s="97">
        <f>VLOOKUP(A102,'Point Allocation'!$A$20:$J$40,MATCH(A7,'Point Allocation'!$A$20:$J$20,0),0)</f>
        <v>25</v>
      </c>
      <c r="F102" s="537"/>
      <c r="G102" s="538">
        <f>IFERROR(F102/$F$115,0)</f>
        <v>0</v>
      </c>
      <c r="H102" s="437">
        <f>E102*G102</f>
        <v>0</v>
      </c>
      <c r="R102" s="912"/>
      <c r="S102" s="45"/>
    </row>
    <row r="103" spans="1:19" s="29" customFormat="1">
      <c r="A103" s="417">
        <v>4.2</v>
      </c>
      <c r="B103" s="874" t="s">
        <v>209</v>
      </c>
      <c r="C103" s="931"/>
      <c r="D103" s="875"/>
      <c r="E103" s="97">
        <f>VLOOKUP(A103,'Point Allocation'!$A$20:$J$40,MATCH(A7,'Point Allocation'!$A$20:$J$20,0),0)</f>
        <v>25</v>
      </c>
      <c r="F103" s="537"/>
      <c r="G103" s="538">
        <f>IFERROR(F103/$F$115,0)</f>
        <v>0</v>
      </c>
      <c r="H103" s="437">
        <f>E103*G103</f>
        <v>0</v>
      </c>
      <c r="R103" s="53"/>
      <c r="S103" s="45"/>
    </row>
    <row r="104" spans="1:19" s="29" customFormat="1">
      <c r="A104" s="417">
        <v>4.3</v>
      </c>
      <c r="B104" s="922" t="s">
        <v>159</v>
      </c>
      <c r="C104" s="923"/>
      <c r="D104" s="924"/>
      <c r="E104" s="97">
        <f>VLOOKUP(A104,'Point Allocation'!$A$20:$J$40,MATCH(A7,'Point Allocation'!$A$20:$J$20,0),0)</f>
        <v>25</v>
      </c>
      <c r="F104" s="537"/>
      <c r="G104" s="538">
        <f>IFERROR(F104/$F$115,0)</f>
        <v>0</v>
      </c>
      <c r="H104" s="438">
        <f>E104*G104</f>
        <v>0</v>
      </c>
      <c r="R104" s="53"/>
      <c r="S104" s="45"/>
    </row>
    <row r="105" spans="1:19" s="29" customFormat="1">
      <c r="A105" s="417">
        <v>4.4000000000000004</v>
      </c>
      <c r="B105" s="922" t="s">
        <v>355</v>
      </c>
      <c r="C105" s="923"/>
      <c r="D105" s="924"/>
      <c r="E105" s="97">
        <f>VLOOKUP(A105,'Point Allocation'!$A$20:$J$40,MATCH(A7,'Point Allocation'!$A$20:$J$20,0),0)</f>
        <v>22</v>
      </c>
      <c r="F105" s="537"/>
      <c r="G105" s="538">
        <f>IFERROR(F105/$F$115,0)</f>
        <v>0</v>
      </c>
      <c r="H105" s="438">
        <f>E105*G105</f>
        <v>0</v>
      </c>
      <c r="R105" s="53"/>
      <c r="S105" s="45"/>
    </row>
    <row r="106" spans="1:19" s="29" customFormat="1" ht="15.6">
      <c r="A106" s="439" t="s">
        <v>304</v>
      </c>
      <c r="B106" s="99" t="s">
        <v>236</v>
      </c>
      <c r="C106" s="100"/>
      <c r="D106" s="101"/>
      <c r="E106" s="102"/>
      <c r="F106" s="103"/>
      <c r="G106" s="104"/>
      <c r="H106" s="440"/>
      <c r="R106" s="53"/>
      <c r="S106" s="45"/>
    </row>
    <row r="107" spans="1:19" s="29" customFormat="1" ht="15.6">
      <c r="A107" s="431">
        <v>5</v>
      </c>
      <c r="B107" s="86" t="s">
        <v>237</v>
      </c>
      <c r="C107" s="93"/>
      <c r="D107" s="93"/>
      <c r="E107" s="95"/>
      <c r="F107" s="95"/>
      <c r="G107" s="96"/>
      <c r="H107" s="436"/>
      <c r="R107" s="53"/>
      <c r="S107" s="45"/>
    </row>
    <row r="108" spans="1:19" s="29" customFormat="1">
      <c r="A108" s="417">
        <v>5.0999999999999996</v>
      </c>
      <c r="B108" s="844" t="s">
        <v>210</v>
      </c>
      <c r="C108" s="846"/>
      <c r="D108" s="845"/>
      <c r="E108" s="105">
        <f>VLOOKUP(A108,'Point Allocation'!$A$20:$J$40,MATCH(A7,'Point Allocation'!$A$20:$J$20,0),0)</f>
        <v>16</v>
      </c>
      <c r="F108" s="156"/>
      <c r="G108" s="538">
        <f>IFERROR(F108/$F$115,0)</f>
        <v>0</v>
      </c>
      <c r="H108" s="441">
        <f>E108*G108</f>
        <v>0</v>
      </c>
      <c r="R108" s="53"/>
      <c r="S108" s="45"/>
    </row>
    <row r="109" spans="1:19" s="29" customFormat="1">
      <c r="A109" s="417">
        <v>5.2</v>
      </c>
      <c r="B109" s="844" t="s">
        <v>356</v>
      </c>
      <c r="C109" s="846"/>
      <c r="D109" s="845"/>
      <c r="E109" s="105">
        <f>VLOOKUP(A109,'Point Allocation'!$A$20:$J$40,MATCH(A7,'Point Allocation'!$A$20:$J$20,0),0)</f>
        <v>5</v>
      </c>
      <c r="F109" s="90"/>
      <c r="G109" s="538">
        <f>IFERROR(F109/$F$115,0)</f>
        <v>0</v>
      </c>
      <c r="H109" s="441">
        <f>E109*G109</f>
        <v>0</v>
      </c>
      <c r="R109" s="53"/>
      <c r="S109" s="45"/>
    </row>
    <row r="110" spans="1:19" s="29" customFormat="1">
      <c r="A110" s="417">
        <v>5.3</v>
      </c>
      <c r="B110" s="844" t="s">
        <v>357</v>
      </c>
      <c r="C110" s="846"/>
      <c r="D110" s="845"/>
      <c r="E110" s="105">
        <f>VLOOKUP(A110,'Point Allocation'!$A$20:$J$40,MATCH(A7,'Point Allocation'!$A$20:$J$20,0),0)</f>
        <v>0</v>
      </c>
      <c r="F110" s="155"/>
      <c r="G110" s="538">
        <f>IFERROR(F110/$F$115,0)</f>
        <v>0</v>
      </c>
      <c r="H110" s="442">
        <f>E110*G110</f>
        <v>0</v>
      </c>
      <c r="R110" s="53"/>
      <c r="S110" s="45"/>
    </row>
    <row r="111" spans="1:19" s="29" customFormat="1" ht="15.6">
      <c r="A111" s="443">
        <v>6</v>
      </c>
      <c r="B111" s="106" t="s">
        <v>213</v>
      </c>
      <c r="C111" s="93"/>
      <c r="D111" s="93"/>
      <c r="E111" s="95"/>
      <c r="F111" s="95"/>
      <c r="G111" s="96"/>
      <c r="H111" s="436"/>
      <c r="R111" s="53"/>
      <c r="S111" s="45"/>
    </row>
    <row r="112" spans="1:19" s="29" customFormat="1">
      <c r="A112" s="444">
        <v>6.1</v>
      </c>
      <c r="B112" s="826"/>
      <c r="C112" s="821"/>
      <c r="D112" s="847"/>
      <c r="E112" s="537"/>
      <c r="F112" s="537"/>
      <c r="G112" s="538">
        <f>IFERROR(F112/$F$115,0)</f>
        <v>0</v>
      </c>
      <c r="H112" s="442">
        <f>E112*G112</f>
        <v>0</v>
      </c>
      <c r="R112" s="53"/>
      <c r="S112" s="45"/>
    </row>
    <row r="113" spans="1:19" s="29" customFormat="1">
      <c r="A113" s="444">
        <v>6.2</v>
      </c>
      <c r="B113" s="826"/>
      <c r="C113" s="821"/>
      <c r="D113" s="847"/>
      <c r="E113" s="537"/>
      <c r="F113" s="537"/>
      <c r="G113" s="538">
        <f>IFERROR(F113/$F$115,0)</f>
        <v>0</v>
      </c>
      <c r="H113" s="442">
        <f>E113*G113</f>
        <v>0</v>
      </c>
      <c r="R113" s="53"/>
      <c r="S113" s="45"/>
    </row>
    <row r="114" spans="1:19" s="29" customFormat="1">
      <c r="A114" s="444">
        <v>6.3</v>
      </c>
      <c r="B114" s="848"/>
      <c r="C114" s="848"/>
      <c r="D114" s="848"/>
      <c r="E114" s="537"/>
      <c r="F114" s="537"/>
      <c r="G114" s="538">
        <f>IFERROR(F114/$F$115,0)</f>
        <v>0</v>
      </c>
      <c r="H114" s="442">
        <f>E114*G114</f>
        <v>0</v>
      </c>
      <c r="R114" s="53"/>
      <c r="S114" s="45"/>
    </row>
    <row r="115" spans="1:19" s="29" customFormat="1" ht="15.6">
      <c r="A115" s="425"/>
      <c r="B115" s="325"/>
      <c r="C115" s="323"/>
      <c r="D115" s="323"/>
      <c r="E115" s="330" t="s">
        <v>62</v>
      </c>
      <c r="F115" s="333">
        <f>SUM(F91:F114)+E19</f>
        <v>0</v>
      </c>
      <c r="G115" s="334">
        <f>SUM(G91:G114)+F19</f>
        <v>0</v>
      </c>
      <c r="H115" s="445">
        <f>IFERROR(SUM(H91:H114),0)</f>
        <v>0</v>
      </c>
      <c r="R115" s="53"/>
      <c r="S115" s="45"/>
    </row>
    <row r="116" spans="1:19" s="29" customFormat="1" ht="15.6" thickBot="1">
      <c r="A116" s="491"/>
      <c r="B116" s="492"/>
      <c r="C116" s="493"/>
      <c r="D116" s="493"/>
      <c r="E116" s="493"/>
      <c r="F116" s="493"/>
      <c r="G116" s="480"/>
      <c r="H116" s="639"/>
      <c r="R116" s="53"/>
      <c r="S116" s="45"/>
    </row>
    <row r="117" spans="1:19" s="29" customFormat="1" ht="31.2">
      <c r="A117" s="640" t="s">
        <v>0</v>
      </c>
      <c r="B117" s="641"/>
      <c r="C117" s="641"/>
      <c r="D117" s="642" t="s">
        <v>17</v>
      </c>
      <c r="E117" s="643" t="s">
        <v>81</v>
      </c>
      <c r="F117" s="644" t="s">
        <v>335</v>
      </c>
      <c r="G117" s="644" t="s">
        <v>336</v>
      </c>
      <c r="H117" s="645" t="s">
        <v>53</v>
      </c>
      <c r="R117" s="53"/>
      <c r="S117" s="45"/>
    </row>
    <row r="118" spans="1:19" s="29" customFormat="1" ht="15.6">
      <c r="A118" s="429" t="s">
        <v>238</v>
      </c>
      <c r="B118" s="83" t="s">
        <v>333</v>
      </c>
      <c r="C118" s="84"/>
      <c r="D118" s="85"/>
      <c r="E118" s="85"/>
      <c r="F118" s="85"/>
      <c r="G118" s="85"/>
      <c r="H118" s="430"/>
      <c r="R118" s="53"/>
      <c r="S118" s="45"/>
    </row>
    <row r="119" spans="1:19" s="29" customFormat="1" ht="15.6">
      <c r="A119" s="431">
        <v>7</v>
      </c>
      <c r="B119" s="86" t="s">
        <v>338</v>
      </c>
      <c r="C119" s="87"/>
      <c r="D119" s="88"/>
      <c r="E119" s="88"/>
      <c r="F119" s="88"/>
      <c r="G119" s="88"/>
      <c r="H119" s="432"/>
      <c r="R119" s="53"/>
      <c r="S119" s="45"/>
    </row>
    <row r="120" spans="1:19" s="29" customFormat="1" ht="15" customHeight="1">
      <c r="A120" s="404">
        <v>7.1</v>
      </c>
      <c r="B120" s="885" t="s">
        <v>290</v>
      </c>
      <c r="C120" s="884"/>
      <c r="D120" s="98">
        <f>VLOOKUP(A120,'Point Allocation'!$A$20:$J$41,MATCH(A7,'Point Allocation'!$A$20:$J$20,0),0)</f>
        <v>10</v>
      </c>
      <c r="E120" s="89">
        <f>F91</f>
        <v>0</v>
      </c>
      <c r="F120" s="89">
        <f>F29</f>
        <v>0</v>
      </c>
      <c r="G120" s="91">
        <f>IFERROR(SUM(E120:F120)/SUM($E$138:$F$138),0)</f>
        <v>0</v>
      </c>
      <c r="H120" s="433">
        <f>D120*G120</f>
        <v>0</v>
      </c>
      <c r="R120" s="53"/>
      <c r="S120" s="45"/>
    </row>
    <row r="121" spans="1:19" s="29" customFormat="1" ht="15.6">
      <c r="A121" s="434">
        <v>8</v>
      </c>
      <c r="B121" s="92" t="s">
        <v>339</v>
      </c>
      <c r="C121" s="93"/>
      <c r="D121" s="94"/>
      <c r="E121" s="95"/>
      <c r="F121" s="95"/>
      <c r="G121" s="96"/>
      <c r="H121" s="435"/>
      <c r="R121" s="53"/>
      <c r="S121" s="45"/>
    </row>
    <row r="122" spans="1:19" s="29" customFormat="1">
      <c r="A122" s="849">
        <v>8.1</v>
      </c>
      <c r="B122" s="844" t="s">
        <v>337</v>
      </c>
      <c r="C122" s="845"/>
      <c r="D122" s="925">
        <f>VLOOKUP(A122,'Point Allocation'!$A$20:$J$41,MATCH(A7,'Point Allocation'!$A$20:$J$20,0),0)</f>
        <v>8</v>
      </c>
      <c r="E122" s="927">
        <f>F93</f>
        <v>0</v>
      </c>
      <c r="F122" s="859"/>
      <c r="G122" s="860">
        <f>IFERROR(SUM(E122:F123)/SUM($E$138:$F$138),0)</f>
        <v>0</v>
      </c>
      <c r="H122" s="921">
        <f>D122*G122</f>
        <v>0</v>
      </c>
      <c r="R122" s="53"/>
      <c r="S122" s="45"/>
    </row>
    <row r="123" spans="1:19" s="29" customFormat="1" ht="15.6">
      <c r="A123" s="882"/>
      <c r="B123" s="836" t="s">
        <v>120</v>
      </c>
      <c r="C123" s="838"/>
      <c r="D123" s="926"/>
      <c r="E123" s="927"/>
      <c r="F123" s="859"/>
      <c r="G123" s="861"/>
      <c r="H123" s="921"/>
      <c r="R123" s="53"/>
      <c r="S123" s="45"/>
    </row>
    <row r="124" spans="1:19" s="29" customFormat="1">
      <c r="A124" s="404">
        <v>8.1999999999999993</v>
      </c>
      <c r="B124" s="885" t="s">
        <v>178</v>
      </c>
      <c r="C124" s="884"/>
      <c r="D124" s="98">
        <f>VLOOKUP(A124,'Point Allocation'!$A$20:$J$41,MATCH(A7,'Point Allocation'!$A$20:$J$20,0),0)</f>
        <v>8</v>
      </c>
      <c r="E124" s="189">
        <f>F95</f>
        <v>0</v>
      </c>
      <c r="F124" s="548"/>
      <c r="G124" s="91">
        <f>IFERROR(SUM(E124:F124)/SUM($E$138:$F$138),0)</f>
        <v>0</v>
      </c>
      <c r="H124" s="437">
        <f>D124*G124</f>
        <v>0</v>
      </c>
      <c r="R124" s="53"/>
      <c r="S124" s="45"/>
    </row>
    <row r="125" spans="1:19" s="29" customFormat="1" ht="15.6">
      <c r="A125" s="431">
        <v>9</v>
      </c>
      <c r="B125" s="86" t="s">
        <v>340</v>
      </c>
      <c r="C125" s="93"/>
      <c r="D125" s="95"/>
      <c r="E125" s="95"/>
      <c r="F125" s="95"/>
      <c r="G125" s="96"/>
      <c r="H125" s="436"/>
      <c r="R125" s="53"/>
      <c r="S125" s="45"/>
    </row>
    <row r="126" spans="1:19" s="29" customFormat="1">
      <c r="A126" s="849">
        <v>9.1</v>
      </c>
      <c r="B126" s="844" t="s">
        <v>381</v>
      </c>
      <c r="C126" s="845"/>
      <c r="D126" s="925">
        <f>VLOOKUP(A126,'Point Allocation'!$A$20:$J$41,MATCH(A7,'Point Allocation'!$A$20:$J$20,0),0)</f>
        <v>6</v>
      </c>
      <c r="E126" s="859"/>
      <c r="F126" s="859"/>
      <c r="G126" s="914">
        <f>IFERROR(SUM(E126:F127)/SUM($E$138:$F$138),0)</f>
        <v>0</v>
      </c>
      <c r="H126" s="921">
        <f>D126*G126</f>
        <v>0</v>
      </c>
      <c r="R126" s="53"/>
      <c r="S126" s="45"/>
    </row>
    <row r="127" spans="1:19" s="29" customFormat="1" ht="15.6">
      <c r="A127" s="882"/>
      <c r="B127" s="836" t="s">
        <v>5</v>
      </c>
      <c r="C127" s="838"/>
      <c r="D127" s="926"/>
      <c r="E127" s="859"/>
      <c r="F127" s="859"/>
      <c r="G127" s="914"/>
      <c r="H127" s="921"/>
      <c r="R127" s="53"/>
      <c r="S127" s="45"/>
    </row>
    <row r="128" spans="1:19" s="29" customFormat="1" ht="15.6">
      <c r="A128" s="431">
        <v>10</v>
      </c>
      <c r="B128" s="86" t="s">
        <v>342</v>
      </c>
      <c r="C128" s="93"/>
      <c r="D128" s="95"/>
      <c r="E128" s="95"/>
      <c r="F128" s="95"/>
      <c r="G128" s="96"/>
      <c r="H128" s="436"/>
      <c r="R128" s="53"/>
      <c r="S128" s="45"/>
    </row>
    <row r="129" spans="1:19" s="29" customFormat="1" ht="15" customHeight="1">
      <c r="A129" s="409">
        <v>10.1</v>
      </c>
      <c r="B129" s="844" t="s">
        <v>382</v>
      </c>
      <c r="C129" s="845"/>
      <c r="D129" s="98">
        <f>VLOOKUP(A129,'Point Allocation'!$A$20:$J$41,MATCH(A7,'Point Allocation'!$A$20:$J$20,0),0)</f>
        <v>4</v>
      </c>
      <c r="E129" s="548"/>
      <c r="F129" s="548"/>
      <c r="G129" s="91">
        <f>IFERROR(SUM(E129:F129)/SUM($E$138:$F$138),0)</f>
        <v>0</v>
      </c>
      <c r="H129" s="437">
        <f>D129*G129</f>
        <v>0</v>
      </c>
      <c r="R129" s="53"/>
      <c r="S129" s="45"/>
    </row>
    <row r="130" spans="1:19" s="29" customFormat="1" ht="32.25" customHeight="1">
      <c r="A130" s="406">
        <v>10.199999999999999</v>
      </c>
      <c r="B130" s="928" t="s">
        <v>353</v>
      </c>
      <c r="C130" s="929"/>
      <c r="D130" s="98">
        <f>VLOOKUP(A130,'Point Allocation'!$A$20:$J$41,MATCH(A7,'Point Allocation'!$A$20:$J$20,0),0)</f>
        <v>4</v>
      </c>
      <c r="E130" s="188"/>
      <c r="F130" s="548"/>
      <c r="G130" s="538">
        <f>IFERROR(SUM(E130:F130)/SUM($E$138:$F$138),0)</f>
        <v>0</v>
      </c>
      <c r="H130" s="437">
        <f>D130*G130</f>
        <v>0</v>
      </c>
      <c r="R130" s="53"/>
      <c r="S130" s="45"/>
    </row>
    <row r="131" spans="1:19" s="29" customFormat="1" ht="15.6">
      <c r="A131" s="439" t="s">
        <v>239</v>
      </c>
      <c r="B131" s="99" t="s">
        <v>262</v>
      </c>
      <c r="C131" s="100"/>
      <c r="D131" s="102"/>
      <c r="E131" s="103"/>
      <c r="F131" s="103"/>
      <c r="G131" s="104"/>
      <c r="H131" s="440"/>
      <c r="R131" s="53"/>
      <c r="S131" s="45"/>
    </row>
    <row r="132" spans="1:19" s="29" customFormat="1" ht="15.6">
      <c r="A132" s="431">
        <v>11</v>
      </c>
      <c r="B132" s="86" t="s">
        <v>263</v>
      </c>
      <c r="C132" s="93"/>
      <c r="D132" s="95"/>
      <c r="E132" s="95"/>
      <c r="F132" s="95"/>
      <c r="G132" s="96"/>
      <c r="H132" s="436"/>
      <c r="R132" s="53"/>
      <c r="S132" s="45"/>
    </row>
    <row r="133" spans="1:19" s="29" customFormat="1">
      <c r="A133" s="409">
        <v>11.1</v>
      </c>
      <c r="B133" s="844" t="s">
        <v>593</v>
      </c>
      <c r="C133" s="845"/>
      <c r="D133" s="98">
        <f>VLOOKUP(A133,'Point Allocation'!$A$20:$J$41,MATCH(A7,'Point Allocation'!$A$20:$J$20,0),0)</f>
        <v>2</v>
      </c>
      <c r="E133" s="548"/>
      <c r="F133" s="548"/>
      <c r="G133" s="538">
        <f>IFERROR(SUM(E133:F133)/SUM($E$138:$F$138),0)</f>
        <v>0</v>
      </c>
      <c r="H133" s="437">
        <f t="shared" ref="H133:H137" si="2">D133*G133</f>
        <v>0</v>
      </c>
      <c r="R133" s="53"/>
      <c r="S133" s="45"/>
    </row>
    <row r="134" spans="1:19" s="29" customFormat="1">
      <c r="A134" s="446">
        <v>11.2</v>
      </c>
      <c r="B134" s="874" t="s">
        <v>344</v>
      </c>
      <c r="C134" s="875"/>
      <c r="D134" s="189">
        <f>VLOOKUP(A133,'Point Allocation'!$A$20:$J$41,MATCH(A7,'Point Allocation'!$A$20:$J$20,0),0)</f>
        <v>2</v>
      </c>
      <c r="E134" s="548"/>
      <c r="F134" s="548"/>
      <c r="G134" s="538">
        <f>IFERROR(SUM(E134:F134)/SUM($E$138:$F$138),0)</f>
        <v>0</v>
      </c>
      <c r="H134" s="437">
        <f t="shared" si="2"/>
        <v>0</v>
      </c>
      <c r="R134" s="53"/>
      <c r="S134" s="45"/>
    </row>
    <row r="135" spans="1:19" s="29" customFormat="1">
      <c r="A135" s="409">
        <v>11.3</v>
      </c>
      <c r="B135" s="874" t="s">
        <v>352</v>
      </c>
      <c r="C135" s="875"/>
      <c r="D135" s="98">
        <f>VLOOKUP(A135,'Point Allocation'!$A$20:$J$41,MATCH(A7,'Point Allocation'!$A$20:$J$20,0),0)</f>
        <v>0</v>
      </c>
      <c r="E135" s="548"/>
      <c r="F135" s="548"/>
      <c r="G135" s="538">
        <f>IFERROR(SUM(E135:F135)/SUM($E$138:$F$138),0)</f>
        <v>0</v>
      </c>
      <c r="H135" s="437">
        <f t="shared" si="2"/>
        <v>0</v>
      </c>
      <c r="R135" s="53"/>
      <c r="S135" s="45"/>
    </row>
    <row r="136" spans="1:19" s="29" customFormat="1">
      <c r="A136" s="447">
        <v>11.4</v>
      </c>
      <c r="B136" s="866"/>
      <c r="C136" s="867"/>
      <c r="D136" s="537"/>
      <c r="E136" s="548"/>
      <c r="F136" s="548"/>
      <c r="G136" s="538">
        <f>IFERROR(SUM(E136:F136)/SUM($E$138:$F$138),0)</f>
        <v>0</v>
      </c>
      <c r="H136" s="437">
        <f t="shared" si="2"/>
        <v>0</v>
      </c>
      <c r="R136" s="53"/>
      <c r="S136" s="45"/>
    </row>
    <row r="137" spans="1:19" s="29" customFormat="1">
      <c r="A137" s="447">
        <v>11.5</v>
      </c>
      <c r="B137" s="866"/>
      <c r="C137" s="867"/>
      <c r="D137" s="537"/>
      <c r="E137" s="548"/>
      <c r="F137" s="548"/>
      <c r="G137" s="538">
        <f>IFERROR(SUM(E137:F137)/SUM($E$138:$F$138),0)</f>
        <v>0</v>
      </c>
      <c r="H137" s="437">
        <f t="shared" si="2"/>
        <v>0</v>
      </c>
      <c r="R137" s="53"/>
      <c r="S137" s="45"/>
    </row>
    <row r="138" spans="1:19" s="29" customFormat="1" ht="15.6">
      <c r="A138" s="412"/>
      <c r="B138" s="325"/>
      <c r="C138" s="323"/>
      <c r="D138" s="330" t="s">
        <v>140</v>
      </c>
      <c r="E138" s="333">
        <f>SUM(E120:E137)</f>
        <v>0</v>
      </c>
      <c r="F138" s="335">
        <f>SUM(F120:F137)</f>
        <v>0</v>
      </c>
      <c r="G138" s="336">
        <f>SUM(G120:G137)</f>
        <v>0</v>
      </c>
      <c r="H138" s="448">
        <f>IFERROR(SUM(H120:H137),0)</f>
        <v>0</v>
      </c>
      <c r="R138" s="53"/>
      <c r="S138" s="45"/>
    </row>
    <row r="139" spans="1:19" s="29" customFormat="1">
      <c r="A139" s="414"/>
      <c r="B139" s="325"/>
      <c r="C139" s="323"/>
      <c r="D139" s="323"/>
      <c r="E139" s="323"/>
      <c r="F139" s="323"/>
      <c r="G139" s="332"/>
      <c r="H139" s="388"/>
      <c r="R139" s="53"/>
      <c r="S139" s="45"/>
    </row>
    <row r="140" spans="1:19" s="29" customFormat="1" ht="46.8">
      <c r="A140" s="868" t="s">
        <v>0</v>
      </c>
      <c r="B140" s="869"/>
      <c r="C140" s="176"/>
      <c r="D140" s="545" t="s">
        <v>58</v>
      </c>
      <c r="E140" s="545" t="s">
        <v>59</v>
      </c>
      <c r="F140" s="870" t="s">
        <v>60</v>
      </c>
      <c r="G140" s="870"/>
      <c r="H140" s="449" t="s">
        <v>63</v>
      </c>
      <c r="K140" s="107" t="s">
        <v>72</v>
      </c>
      <c r="L140" s="107">
        <v>1</v>
      </c>
      <c r="M140" s="107">
        <v>2</v>
      </c>
      <c r="N140" s="107">
        <v>3</v>
      </c>
      <c r="O140" s="107">
        <v>4</v>
      </c>
      <c r="P140" s="107">
        <v>5</v>
      </c>
      <c r="Q140" s="107">
        <v>6</v>
      </c>
      <c r="R140" s="53"/>
      <c r="S140" s="45"/>
    </row>
    <row r="141" spans="1:19" s="29" customFormat="1" ht="15.6">
      <c r="A141" s="450" t="s">
        <v>240</v>
      </c>
      <c r="B141" s="130" t="s">
        <v>148</v>
      </c>
      <c r="C141" s="175"/>
      <c r="D141" s="57"/>
      <c r="E141" s="57"/>
      <c r="F141" s="58"/>
      <c r="G141" s="108"/>
      <c r="H141" s="451"/>
      <c r="K141" s="107" t="s">
        <v>74</v>
      </c>
      <c r="L141" s="107" t="s">
        <v>73</v>
      </c>
      <c r="M141" s="107">
        <v>1</v>
      </c>
      <c r="N141" s="107">
        <v>2</v>
      </c>
      <c r="O141" s="107">
        <v>3</v>
      </c>
      <c r="P141" s="107">
        <v>4</v>
      </c>
      <c r="Q141" s="107">
        <v>4</v>
      </c>
      <c r="R141" s="53"/>
      <c r="S141" s="45"/>
    </row>
    <row r="142" spans="1:19" s="29" customFormat="1">
      <c r="A142" s="391" t="s">
        <v>241</v>
      </c>
      <c r="B142" s="520" t="s">
        <v>442</v>
      </c>
      <c r="C142" s="177" t="s">
        <v>56</v>
      </c>
      <c r="D142" s="854"/>
      <c r="E142" s="854"/>
      <c r="F142" s="892" t="str">
        <f>IF(D142&gt;9,D142/E142," ")</f>
        <v xml:space="preserve"> </v>
      </c>
      <c r="G142" s="892"/>
      <c r="H142" s="437">
        <f>IF(D142="",0,IF(D142&lt;9,2,IF((D142/E142)=0,2,IF((D142/E142)&lt;10%,1.5,IF((D142/E142)&lt;15%,1,IF((D142/E142)&lt;20%,0.5,0))))))</f>
        <v>0</v>
      </c>
      <c r="K142" s="107" t="s">
        <v>75</v>
      </c>
      <c r="L142" s="107" t="s">
        <v>73</v>
      </c>
      <c r="M142" s="107">
        <v>5</v>
      </c>
      <c r="N142" s="107">
        <v>15</v>
      </c>
      <c r="O142" s="107">
        <v>25</v>
      </c>
      <c r="P142" s="107">
        <v>35</v>
      </c>
      <c r="Q142" s="107">
        <v>35</v>
      </c>
      <c r="R142" s="53"/>
      <c r="S142" s="45"/>
    </row>
    <row r="143" spans="1:19" s="29" customFormat="1">
      <c r="A143" s="391" t="s">
        <v>242</v>
      </c>
      <c r="B143" s="520" t="s">
        <v>443</v>
      </c>
      <c r="C143" s="177" t="s">
        <v>57</v>
      </c>
      <c r="D143" s="854"/>
      <c r="E143" s="854"/>
      <c r="F143" s="893"/>
      <c r="G143" s="893"/>
      <c r="H143" s="437">
        <f>IF(E142="",0,IF(E142&lt;15,HLOOKUP(F143,K140:Q147,4,FALSE),IF(E142&lt;45,HLOOKUP(F143,K140:Q147,5,FALSE),IF(E142&lt;90,HLOOKUP(F143,K140:Q147,6,FALSE),IF(E142&lt;135,HLOOKUP(F143,K140:Q147,7,FALSE),IF(E142&gt;=135,HLOOKUP(F143,K140:Q147,8,FALSE),3))))))</f>
        <v>0</v>
      </c>
      <c r="J143" s="55"/>
      <c r="K143" s="107" t="s">
        <v>76</v>
      </c>
      <c r="L143" s="107">
        <v>3</v>
      </c>
      <c r="M143" s="107">
        <v>3</v>
      </c>
      <c r="N143" s="107">
        <v>3</v>
      </c>
      <c r="O143" s="107">
        <v>2.5</v>
      </c>
      <c r="P143" s="107">
        <v>1.5</v>
      </c>
      <c r="Q143" s="107">
        <v>0</v>
      </c>
      <c r="R143" s="53"/>
      <c r="S143" s="45"/>
    </row>
    <row r="144" spans="1:19" s="29" customFormat="1">
      <c r="A144" s="412"/>
      <c r="B144" s="325"/>
      <c r="C144" s="332"/>
      <c r="D144" s="337"/>
      <c r="E144" s="337"/>
      <c r="F144" s="337"/>
      <c r="G144" s="337"/>
      <c r="H144" s="452"/>
      <c r="J144" s="55"/>
      <c r="K144" s="107" t="s">
        <v>77</v>
      </c>
      <c r="L144" s="107">
        <v>3</v>
      </c>
      <c r="M144" s="107">
        <v>3</v>
      </c>
      <c r="N144" s="107">
        <v>2.5</v>
      </c>
      <c r="O144" s="107">
        <v>1.5</v>
      </c>
      <c r="P144" s="107">
        <v>1</v>
      </c>
      <c r="Q144" s="107">
        <v>0</v>
      </c>
      <c r="R144" s="53"/>
      <c r="S144" s="45"/>
    </row>
    <row r="145" spans="1:19" s="29" customFormat="1" ht="15.6">
      <c r="A145" s="412"/>
      <c r="B145" s="338"/>
      <c r="C145" s="332"/>
      <c r="D145" s="332"/>
      <c r="E145" s="332"/>
      <c r="F145" s="323"/>
      <c r="G145" s="339"/>
      <c r="H145" s="453"/>
      <c r="J145" s="55"/>
      <c r="K145" s="107" t="s">
        <v>78</v>
      </c>
      <c r="L145" s="107">
        <v>3</v>
      </c>
      <c r="M145" s="107">
        <v>2.5</v>
      </c>
      <c r="N145" s="107">
        <v>1.5</v>
      </c>
      <c r="O145" s="107">
        <v>1</v>
      </c>
      <c r="P145" s="107">
        <v>0</v>
      </c>
      <c r="Q145" s="107">
        <v>0</v>
      </c>
      <c r="R145" s="53"/>
      <c r="S145" s="45"/>
    </row>
    <row r="146" spans="1:19" s="29" customFormat="1" ht="15.75" customHeight="1">
      <c r="A146" s="876" t="s">
        <v>0</v>
      </c>
      <c r="B146" s="877"/>
      <c r="C146" s="991"/>
      <c r="D146" s="880" t="s">
        <v>4</v>
      </c>
      <c r="E146" s="895" t="s">
        <v>1</v>
      </c>
      <c r="F146" s="881"/>
      <c r="G146" s="896" t="s">
        <v>21</v>
      </c>
      <c r="H146" s="890" t="s">
        <v>63</v>
      </c>
      <c r="J146" s="55"/>
      <c r="K146" s="107" t="s">
        <v>79</v>
      </c>
      <c r="L146" s="107">
        <v>3</v>
      </c>
      <c r="M146" s="107">
        <v>1.5</v>
      </c>
      <c r="N146" s="107">
        <v>1</v>
      </c>
      <c r="O146" s="107">
        <v>0</v>
      </c>
      <c r="P146" s="107">
        <v>0</v>
      </c>
      <c r="Q146" s="107">
        <v>0</v>
      </c>
      <c r="R146" s="53"/>
      <c r="S146" s="45"/>
    </row>
    <row r="147" spans="1:19" s="29" customFormat="1" ht="30" customHeight="1">
      <c r="A147" s="878"/>
      <c r="B147" s="879"/>
      <c r="C147" s="992"/>
      <c r="D147" s="881"/>
      <c r="E147" s="545" t="s">
        <v>65</v>
      </c>
      <c r="F147" s="545" t="s">
        <v>66</v>
      </c>
      <c r="G147" s="897"/>
      <c r="H147" s="891"/>
      <c r="J147" s="55"/>
      <c r="K147" s="107" t="s">
        <v>80</v>
      </c>
      <c r="L147" s="107">
        <v>3</v>
      </c>
      <c r="M147" s="107">
        <v>1</v>
      </c>
      <c r="N147" s="107">
        <v>0</v>
      </c>
      <c r="O147" s="107">
        <v>0</v>
      </c>
      <c r="P147" s="107">
        <v>0</v>
      </c>
      <c r="Q147" s="107">
        <v>0</v>
      </c>
      <c r="R147" s="53"/>
      <c r="S147" s="45"/>
    </row>
    <row r="148" spans="1:19" s="29" customFormat="1" ht="15.6">
      <c r="A148" s="454" t="s">
        <v>243</v>
      </c>
      <c r="B148" s="109" t="s">
        <v>264</v>
      </c>
      <c r="C148" s="110"/>
      <c r="D148" s="110"/>
      <c r="E148" s="110"/>
      <c r="F148" s="114"/>
      <c r="G148" s="115"/>
      <c r="H148" s="455"/>
      <c r="K148" s="107" t="s">
        <v>74</v>
      </c>
      <c r="L148" s="107" t="s">
        <v>73</v>
      </c>
      <c r="M148" s="107">
        <v>1</v>
      </c>
      <c r="N148" s="107">
        <v>2</v>
      </c>
      <c r="O148" s="107">
        <v>3</v>
      </c>
      <c r="P148" s="107">
        <v>4</v>
      </c>
      <c r="Q148" s="107">
        <v>4</v>
      </c>
      <c r="R148" s="53"/>
      <c r="S148" s="45"/>
    </row>
    <row r="149" spans="1:19" s="29" customFormat="1" ht="15.6">
      <c r="A149" s="456" t="s">
        <v>244</v>
      </c>
      <c r="B149" s="158" t="s">
        <v>231</v>
      </c>
      <c r="C149" s="159"/>
      <c r="D149" s="160"/>
      <c r="E149" s="161"/>
      <c r="F149" s="161"/>
      <c r="G149" s="162"/>
      <c r="H149" s="457"/>
      <c r="J149" s="55"/>
      <c r="R149" s="53"/>
      <c r="S149" s="45"/>
    </row>
    <row r="150" spans="1:19" s="29" customFormat="1">
      <c r="A150" s="418" t="s">
        <v>245</v>
      </c>
      <c r="B150" s="885" t="s">
        <v>424</v>
      </c>
      <c r="C150" s="884"/>
      <c r="D150" s="163" t="s">
        <v>51</v>
      </c>
      <c r="E150" s="541">
        <v>2</v>
      </c>
      <c r="F150" s="541">
        <v>3</v>
      </c>
      <c r="G150" s="27"/>
      <c r="H150" s="405">
        <f t="shared" ref="H150:H159" si="3">IF(G150&gt;=80%,F150,IF(G150&lt;65%,0,E150))</f>
        <v>0</v>
      </c>
      <c r="R150" s="53"/>
      <c r="S150" s="45"/>
    </row>
    <row r="151" spans="1:19" s="29" customFormat="1">
      <c r="A151" s="418" t="s">
        <v>246</v>
      </c>
      <c r="B151" s="844" t="s">
        <v>423</v>
      </c>
      <c r="C151" s="845"/>
      <c r="D151" s="164" t="s">
        <v>51</v>
      </c>
      <c r="E151" s="20">
        <v>2</v>
      </c>
      <c r="F151" s="20">
        <v>3</v>
      </c>
      <c r="G151" s="547"/>
      <c r="H151" s="405">
        <f>IF(G151&gt;=80%,F151,IF(G151&lt;65%,0,E151))</f>
        <v>0</v>
      </c>
      <c r="R151" s="53"/>
      <c r="S151" s="45"/>
    </row>
    <row r="152" spans="1:19" s="29" customFormat="1" ht="30">
      <c r="A152" s="839" t="s">
        <v>247</v>
      </c>
      <c r="B152" s="915" t="s">
        <v>448</v>
      </c>
      <c r="C152" s="916"/>
      <c r="D152" s="521" t="s">
        <v>446</v>
      </c>
      <c r="E152" s="907">
        <v>2.5</v>
      </c>
      <c r="F152" s="908"/>
      <c r="G152" s="940"/>
      <c r="H152" s="938">
        <f>IF(G152&gt;=35,E153,IF(G152&gt;=30,E152,0))</f>
        <v>0</v>
      </c>
      <c r="R152" s="53"/>
      <c r="S152" s="45"/>
    </row>
    <row r="153" spans="1:19" s="29" customFormat="1" ht="30">
      <c r="A153" s="841"/>
      <c r="B153" s="917"/>
      <c r="C153" s="918"/>
      <c r="D153" s="521" t="s">
        <v>447</v>
      </c>
      <c r="E153" s="907">
        <v>3</v>
      </c>
      <c r="F153" s="908"/>
      <c r="G153" s="941"/>
      <c r="H153" s="939"/>
      <c r="R153" s="53"/>
      <c r="S153" s="45"/>
    </row>
    <row r="154" spans="1:19" s="29" customFormat="1" ht="31.5" customHeight="1">
      <c r="A154" s="839" t="s">
        <v>248</v>
      </c>
      <c r="B154" s="915" t="s">
        <v>449</v>
      </c>
      <c r="C154" s="933"/>
      <c r="D154" s="165" t="s">
        <v>372</v>
      </c>
      <c r="E154" s="864">
        <v>4</v>
      </c>
      <c r="F154" s="865"/>
      <c r="G154" s="942"/>
      <c r="H154" s="945">
        <f>IF(G154&gt;=80,E154,IF(G154&gt;=70,E155,IF(G154&gt;=60,E156,IF(G154&gt;=50,E157,0))))</f>
        <v>0</v>
      </c>
      <c r="I154" s="913"/>
      <c r="R154" s="53"/>
      <c r="S154" s="45"/>
    </row>
    <row r="155" spans="1:19" s="29" customFormat="1" ht="31.5" customHeight="1">
      <c r="A155" s="840"/>
      <c r="B155" s="934"/>
      <c r="C155" s="935"/>
      <c r="D155" s="165" t="s">
        <v>373</v>
      </c>
      <c r="E155" s="864">
        <v>3</v>
      </c>
      <c r="F155" s="865"/>
      <c r="G155" s="943"/>
      <c r="H155" s="946"/>
      <c r="I155" s="913"/>
      <c r="R155" s="53"/>
      <c r="S155" s="45"/>
    </row>
    <row r="156" spans="1:19" s="29" customFormat="1" ht="31.5" customHeight="1">
      <c r="A156" s="840"/>
      <c r="B156" s="934"/>
      <c r="C156" s="935"/>
      <c r="D156" s="165" t="s">
        <v>411</v>
      </c>
      <c r="E156" s="864">
        <v>2</v>
      </c>
      <c r="F156" s="865"/>
      <c r="G156" s="943"/>
      <c r="H156" s="946"/>
      <c r="I156" s="913"/>
      <c r="R156" s="53"/>
      <c r="S156" s="45"/>
    </row>
    <row r="157" spans="1:19" s="29" customFormat="1" ht="31.5" customHeight="1">
      <c r="A157" s="841"/>
      <c r="B157" s="936"/>
      <c r="C157" s="937"/>
      <c r="D157" s="165" t="s">
        <v>412</v>
      </c>
      <c r="E157" s="864">
        <v>1</v>
      </c>
      <c r="F157" s="865"/>
      <c r="G157" s="944"/>
      <c r="H157" s="947"/>
      <c r="I157" s="913"/>
      <c r="R157" s="53"/>
      <c r="S157" s="45"/>
    </row>
    <row r="158" spans="1:19" s="29" customFormat="1" ht="31.5" customHeight="1">
      <c r="A158" s="839" t="s">
        <v>414</v>
      </c>
      <c r="B158" s="915" t="s">
        <v>444</v>
      </c>
      <c r="C158" s="933"/>
      <c r="D158" s="165" t="s">
        <v>67</v>
      </c>
      <c r="E158" s="376">
        <v>3.5</v>
      </c>
      <c r="F158" s="376">
        <v>4</v>
      </c>
      <c r="G158" s="27"/>
      <c r="H158" s="405">
        <f t="shared" si="3"/>
        <v>0</v>
      </c>
      <c r="I158" s="913"/>
      <c r="R158" s="53"/>
      <c r="S158" s="45"/>
    </row>
    <row r="159" spans="1:19" s="29" customFormat="1" ht="30">
      <c r="A159" s="841"/>
      <c r="B159" s="936"/>
      <c r="C159" s="937"/>
      <c r="D159" s="165" t="s">
        <v>68</v>
      </c>
      <c r="E159" s="376">
        <v>2.5</v>
      </c>
      <c r="F159" s="376">
        <v>3</v>
      </c>
      <c r="G159" s="27"/>
      <c r="H159" s="405">
        <f t="shared" si="3"/>
        <v>0</v>
      </c>
      <c r="R159" s="53"/>
      <c r="S159" s="45"/>
    </row>
    <row r="160" spans="1:19" s="29" customFormat="1">
      <c r="A160" s="522" t="s">
        <v>594</v>
      </c>
      <c r="B160" s="999" t="s">
        <v>421</v>
      </c>
      <c r="C160" s="1000"/>
      <c r="D160" s="523" t="s">
        <v>51</v>
      </c>
      <c r="E160" s="551">
        <v>2</v>
      </c>
      <c r="F160" s="551">
        <v>2.5</v>
      </c>
      <c r="G160" s="27"/>
      <c r="H160" s="298">
        <f>IF(G160&gt;=80%,F160,IF(G160&lt;65%,0,E160))</f>
        <v>0</v>
      </c>
      <c r="R160" s="53"/>
      <c r="S160" s="45"/>
    </row>
    <row r="161" spans="1:19" s="29" customFormat="1" ht="15.6">
      <c r="A161" s="431" t="s">
        <v>249</v>
      </c>
      <c r="B161" s="86" t="s">
        <v>299</v>
      </c>
      <c r="C161" s="93"/>
      <c r="D161" s="160"/>
      <c r="E161" s="161"/>
      <c r="F161" s="161"/>
      <c r="G161" s="162"/>
      <c r="H161" s="457"/>
      <c r="I161" s="172"/>
      <c r="R161" s="53"/>
      <c r="S161" s="45"/>
    </row>
    <row r="162" spans="1:19" s="29" customFormat="1" ht="32.25" customHeight="1">
      <c r="A162" s="418" t="s">
        <v>250</v>
      </c>
      <c r="B162" s="936" t="s">
        <v>597</v>
      </c>
      <c r="C162" s="937"/>
      <c r="D162" s="543" t="s">
        <v>51</v>
      </c>
      <c r="E162" s="541">
        <v>2</v>
      </c>
      <c r="F162" s="541">
        <v>2.5</v>
      </c>
      <c r="G162" s="27"/>
      <c r="H162" s="405">
        <f>IF(G162&gt;=80%,F162,IF(G162&lt;65%,0,E162))</f>
        <v>0</v>
      </c>
      <c r="R162" s="53"/>
      <c r="S162" s="45"/>
    </row>
    <row r="163" spans="1:19" s="29" customFormat="1" ht="29.25" customHeight="1">
      <c r="A163" s="418" t="s">
        <v>251</v>
      </c>
      <c r="B163" s="999" t="s">
        <v>445</v>
      </c>
      <c r="C163" s="1000"/>
      <c r="D163" s="543" t="s">
        <v>51</v>
      </c>
      <c r="E163" s="541">
        <v>2</v>
      </c>
      <c r="F163" s="541">
        <v>2.5</v>
      </c>
      <c r="G163" s="27"/>
      <c r="H163" s="405">
        <f>IF(G163&gt;=80%,F163,IF(G163&lt;65%,0,E163))</f>
        <v>0</v>
      </c>
      <c r="R163" s="53"/>
      <c r="S163" s="45"/>
    </row>
    <row r="164" spans="1:19" s="29" customFormat="1" ht="15.6">
      <c r="A164" s="431">
        <v>15</v>
      </c>
      <c r="B164" s="86" t="s">
        <v>278</v>
      </c>
      <c r="C164" s="93"/>
      <c r="D164" s="160"/>
      <c r="E164" s="161"/>
      <c r="F164" s="161"/>
      <c r="G164" s="162"/>
      <c r="H164" s="457"/>
      <c r="I164" s="172"/>
      <c r="R164" s="53"/>
      <c r="S164" s="45"/>
    </row>
    <row r="165" spans="1:19" s="29" customFormat="1">
      <c r="A165" s="839" t="s">
        <v>252</v>
      </c>
      <c r="B165" s="936" t="s">
        <v>297</v>
      </c>
      <c r="C165" s="937"/>
      <c r="D165" s="919" t="s">
        <v>51</v>
      </c>
      <c r="E165" s="910">
        <v>2.5</v>
      </c>
      <c r="F165" s="910">
        <v>4</v>
      </c>
      <c r="G165" s="899"/>
      <c r="H165" s="945">
        <f>IF(G165&gt;=80%,F165,IF(G165&lt;65%,0,E165))</f>
        <v>0</v>
      </c>
      <c r="I165" s="172"/>
      <c r="R165" s="53"/>
      <c r="S165" s="45"/>
    </row>
    <row r="166" spans="1:19" s="29" customFormat="1" ht="15.6">
      <c r="A166" s="841"/>
      <c r="B166" s="998" t="s">
        <v>298</v>
      </c>
      <c r="C166" s="998"/>
      <c r="D166" s="920"/>
      <c r="E166" s="911"/>
      <c r="F166" s="911"/>
      <c r="G166" s="900"/>
      <c r="H166" s="947"/>
      <c r="I166" s="172"/>
      <c r="R166" s="53"/>
      <c r="S166" s="45"/>
    </row>
    <row r="167" spans="1:19" s="29" customFormat="1">
      <c r="A167" s="839" t="s">
        <v>253</v>
      </c>
      <c r="B167" s="885" t="s">
        <v>146</v>
      </c>
      <c r="C167" s="884"/>
      <c r="D167" s="769" t="s">
        <v>51</v>
      </c>
      <c r="E167" s="906">
        <v>2.5</v>
      </c>
      <c r="F167" s="906">
        <v>4</v>
      </c>
      <c r="G167" s="905"/>
      <c r="H167" s="909">
        <f>IF(G167&gt;=80%,F167,IF(G167&lt;65%,0,E167))</f>
        <v>0</v>
      </c>
      <c r="I167" s="172"/>
      <c r="R167" s="53"/>
      <c r="S167" s="45"/>
    </row>
    <row r="168" spans="1:19" s="29" customFormat="1" ht="15.6">
      <c r="A168" s="841"/>
      <c r="B168" s="998" t="s">
        <v>120</v>
      </c>
      <c r="C168" s="998"/>
      <c r="D168" s="769"/>
      <c r="E168" s="906"/>
      <c r="F168" s="906"/>
      <c r="G168" s="905"/>
      <c r="H168" s="909"/>
      <c r="I168" s="172"/>
      <c r="R168" s="53"/>
      <c r="S168" s="45"/>
    </row>
    <row r="169" spans="1:19" s="29" customFormat="1" ht="15.6">
      <c r="A169" s="443">
        <v>16</v>
      </c>
      <c r="B169" s="106" t="s">
        <v>213</v>
      </c>
      <c r="C169" s="93"/>
      <c r="D169" s="93"/>
      <c r="E169" s="95"/>
      <c r="F169" s="95"/>
      <c r="G169" s="96"/>
      <c r="H169" s="436"/>
      <c r="R169" s="60"/>
      <c r="S169" s="45"/>
    </row>
    <row r="170" spans="1:19" s="29" customFormat="1">
      <c r="A170" s="418" t="s">
        <v>255</v>
      </c>
      <c r="B170" s="826"/>
      <c r="C170" s="821"/>
      <c r="D170" s="111"/>
      <c r="E170" s="537"/>
      <c r="F170" s="537"/>
      <c r="G170" s="67"/>
      <c r="H170" s="542">
        <f>IF(G170&gt;=80%,F170,IF(G170&lt;65%,0,E170))</f>
        <v>0</v>
      </c>
      <c r="R170" s="53"/>
      <c r="S170" s="45"/>
    </row>
    <row r="171" spans="1:19" s="29" customFormat="1">
      <c r="A171" s="418" t="s">
        <v>256</v>
      </c>
      <c r="B171" s="826"/>
      <c r="C171" s="821"/>
      <c r="D171" s="111"/>
      <c r="E171" s="537"/>
      <c r="F171" s="537"/>
      <c r="G171" s="67"/>
      <c r="H171" s="542">
        <f>IF(G171&gt;=80%,F171,IF(G171&lt;65%,0,E171))</f>
        <v>0</v>
      </c>
      <c r="R171" s="53"/>
      <c r="S171" s="45"/>
    </row>
    <row r="172" spans="1:19" s="29" customFormat="1">
      <c r="A172" s="418" t="s">
        <v>257</v>
      </c>
      <c r="B172" s="826"/>
      <c r="C172" s="821"/>
      <c r="D172" s="111"/>
      <c r="E172" s="537"/>
      <c r="F172" s="537"/>
      <c r="G172" s="67"/>
      <c r="H172" s="542">
        <f>IF(G172&gt;=80%,F172,IF(G172&lt;65%,0,E172))</f>
        <v>0</v>
      </c>
      <c r="R172" s="53"/>
      <c r="S172" s="45"/>
    </row>
    <row r="173" spans="1:19" s="29" customFormat="1" ht="15.6">
      <c r="A173" s="425"/>
      <c r="B173" s="325"/>
      <c r="C173" s="323"/>
      <c r="D173" s="323"/>
      <c r="E173" s="323"/>
      <c r="F173" s="327"/>
      <c r="G173" s="328" t="s">
        <v>419</v>
      </c>
      <c r="H173" s="458">
        <f>IFERROR((SUM(H142:H172)),0)</f>
        <v>0</v>
      </c>
      <c r="R173" s="53"/>
      <c r="S173" s="45"/>
    </row>
    <row r="174" spans="1:19" s="29" customFormat="1" ht="15.6" thickBot="1">
      <c r="A174" s="491"/>
      <c r="B174" s="492"/>
      <c r="C174" s="493"/>
      <c r="D174" s="493"/>
      <c r="E174" s="493"/>
      <c r="F174" s="493"/>
      <c r="G174" s="480"/>
      <c r="H174" s="639"/>
      <c r="R174" s="53"/>
      <c r="S174" s="45"/>
    </row>
    <row r="175" spans="1:19" s="29" customFormat="1" ht="30.75" customHeight="1">
      <c r="A175" s="995" t="s">
        <v>0</v>
      </c>
      <c r="B175" s="996"/>
      <c r="C175" s="997"/>
      <c r="D175" s="1011" t="s">
        <v>4</v>
      </c>
      <c r="E175" s="902" t="s">
        <v>1</v>
      </c>
      <c r="F175" s="903"/>
      <c r="G175" s="898" t="s">
        <v>21</v>
      </c>
      <c r="H175" s="888" t="s">
        <v>63</v>
      </c>
      <c r="R175" s="53"/>
      <c r="S175" s="45"/>
    </row>
    <row r="176" spans="1:19" s="29" customFormat="1" ht="15.6">
      <c r="A176" s="878"/>
      <c r="B176" s="879"/>
      <c r="C176" s="992"/>
      <c r="D176" s="1012"/>
      <c r="E176" s="545" t="s">
        <v>121</v>
      </c>
      <c r="F176" s="545" t="s">
        <v>122</v>
      </c>
      <c r="G176" s="870"/>
      <c r="H176" s="889"/>
      <c r="R176" s="53"/>
      <c r="S176" s="45"/>
    </row>
    <row r="177" spans="1:19" s="29" customFormat="1" ht="15.6">
      <c r="A177" s="450" t="s">
        <v>254</v>
      </c>
      <c r="B177" s="109" t="s">
        <v>258</v>
      </c>
      <c r="C177" s="110"/>
      <c r="D177" s="110"/>
      <c r="E177" s="110"/>
      <c r="F177" s="114"/>
      <c r="G177" s="115"/>
      <c r="H177" s="455"/>
      <c r="R177" s="53"/>
      <c r="S177" s="45"/>
    </row>
    <row r="178" spans="1:19" s="29" customFormat="1">
      <c r="A178" s="391" t="s">
        <v>300</v>
      </c>
      <c r="B178" s="885" t="s">
        <v>259</v>
      </c>
      <c r="C178" s="886"/>
      <c r="D178" s="5" t="s">
        <v>51</v>
      </c>
      <c r="E178" s="20">
        <v>-1</v>
      </c>
      <c r="F178" s="20">
        <v>-2</v>
      </c>
      <c r="G178" s="28"/>
      <c r="H178" s="405">
        <f>IF(G178&gt;=30%,F178,IF(G178=0%,0,E178))</f>
        <v>0</v>
      </c>
      <c r="R178" s="53"/>
      <c r="S178" s="45"/>
    </row>
    <row r="179" spans="1:19" s="29" customFormat="1">
      <c r="A179" s="391" t="s">
        <v>301</v>
      </c>
      <c r="B179" s="885" t="s">
        <v>260</v>
      </c>
      <c r="C179" s="886"/>
      <c r="D179" s="5" t="s">
        <v>51</v>
      </c>
      <c r="E179" s="20">
        <v>-1</v>
      </c>
      <c r="F179" s="20">
        <v>-1.5</v>
      </c>
      <c r="G179" s="28"/>
      <c r="H179" s="405">
        <f>IF(G179&gt;=30%,F179,IF(G179=0%,0,E179))</f>
        <v>0</v>
      </c>
      <c r="R179" s="53"/>
      <c r="S179" s="45"/>
    </row>
    <row r="180" spans="1:19" s="29" customFormat="1">
      <c r="A180" s="391" t="s">
        <v>302</v>
      </c>
      <c r="B180" s="885" t="s">
        <v>261</v>
      </c>
      <c r="C180" s="886"/>
      <c r="D180" s="5" t="s">
        <v>51</v>
      </c>
      <c r="E180" s="904">
        <v>-1</v>
      </c>
      <c r="F180" s="904"/>
      <c r="G180" s="547"/>
      <c r="H180" s="405">
        <f>IF(G180&gt;0%,E180,0)</f>
        <v>0</v>
      </c>
      <c r="R180" s="53"/>
      <c r="S180" s="45"/>
    </row>
    <row r="181" spans="1:19" s="29" customFormat="1" ht="15.6">
      <c r="A181" s="425"/>
      <c r="B181" s="325"/>
      <c r="C181" s="323"/>
      <c r="D181" s="323"/>
      <c r="E181" s="323"/>
      <c r="F181" s="327"/>
      <c r="G181" s="328" t="s">
        <v>142</v>
      </c>
      <c r="H181" s="458">
        <f>IFERROR(MAX(SUM(H178:H180),-4),0)</f>
        <v>0</v>
      </c>
      <c r="R181" s="45"/>
      <c r="S181" s="45"/>
    </row>
    <row r="182" spans="1:19" s="29" customFormat="1">
      <c r="A182" s="412"/>
      <c r="B182" s="325"/>
      <c r="C182" s="323"/>
      <c r="D182" s="323"/>
      <c r="E182" s="323"/>
      <c r="F182" s="323"/>
      <c r="G182" s="332"/>
      <c r="H182" s="388"/>
      <c r="R182" s="53"/>
      <c r="S182" s="45"/>
    </row>
    <row r="183" spans="1:19" s="29" customFormat="1" ht="15.6">
      <c r="A183" s="412"/>
      <c r="B183" s="325"/>
      <c r="C183" s="323"/>
      <c r="D183" s="323"/>
      <c r="E183" s="323"/>
      <c r="F183" s="323"/>
      <c r="G183" s="330" t="s">
        <v>141</v>
      </c>
      <c r="H183" s="459">
        <f>IFERROR(MIN(SUM(H115+H138+H173+H181),G86),0)</f>
        <v>0</v>
      </c>
      <c r="R183" s="53"/>
      <c r="S183" s="45"/>
    </row>
    <row r="184" spans="1:19" s="29" customFormat="1" ht="16.2" thickBot="1">
      <c r="A184" s="491"/>
      <c r="B184" s="492"/>
      <c r="C184" s="493"/>
      <c r="D184" s="493"/>
      <c r="E184" s="493"/>
      <c r="F184" s="493"/>
      <c r="G184" s="494"/>
      <c r="H184" s="495"/>
      <c r="R184" s="53"/>
      <c r="S184" s="45"/>
    </row>
    <row r="185" spans="1:19" s="29" customFormat="1" ht="15.6">
      <c r="A185" s="481" t="s">
        <v>64</v>
      </c>
      <c r="B185" s="482"/>
      <c r="C185" s="482"/>
      <c r="D185" s="482"/>
      <c r="E185" s="482"/>
      <c r="F185" s="483" t="s">
        <v>43</v>
      </c>
      <c r="G185" s="484">
        <f>VLOOKUP($A$7,'Manpower allocation'!A4:D11,4,FALSE)*100</f>
        <v>15</v>
      </c>
      <c r="H185" s="485" t="s">
        <v>42</v>
      </c>
      <c r="J185" s="112">
        <f>VLOOKUP($A$7,'Manpower allocation'!A4:D11,4,FALSE)*100</f>
        <v>15</v>
      </c>
      <c r="R185" s="53"/>
      <c r="S185" s="45"/>
    </row>
    <row r="186" spans="1:19" s="29" customFormat="1" ht="15.6">
      <c r="A186" s="412"/>
      <c r="B186" s="331"/>
      <c r="C186" s="323"/>
      <c r="D186" s="323"/>
      <c r="E186" s="323"/>
      <c r="F186" s="323"/>
      <c r="G186" s="332"/>
      <c r="H186" s="388"/>
      <c r="R186" s="53"/>
      <c r="S186" s="45"/>
    </row>
    <row r="187" spans="1:19" s="29" customFormat="1" ht="46.8">
      <c r="A187" s="993" t="s">
        <v>0</v>
      </c>
      <c r="B187" s="994"/>
      <c r="C187" s="113"/>
      <c r="D187" s="539" t="s">
        <v>17</v>
      </c>
      <c r="E187" s="539" t="s">
        <v>125</v>
      </c>
      <c r="F187" s="539" t="s">
        <v>109</v>
      </c>
      <c r="G187" s="539" t="s">
        <v>18</v>
      </c>
      <c r="H187" s="544" t="s">
        <v>63</v>
      </c>
      <c r="R187" s="53"/>
      <c r="S187" s="45"/>
    </row>
    <row r="188" spans="1:19" s="29" customFormat="1" ht="15.6">
      <c r="A188" s="454" t="s">
        <v>265</v>
      </c>
      <c r="B188" s="109" t="s">
        <v>358</v>
      </c>
      <c r="C188" s="110"/>
      <c r="D188" s="110"/>
      <c r="E188" s="110"/>
      <c r="F188" s="114"/>
      <c r="G188" s="115"/>
      <c r="H188" s="455"/>
      <c r="R188" s="53"/>
      <c r="S188" s="45"/>
    </row>
    <row r="189" spans="1:19" s="29" customFormat="1" ht="15.6">
      <c r="A189" s="460">
        <v>1</v>
      </c>
      <c r="B189" s="116" t="s">
        <v>338</v>
      </c>
      <c r="C189" s="117"/>
      <c r="D189" s="118"/>
      <c r="E189" s="118"/>
      <c r="F189" s="118"/>
      <c r="G189" s="118"/>
      <c r="H189" s="461"/>
      <c r="R189" s="53"/>
      <c r="S189" s="45"/>
    </row>
    <row r="190" spans="1:19" s="29" customFormat="1">
      <c r="A190" s="409">
        <v>1.1000000000000001</v>
      </c>
      <c r="B190" s="844" t="s">
        <v>290</v>
      </c>
      <c r="C190" s="845"/>
      <c r="D190" s="20">
        <f>VLOOKUP(A190,'Point Allocation'!$A$46:$J$55,MATCH(A7,'Point Allocation'!$A$46:$J$46,0),0)</f>
        <v>15</v>
      </c>
      <c r="E190" s="38"/>
      <c r="F190" s="38"/>
      <c r="G190" s="31">
        <f>MIN(IFERROR(F190/E190,0),100%)</f>
        <v>0</v>
      </c>
      <c r="H190" s="405">
        <f>D190*G190</f>
        <v>0</v>
      </c>
      <c r="R190" s="53"/>
      <c r="S190" s="45"/>
    </row>
    <row r="191" spans="1:19" s="29" customFormat="1" ht="15.6">
      <c r="A191" s="462">
        <v>2</v>
      </c>
      <c r="B191" s="119" t="s">
        <v>339</v>
      </c>
      <c r="C191" s="120"/>
      <c r="D191" s="32"/>
      <c r="E191" s="33"/>
      <c r="F191" s="33"/>
      <c r="G191" s="34"/>
      <c r="H191" s="463"/>
      <c r="R191" s="53"/>
      <c r="S191" s="45"/>
    </row>
    <row r="192" spans="1:19" s="29" customFormat="1" ht="33" customHeight="1">
      <c r="A192" s="464">
        <v>2.1</v>
      </c>
      <c r="B192" s="969" t="s">
        <v>266</v>
      </c>
      <c r="C192" s="971"/>
      <c r="D192" s="20">
        <f>VLOOKUP(A192,'Point Allocation'!$A$46:$J$55,MATCH(A7,'Point Allocation'!$A$46:$J$46,0),0)</f>
        <v>12</v>
      </c>
      <c r="E192" s="38"/>
      <c r="F192" s="38"/>
      <c r="G192" s="31">
        <f>MIN(IFERROR(F192/E192,0),100%)</f>
        <v>0</v>
      </c>
      <c r="H192" s="405">
        <f>D192*G192</f>
        <v>0</v>
      </c>
      <c r="R192" s="53"/>
      <c r="S192" s="45"/>
    </row>
    <row r="193" spans="1:19" s="29" customFormat="1" ht="15.6">
      <c r="A193" s="460">
        <v>3</v>
      </c>
      <c r="B193" s="116" t="s">
        <v>343</v>
      </c>
      <c r="C193" s="121"/>
      <c r="D193" s="35"/>
      <c r="E193" s="35"/>
      <c r="F193" s="35"/>
      <c r="G193" s="34"/>
      <c r="H193" s="465"/>
      <c r="R193" s="53"/>
      <c r="S193" s="45"/>
    </row>
    <row r="194" spans="1:19" s="29" customFormat="1">
      <c r="A194" s="466">
        <v>3.1</v>
      </c>
      <c r="B194" s="850" t="s">
        <v>451</v>
      </c>
      <c r="C194" s="851"/>
      <c r="D194" s="20">
        <f>VLOOKUP(A194,'Point Allocation'!$A$46:$J$55,MATCH(A7,'Point Allocation'!$A$46:$J$46,0),0)</f>
        <v>4</v>
      </c>
      <c r="E194" s="38"/>
      <c r="F194" s="38"/>
      <c r="G194" s="31">
        <f>MIN(IFERROR(F194/E194,0),100%)</f>
        <v>0</v>
      </c>
      <c r="H194" s="405">
        <f>D194*G194</f>
        <v>0</v>
      </c>
      <c r="R194" s="53"/>
      <c r="S194" s="45"/>
    </row>
    <row r="195" spans="1:19" s="29" customFormat="1" ht="32.25" customHeight="1">
      <c r="A195" s="466">
        <v>3.2</v>
      </c>
      <c r="B195" s="850" t="s">
        <v>452</v>
      </c>
      <c r="C195" s="851"/>
      <c r="D195" s="20">
        <f>VLOOKUP(A195,'Point Allocation'!$A$46:$J$55,MATCH(A7,'Point Allocation'!$A$46:$J$46,0),0)</f>
        <v>4</v>
      </c>
      <c r="E195" s="178"/>
      <c r="F195" s="38"/>
      <c r="G195" s="31">
        <f>MIN(IFERROR(F195/E195,0),100%)</f>
        <v>0</v>
      </c>
      <c r="H195" s="405">
        <f>D195*G195</f>
        <v>0</v>
      </c>
      <c r="R195" s="53"/>
      <c r="S195" s="45"/>
    </row>
    <row r="196" spans="1:19" s="29" customFormat="1" ht="32.25" customHeight="1">
      <c r="A196" s="404">
        <v>3.3</v>
      </c>
      <c r="B196" s="885" t="s">
        <v>170</v>
      </c>
      <c r="C196" s="886"/>
      <c r="D196" s="20">
        <f>VLOOKUP(A196,'Point Allocation'!$A$46:$J$55,MATCH(A7,'Point Allocation'!$A$46:$J$46,0),0)</f>
        <v>4</v>
      </c>
      <c r="E196" s="179"/>
      <c r="F196" s="536"/>
      <c r="G196" s="31">
        <f>MIN(IFERROR(F196/E196,0),100%)</f>
        <v>0</v>
      </c>
      <c r="H196" s="405">
        <f>D196*G196</f>
        <v>0</v>
      </c>
      <c r="R196" s="53"/>
      <c r="S196" s="45"/>
    </row>
    <row r="197" spans="1:19" s="29" customFormat="1" ht="15.6">
      <c r="A197" s="412"/>
      <c r="B197" s="325"/>
      <c r="C197" s="323"/>
      <c r="D197" s="324" t="s">
        <v>6</v>
      </c>
      <c r="E197" s="300">
        <f>MAX(SUM(E190:E196),F197)</f>
        <v>0</v>
      </c>
      <c r="F197" s="300">
        <f>SUM(F190:F196)</f>
        <v>0</v>
      </c>
      <c r="G197" s="340">
        <f>IFERROR(MIN(F197/E197,100%),0)</f>
        <v>0</v>
      </c>
      <c r="H197" s="413">
        <f>IFERROR(SUM(H190:H196),0)</f>
        <v>0</v>
      </c>
      <c r="R197" s="53"/>
      <c r="S197" s="45"/>
    </row>
    <row r="198" spans="1:19" s="29" customFormat="1" ht="15.6">
      <c r="A198" s="412"/>
      <c r="B198" s="338"/>
      <c r="C198" s="341"/>
      <c r="D198" s="342"/>
      <c r="E198" s="341"/>
      <c r="F198" s="341"/>
      <c r="G198" s="343"/>
      <c r="H198" s="467"/>
      <c r="R198" s="53"/>
      <c r="S198" s="45"/>
    </row>
    <row r="199" spans="1:19" s="29" customFormat="1" ht="15.6">
      <c r="A199" s="993" t="s">
        <v>0</v>
      </c>
      <c r="B199" s="994"/>
      <c r="C199" s="982"/>
      <c r="D199" s="901" t="s">
        <v>4</v>
      </c>
      <c r="E199" s="901" t="s">
        <v>1</v>
      </c>
      <c r="F199" s="901"/>
      <c r="G199" s="894" t="s">
        <v>21</v>
      </c>
      <c r="H199" s="887" t="s">
        <v>63</v>
      </c>
      <c r="R199" s="53"/>
      <c r="S199" s="45"/>
    </row>
    <row r="200" spans="1:19" s="29" customFormat="1" ht="30.75" customHeight="1">
      <c r="A200" s="1007"/>
      <c r="B200" s="1008"/>
      <c r="C200" s="983"/>
      <c r="D200" s="901"/>
      <c r="E200" s="539" t="s">
        <v>65</v>
      </c>
      <c r="F200" s="539" t="s">
        <v>66</v>
      </c>
      <c r="G200" s="894"/>
      <c r="H200" s="887"/>
      <c r="R200" s="53"/>
      <c r="S200" s="45"/>
    </row>
    <row r="201" spans="1:19" s="29" customFormat="1" ht="15.6">
      <c r="A201" s="415" t="s">
        <v>271</v>
      </c>
      <c r="B201" s="46" t="s">
        <v>272</v>
      </c>
      <c r="C201" s="57"/>
      <c r="D201" s="57"/>
      <c r="E201" s="57"/>
      <c r="F201" s="58"/>
      <c r="G201" s="108"/>
      <c r="H201" s="451"/>
      <c r="R201" s="53"/>
      <c r="S201" s="45"/>
    </row>
    <row r="202" spans="1:19" s="29" customFormat="1" ht="15.6">
      <c r="A202" s="468">
        <v>4</v>
      </c>
      <c r="B202" s="122" t="s">
        <v>341</v>
      </c>
      <c r="C202" s="120"/>
      <c r="D202" s="123"/>
      <c r="E202" s="124"/>
      <c r="F202" s="124"/>
      <c r="G202" s="125"/>
      <c r="H202" s="469"/>
      <c r="R202" s="53"/>
      <c r="S202" s="45"/>
    </row>
    <row r="203" spans="1:19" s="29" customFormat="1">
      <c r="A203" s="409">
        <v>4.0999999999999996</v>
      </c>
      <c r="B203" s="844" t="s">
        <v>164</v>
      </c>
      <c r="C203" s="845"/>
      <c r="D203" s="5" t="s">
        <v>51</v>
      </c>
      <c r="E203" s="20" t="s">
        <v>50</v>
      </c>
      <c r="F203" s="20">
        <f>VLOOKUP(A203,'Point Allocation'!$A$46:$J$55,MATCH(A7,'Point Allocation'!$A$46:$J$46,0),0)</f>
        <v>1.5</v>
      </c>
      <c r="G203" s="547"/>
      <c r="H203" s="405">
        <f>IF(G203&gt;=80%,F203,0)</f>
        <v>0</v>
      </c>
      <c r="R203" s="53"/>
      <c r="S203" s="45"/>
    </row>
    <row r="204" spans="1:19" s="29" customFormat="1">
      <c r="A204" s="409">
        <v>4.2</v>
      </c>
      <c r="B204" s="844" t="s">
        <v>161</v>
      </c>
      <c r="C204" s="845"/>
      <c r="D204" s="5" t="s">
        <v>51</v>
      </c>
      <c r="E204" s="20" t="s">
        <v>50</v>
      </c>
      <c r="F204" s="20">
        <f>VLOOKUP(A204,'Point Allocation'!$A$46:$J$55,MATCH(A7,'Point Allocation'!$A$46:$J$46,0),0)</f>
        <v>1.5</v>
      </c>
      <c r="G204" s="547"/>
      <c r="H204" s="405">
        <f>IF(G204&gt;=80%,F204,0)</f>
        <v>0</v>
      </c>
      <c r="R204" s="53"/>
      <c r="S204" s="45"/>
    </row>
    <row r="205" spans="1:19" s="29" customFormat="1">
      <c r="A205" s="409">
        <v>4.3</v>
      </c>
      <c r="B205" s="844" t="s">
        <v>155</v>
      </c>
      <c r="C205" s="845"/>
      <c r="D205" s="5" t="s">
        <v>3</v>
      </c>
      <c r="E205" s="20" t="s">
        <v>50</v>
      </c>
      <c r="F205" s="20">
        <f>VLOOKUP(A205,'Point Allocation'!$A$46:$J$55,MATCH(A7,'Point Allocation'!$A$46:$J$46,0),0)</f>
        <v>1.5</v>
      </c>
      <c r="G205" s="547"/>
      <c r="H205" s="405">
        <f>IF(G205&gt;=80%,F205,0)</f>
        <v>0</v>
      </c>
      <c r="R205" s="53"/>
      <c r="S205" s="45"/>
    </row>
    <row r="206" spans="1:19" s="29" customFormat="1">
      <c r="A206" s="470">
        <v>4.4000000000000004</v>
      </c>
      <c r="B206" s="874" t="s">
        <v>270</v>
      </c>
      <c r="C206" s="875"/>
      <c r="D206" s="5" t="s">
        <v>3</v>
      </c>
      <c r="E206" s="20" t="s">
        <v>50</v>
      </c>
      <c r="F206" s="20">
        <f>VLOOKUP(A206,'Point Allocation'!$A$46:$J$55,MATCH(A7,'Point Allocation'!$A$46:$J$46,0),0)</f>
        <v>1.5</v>
      </c>
      <c r="G206" s="547"/>
      <c r="H206" s="405">
        <f>IF(G206&gt;=80%,F206,0)</f>
        <v>0</v>
      </c>
      <c r="R206" s="53"/>
      <c r="S206" s="45"/>
    </row>
    <row r="207" spans="1:19" s="29" customFormat="1" ht="15.6">
      <c r="A207" s="468">
        <v>5</v>
      </c>
      <c r="B207" s="122" t="s">
        <v>213</v>
      </c>
      <c r="C207" s="120"/>
      <c r="D207" s="126"/>
      <c r="E207" s="127"/>
      <c r="F207" s="127"/>
      <c r="G207" s="128"/>
      <c r="H207" s="471"/>
      <c r="R207" s="53"/>
      <c r="S207" s="45"/>
    </row>
    <row r="208" spans="1:19" s="29" customFormat="1">
      <c r="A208" s="411">
        <v>5.0999999999999996</v>
      </c>
      <c r="B208" s="826"/>
      <c r="C208" s="847"/>
      <c r="D208" s="530"/>
      <c r="E208" s="536"/>
      <c r="F208" s="536"/>
      <c r="G208" s="547"/>
      <c r="H208" s="542">
        <f>IF(G208&gt;=80%,F208,IF(G208&lt;65%,0,E208))</f>
        <v>0</v>
      </c>
      <c r="R208" s="53"/>
      <c r="S208" s="45"/>
    </row>
    <row r="209" spans="1:19" s="29" customFormat="1">
      <c r="A209" s="411">
        <v>5.2</v>
      </c>
      <c r="B209" s="826"/>
      <c r="C209" s="847"/>
      <c r="D209" s="530"/>
      <c r="E209" s="536"/>
      <c r="F209" s="536"/>
      <c r="G209" s="547"/>
      <c r="H209" s="542">
        <f>IF(G209&gt;=80%,F209,IF(G209&lt;65%,0,E209))</f>
        <v>0</v>
      </c>
      <c r="R209" s="53"/>
      <c r="S209" s="45"/>
    </row>
    <row r="210" spans="1:19" s="29" customFormat="1">
      <c r="A210" s="411">
        <v>5.3</v>
      </c>
      <c r="B210" s="826"/>
      <c r="C210" s="847"/>
      <c r="D210" s="530"/>
      <c r="E210" s="536"/>
      <c r="F210" s="536"/>
      <c r="G210" s="547"/>
      <c r="H210" s="542">
        <f>IF(G210&gt;=80%,F210,IF(G210&lt;65%,0,E210))</f>
        <v>0</v>
      </c>
      <c r="R210" s="53"/>
      <c r="S210" s="45"/>
    </row>
    <row r="211" spans="1:19" s="29" customFormat="1" ht="15.6">
      <c r="A211" s="412"/>
      <c r="B211" s="344"/>
      <c r="C211" s="344"/>
      <c r="D211" s="332"/>
      <c r="E211" s="332"/>
      <c r="F211" s="332"/>
      <c r="G211" s="330" t="s">
        <v>7</v>
      </c>
      <c r="H211" s="445">
        <f>IFERROR(SUM(H203:H206,H208:H210),0)</f>
        <v>0</v>
      </c>
      <c r="R211" s="53"/>
      <c r="S211" s="45"/>
    </row>
    <row r="212" spans="1:19" s="29" customFormat="1">
      <c r="A212" s="412"/>
      <c r="B212" s="325"/>
      <c r="C212" s="323"/>
      <c r="D212" s="323"/>
      <c r="E212" s="323"/>
      <c r="F212" s="323"/>
      <c r="G212" s="332"/>
      <c r="H212" s="388"/>
      <c r="R212" s="53"/>
      <c r="S212" s="45"/>
    </row>
    <row r="213" spans="1:19" s="29" customFormat="1" ht="15.6">
      <c r="A213" s="993" t="s">
        <v>0</v>
      </c>
      <c r="B213" s="994"/>
      <c r="C213" s="982"/>
      <c r="D213" s="894" t="s">
        <v>4</v>
      </c>
      <c r="E213" s="901" t="s">
        <v>1</v>
      </c>
      <c r="F213" s="901"/>
      <c r="G213" s="894" t="s">
        <v>21</v>
      </c>
      <c r="H213" s="887" t="s">
        <v>63</v>
      </c>
      <c r="R213" s="53"/>
      <c r="S213" s="45"/>
    </row>
    <row r="214" spans="1:19" s="29" customFormat="1" ht="31.2">
      <c r="A214" s="1007"/>
      <c r="B214" s="1008"/>
      <c r="C214" s="983"/>
      <c r="D214" s="901"/>
      <c r="E214" s="539" t="s">
        <v>65</v>
      </c>
      <c r="F214" s="539" t="s">
        <v>66</v>
      </c>
      <c r="G214" s="894"/>
      <c r="H214" s="887"/>
      <c r="R214" s="53"/>
      <c r="S214" s="45"/>
    </row>
    <row r="215" spans="1:19" s="29" customFormat="1" ht="15.6">
      <c r="A215" s="454" t="s">
        <v>273</v>
      </c>
      <c r="B215" s="109" t="s">
        <v>234</v>
      </c>
      <c r="C215" s="129"/>
      <c r="D215" s="130"/>
      <c r="E215" s="130"/>
      <c r="F215" s="131"/>
      <c r="G215" s="132"/>
      <c r="H215" s="472"/>
      <c r="R215" s="53"/>
      <c r="S215" s="45"/>
    </row>
    <row r="216" spans="1:19" s="29" customFormat="1" ht="15.6">
      <c r="A216" s="391" t="s">
        <v>199</v>
      </c>
      <c r="B216" s="844" t="s">
        <v>274</v>
      </c>
      <c r="C216" s="845"/>
      <c r="D216" s="98" t="s">
        <v>2</v>
      </c>
      <c r="E216" s="98">
        <v>1</v>
      </c>
      <c r="F216" s="98">
        <v>2</v>
      </c>
      <c r="G216" s="67"/>
      <c r="H216" s="437">
        <f>IF(G216&gt;=80%,F216,IF(G216&lt;65%,0,E216))</f>
        <v>0</v>
      </c>
      <c r="K216" s="135"/>
      <c r="R216" s="53"/>
      <c r="S216" s="45"/>
    </row>
    <row r="217" spans="1:19" s="29" customFormat="1" ht="31.5" customHeight="1">
      <c r="A217" s="473" t="s">
        <v>200</v>
      </c>
      <c r="B217" s="960" t="s">
        <v>275</v>
      </c>
      <c r="C217" s="962"/>
      <c r="D217" s="98" t="s">
        <v>51</v>
      </c>
      <c r="E217" s="98">
        <v>0.5</v>
      </c>
      <c r="F217" s="98">
        <v>1</v>
      </c>
      <c r="G217" s="67"/>
      <c r="H217" s="437">
        <f>IF(G217&gt;=80%,F217,IF(G217&lt;65%,0,E217))</f>
        <v>0</v>
      </c>
      <c r="R217" s="53"/>
      <c r="S217" s="45"/>
    </row>
    <row r="218" spans="1:19" s="29" customFormat="1" ht="15.6">
      <c r="A218" s="412"/>
      <c r="B218" s="325"/>
      <c r="C218" s="323"/>
      <c r="D218" s="323"/>
      <c r="E218" s="323"/>
      <c r="F218" s="326"/>
      <c r="G218" s="330" t="s">
        <v>110</v>
      </c>
      <c r="H218" s="474">
        <f>IFERROR(SUM(H216:H217),0)</f>
        <v>0</v>
      </c>
      <c r="R218" s="53"/>
      <c r="S218" s="45"/>
    </row>
    <row r="219" spans="1:19" s="29" customFormat="1">
      <c r="A219" s="412"/>
      <c r="B219" s="325"/>
      <c r="C219" s="323"/>
      <c r="D219" s="323"/>
      <c r="E219" s="323"/>
      <c r="F219" s="323"/>
      <c r="G219" s="332"/>
      <c r="H219" s="388"/>
      <c r="R219" s="53"/>
      <c r="S219" s="45"/>
    </row>
    <row r="220" spans="1:19" s="29" customFormat="1" ht="15.6">
      <c r="A220" s="412"/>
      <c r="B220" s="325"/>
      <c r="C220" s="323"/>
      <c r="D220" s="323"/>
      <c r="E220" s="323"/>
      <c r="F220" s="323"/>
      <c r="G220" s="330" t="s">
        <v>111</v>
      </c>
      <c r="H220" s="474">
        <f>IFERROR(MIN(SUM(H197+H211+H218),G185),0)</f>
        <v>0</v>
      </c>
      <c r="R220" s="53"/>
      <c r="S220" s="45"/>
    </row>
    <row r="221" spans="1:19" s="29" customFormat="1" ht="16.2" thickBot="1">
      <c r="A221" s="491"/>
      <c r="B221" s="492"/>
      <c r="C221" s="493"/>
      <c r="D221" s="493"/>
      <c r="E221" s="493"/>
      <c r="F221" s="493"/>
      <c r="G221" s="496"/>
      <c r="H221" s="495"/>
      <c r="R221" s="53"/>
      <c r="S221" s="45"/>
    </row>
    <row r="222" spans="1:19" s="29" customFormat="1" ht="15.6">
      <c r="A222" s="633" t="s">
        <v>137</v>
      </c>
      <c r="B222" s="634"/>
      <c r="C222" s="634"/>
      <c r="D222" s="634"/>
      <c r="E222" s="634"/>
      <c r="F222" s="635" t="s">
        <v>43</v>
      </c>
      <c r="G222" s="636">
        <v>20</v>
      </c>
      <c r="H222" s="637" t="s">
        <v>42</v>
      </c>
      <c r="R222" s="53"/>
      <c r="S222" s="45"/>
    </row>
    <row r="223" spans="1:19" s="29" customFormat="1" ht="15.6">
      <c r="A223" s="412"/>
      <c r="B223" s="347"/>
      <c r="C223" s="323"/>
      <c r="D223" s="323"/>
      <c r="E223" s="323"/>
      <c r="F223" s="323"/>
      <c r="G223" s="332"/>
      <c r="H223" s="388"/>
      <c r="R223" s="53"/>
      <c r="S223" s="45"/>
    </row>
    <row r="224" spans="1:19" s="29" customFormat="1" ht="33" customHeight="1">
      <c r="A224" s="1009" t="s">
        <v>0</v>
      </c>
      <c r="B224" s="1010"/>
      <c r="C224" s="136"/>
      <c r="D224" s="136"/>
      <c r="E224" s="137" t="s">
        <v>4</v>
      </c>
      <c r="F224" s="137" t="s">
        <v>70</v>
      </c>
      <c r="G224" s="138" t="s">
        <v>21</v>
      </c>
      <c r="H224" s="475" t="s">
        <v>63</v>
      </c>
      <c r="R224" s="53"/>
      <c r="S224" s="45"/>
    </row>
    <row r="225" spans="1:19" s="29" customFormat="1" ht="15.6">
      <c r="A225" s="454" t="s">
        <v>276</v>
      </c>
      <c r="B225" s="109" t="s">
        <v>277</v>
      </c>
      <c r="C225" s="110"/>
      <c r="D225" s="110"/>
      <c r="E225" s="110"/>
      <c r="F225" s="58"/>
      <c r="G225" s="139"/>
      <c r="H225" s="476"/>
      <c r="J225" s="134"/>
      <c r="R225" s="53"/>
      <c r="S225" s="45"/>
    </row>
    <row r="226" spans="1:19" s="29" customFormat="1" ht="15.6">
      <c r="A226" s="411">
        <v>1.1000000000000001</v>
      </c>
      <c r="B226" s="836" t="s">
        <v>123</v>
      </c>
      <c r="C226" s="837"/>
      <c r="D226" s="838"/>
      <c r="E226" s="167"/>
      <c r="F226" s="140"/>
      <c r="G226" s="141"/>
      <c r="H226" s="441">
        <f t="shared" ref="H226:H231" si="4">F226*G226</f>
        <v>0</v>
      </c>
      <c r="R226" s="53"/>
      <c r="S226" s="45"/>
    </row>
    <row r="227" spans="1:19" s="29" customFormat="1" ht="15.6">
      <c r="A227" s="406">
        <v>1.2</v>
      </c>
      <c r="B227" s="1004" t="s">
        <v>124</v>
      </c>
      <c r="C227" s="1005"/>
      <c r="D227" s="1006"/>
      <c r="E227" s="167"/>
      <c r="F227" s="140"/>
      <c r="G227" s="141"/>
      <c r="H227" s="441">
        <f t="shared" si="4"/>
        <v>0</v>
      </c>
      <c r="R227" s="53"/>
      <c r="S227" s="45"/>
    </row>
    <row r="228" spans="1:19" s="29" customFormat="1" ht="15.6">
      <c r="A228" s="411">
        <v>1.3</v>
      </c>
      <c r="B228" s="836" t="s">
        <v>115</v>
      </c>
      <c r="C228" s="837"/>
      <c r="D228" s="838"/>
      <c r="E228" s="167"/>
      <c r="F228" s="140"/>
      <c r="G228" s="141"/>
      <c r="H228" s="441">
        <f t="shared" si="4"/>
        <v>0</v>
      </c>
      <c r="R228" s="53"/>
      <c r="S228" s="45"/>
    </row>
    <row r="229" spans="1:19" s="29" customFormat="1" ht="15.6">
      <c r="A229" s="411">
        <v>1.4</v>
      </c>
      <c r="B229" s="836" t="s">
        <v>305</v>
      </c>
      <c r="C229" s="837"/>
      <c r="D229" s="838"/>
      <c r="E229" s="167"/>
      <c r="F229" s="140"/>
      <c r="G229" s="141"/>
      <c r="H229" s="441">
        <f t="shared" si="4"/>
        <v>0</v>
      </c>
      <c r="R229" s="53"/>
      <c r="S229" s="45"/>
    </row>
    <row r="230" spans="1:19" s="29" customFormat="1" ht="15.6">
      <c r="A230" s="411">
        <v>1.5</v>
      </c>
      <c r="B230" s="836"/>
      <c r="C230" s="837"/>
      <c r="D230" s="838"/>
      <c r="E230" s="167"/>
      <c r="F230" s="140"/>
      <c r="G230" s="141"/>
      <c r="H230" s="441">
        <f t="shared" si="4"/>
        <v>0</v>
      </c>
      <c r="R230" s="53"/>
      <c r="S230" s="45"/>
    </row>
    <row r="231" spans="1:19" s="29" customFormat="1" ht="15.6">
      <c r="A231" s="411">
        <v>1.6</v>
      </c>
      <c r="B231" s="836"/>
      <c r="C231" s="837"/>
      <c r="D231" s="838"/>
      <c r="E231" s="111"/>
      <c r="F231" s="142"/>
      <c r="G231" s="67"/>
      <c r="H231" s="441">
        <f t="shared" si="4"/>
        <v>0</v>
      </c>
      <c r="R231" s="53"/>
      <c r="S231" s="45"/>
    </row>
    <row r="232" spans="1:19" s="29" customFormat="1" ht="15.6">
      <c r="A232" s="454" t="s">
        <v>279</v>
      </c>
      <c r="B232" s="109" t="s">
        <v>278</v>
      </c>
      <c r="C232" s="110"/>
      <c r="D232" s="110"/>
      <c r="E232" s="110"/>
      <c r="F232" s="58"/>
      <c r="G232" s="139"/>
      <c r="H232" s="476"/>
      <c r="R232" s="53"/>
      <c r="S232" s="45"/>
    </row>
    <row r="233" spans="1:19" s="29" customFormat="1">
      <c r="A233" s="447">
        <v>2.1</v>
      </c>
      <c r="B233" s="1001" t="s">
        <v>138</v>
      </c>
      <c r="C233" s="1002"/>
      <c r="D233" s="1003"/>
      <c r="E233" s="157" t="s">
        <v>410</v>
      </c>
      <c r="F233" s="527">
        <v>2</v>
      </c>
      <c r="G233" s="528"/>
      <c r="H233" s="441">
        <f>IFERROR(VLOOKUP(E233,K234:L237,2,FALSE),0)</f>
        <v>0</v>
      </c>
      <c r="K233" s="29" t="s">
        <v>410</v>
      </c>
      <c r="L233" s="29">
        <v>0</v>
      </c>
      <c r="R233" s="53"/>
      <c r="S233" s="45"/>
    </row>
    <row r="234" spans="1:19" s="29" customFormat="1" ht="15.6">
      <c r="A234" s="412"/>
      <c r="B234" s="322"/>
      <c r="C234" s="323"/>
      <c r="D234" s="323"/>
      <c r="E234" s="323"/>
      <c r="F234" s="323"/>
      <c r="G234" s="330" t="s">
        <v>139</v>
      </c>
      <c r="H234" s="477">
        <f>IFERROR(MIN(SUM(H226:H233),G222),0)</f>
        <v>0</v>
      </c>
      <c r="K234" s="29" t="s">
        <v>406</v>
      </c>
      <c r="L234" s="29">
        <v>2</v>
      </c>
      <c r="R234" s="45"/>
      <c r="S234" s="45"/>
    </row>
    <row r="235" spans="1:19" s="29" customFormat="1">
      <c r="A235" s="412"/>
      <c r="B235" s="325"/>
      <c r="C235" s="323"/>
      <c r="D235" s="323"/>
      <c r="E235" s="323"/>
      <c r="F235" s="323"/>
      <c r="G235" s="332"/>
      <c r="H235" s="388"/>
      <c r="K235" s="29" t="s">
        <v>407</v>
      </c>
      <c r="L235" s="29">
        <v>2</v>
      </c>
      <c r="R235" s="45"/>
      <c r="S235" s="45"/>
    </row>
    <row r="236" spans="1:19" s="29" customFormat="1" ht="15.6">
      <c r="A236" s="412"/>
      <c r="B236" s="325"/>
      <c r="C236" s="323"/>
      <c r="D236" s="323"/>
      <c r="E236" s="323"/>
      <c r="F236" s="323"/>
      <c r="G236" s="330" t="s">
        <v>69</v>
      </c>
      <c r="H236" s="445">
        <f>IFERROR(H84+H183+H220+H234,0)</f>
        <v>0</v>
      </c>
      <c r="K236" s="29" t="s">
        <v>408</v>
      </c>
      <c r="L236" s="29">
        <v>2</v>
      </c>
      <c r="R236" s="45"/>
      <c r="S236" s="45"/>
    </row>
    <row r="237" spans="1:19" s="29" customFormat="1">
      <c r="A237" s="412"/>
      <c r="B237" s="325"/>
      <c r="C237" s="323"/>
      <c r="D237" s="323"/>
      <c r="E237" s="323"/>
      <c r="F237" s="323"/>
      <c r="G237" s="332"/>
      <c r="H237" s="388"/>
      <c r="K237" s="29" t="s">
        <v>409</v>
      </c>
      <c r="L237" s="29">
        <v>2</v>
      </c>
      <c r="R237" s="53"/>
      <c r="S237" s="45"/>
    </row>
    <row r="238" spans="1:19" s="29" customFormat="1" ht="15.75" customHeight="1">
      <c r="A238" s="412"/>
      <c r="B238" s="345" t="s">
        <v>37</v>
      </c>
      <c r="C238" s="332"/>
      <c r="D238" s="1013" t="s">
        <v>415</v>
      </c>
      <c r="E238" s="1013"/>
      <c r="F238" s="1013"/>
      <c r="G238" s="332"/>
      <c r="H238" s="478"/>
      <c r="R238" s="53"/>
      <c r="S238" s="45"/>
    </row>
    <row r="239" spans="1:19" s="29" customFormat="1" ht="15.6">
      <c r="A239" s="412"/>
      <c r="B239" s="346"/>
      <c r="C239" s="332"/>
      <c r="D239" s="1013"/>
      <c r="E239" s="1013"/>
      <c r="F239" s="1013"/>
      <c r="G239" s="332"/>
      <c r="H239" s="478"/>
      <c r="R239" s="53"/>
      <c r="S239" s="45"/>
    </row>
    <row r="240" spans="1:19" s="29" customFormat="1" ht="15.6">
      <c r="A240" s="479" t="s">
        <v>280</v>
      </c>
      <c r="B240" s="346" t="s">
        <v>100</v>
      </c>
      <c r="C240" s="369">
        <f>IFERROR(SUM(G29+G32+G34+G35+G44+G47),0)</f>
        <v>0</v>
      </c>
      <c r="D240" s="332" t="s">
        <v>284</v>
      </c>
      <c r="E240" s="141"/>
      <c r="F240" s="332" t="s">
        <v>285</v>
      </c>
      <c r="G240" s="144">
        <f>MIN(IFERROR(SUM(C240+E240),0),100%)</f>
        <v>0</v>
      </c>
      <c r="H240" s="388"/>
      <c r="M240" s="53"/>
      <c r="N240" s="45"/>
    </row>
    <row r="241" spans="1:19" s="29" customFormat="1" ht="15.6">
      <c r="A241" s="479" t="s">
        <v>281</v>
      </c>
      <c r="B241" s="346" t="s">
        <v>101</v>
      </c>
      <c r="C241" s="369">
        <f>IFERROR(SUM(F19+G91+G93+G95+G98+G101+G102+G103+G104+G105),0)</f>
        <v>0</v>
      </c>
      <c r="D241" s="332" t="s">
        <v>284</v>
      </c>
      <c r="E241" s="141"/>
      <c r="F241" s="332" t="s">
        <v>285</v>
      </c>
      <c r="G241" s="144">
        <f t="shared" ref="G241:G242" si="5">MIN(IFERROR(SUM(C241+E241),0),100%)</f>
        <v>0</v>
      </c>
      <c r="H241" s="388"/>
      <c r="M241" s="53"/>
      <c r="N241" s="45"/>
    </row>
    <row r="242" spans="1:19" s="29" customFormat="1" ht="15.6">
      <c r="A242" s="479" t="s">
        <v>282</v>
      </c>
      <c r="B242" s="346" t="s">
        <v>102</v>
      </c>
      <c r="C242" s="369">
        <f>IFERROR(G197,0)</f>
        <v>0</v>
      </c>
      <c r="D242" s="332" t="s">
        <v>284</v>
      </c>
      <c r="E242" s="141"/>
      <c r="F242" s="303" t="s">
        <v>285</v>
      </c>
      <c r="G242" s="144">
        <f t="shared" si="5"/>
        <v>0</v>
      </c>
      <c r="H242" s="283"/>
      <c r="I242" s="3"/>
      <c r="J242" s="3"/>
      <c r="K242" s="3"/>
      <c r="L242" s="3"/>
      <c r="M242" s="53"/>
      <c r="N242" s="45"/>
    </row>
    <row r="243" spans="1:19" s="29" customFormat="1" ht="15.6" thickBot="1">
      <c r="A243" s="491"/>
      <c r="B243" s="492"/>
      <c r="C243" s="493"/>
      <c r="D243" s="493"/>
      <c r="E243" s="493"/>
      <c r="F243" s="493"/>
      <c r="G243" s="638"/>
      <c r="H243" s="639"/>
      <c r="K243" s="3"/>
      <c r="L243" s="3"/>
      <c r="M243" s="3"/>
      <c r="N243" s="3"/>
      <c r="O243" s="3"/>
      <c r="P243" s="3"/>
      <c r="Q243" s="3"/>
      <c r="R243" s="53"/>
      <c r="S243" s="45"/>
    </row>
    <row r="244" spans="1:19" s="29" customFormat="1">
      <c r="A244" s="174"/>
      <c r="B244" s="3"/>
      <c r="C244" s="3"/>
      <c r="D244" s="3"/>
      <c r="E244" s="3"/>
      <c r="F244" s="3"/>
      <c r="G244" s="10"/>
      <c r="H244" s="3"/>
      <c r="K244" s="3"/>
      <c r="L244" s="3"/>
      <c r="M244" s="3"/>
      <c r="N244" s="3"/>
      <c r="O244" s="3"/>
      <c r="P244" s="3"/>
      <c r="Q244" s="3"/>
      <c r="R244" s="53"/>
      <c r="S244" s="45"/>
    </row>
    <row r="245" spans="1:19" s="29" customFormat="1">
      <c r="A245" s="174"/>
      <c r="B245" s="3"/>
      <c r="C245" s="3"/>
      <c r="D245" s="3"/>
      <c r="E245" s="3"/>
      <c r="F245" s="3"/>
      <c r="G245" s="10"/>
      <c r="H245" s="3"/>
      <c r="K245" s="3"/>
      <c r="L245" s="3"/>
      <c r="M245" s="3"/>
      <c r="N245" s="3"/>
      <c r="O245" s="3"/>
      <c r="P245" s="3"/>
      <c r="Q245" s="3"/>
      <c r="R245" s="53"/>
      <c r="S245" s="45"/>
    </row>
    <row r="246" spans="1:19" s="29" customFormat="1">
      <c r="A246" s="174"/>
      <c r="B246" s="3"/>
      <c r="C246" s="3"/>
      <c r="D246" s="3"/>
      <c r="E246" s="3"/>
      <c r="F246" s="3"/>
      <c r="G246" s="10"/>
      <c r="H246" s="3"/>
      <c r="K246" s="3"/>
      <c r="L246" s="3"/>
      <c r="M246" s="3"/>
      <c r="N246" s="3"/>
      <c r="O246" s="3"/>
      <c r="P246" s="3"/>
      <c r="Q246" s="3"/>
      <c r="R246" s="53"/>
      <c r="S246" s="45"/>
    </row>
    <row r="247" spans="1:19" s="29" customFormat="1">
      <c r="A247" s="174"/>
      <c r="B247" s="3"/>
      <c r="C247" s="3"/>
      <c r="D247" s="3"/>
      <c r="E247" s="3"/>
      <c r="F247" s="3"/>
      <c r="G247" s="10"/>
      <c r="H247" s="3"/>
      <c r="K247" s="3"/>
      <c r="L247" s="3"/>
      <c r="M247" s="3"/>
      <c r="N247" s="3"/>
      <c r="O247" s="3"/>
      <c r="P247" s="3"/>
      <c r="Q247" s="3"/>
      <c r="R247" s="45"/>
      <c r="S247" s="45"/>
    </row>
    <row r="248" spans="1:19" s="29" customFormat="1">
      <c r="A248" s="174"/>
      <c r="B248" s="3"/>
      <c r="C248" s="3"/>
      <c r="D248" s="3"/>
      <c r="E248" s="3"/>
      <c r="F248" s="3"/>
      <c r="G248" s="10"/>
      <c r="H248" s="3"/>
      <c r="K248" s="3"/>
      <c r="L248" s="3"/>
      <c r="M248" s="3"/>
      <c r="N248" s="3"/>
      <c r="O248" s="3"/>
      <c r="P248" s="3"/>
      <c r="Q248" s="3"/>
      <c r="R248" s="45"/>
      <c r="S248" s="45"/>
    </row>
    <row r="249" spans="1:19" s="29" customFormat="1">
      <c r="A249" s="174"/>
      <c r="B249" s="3"/>
      <c r="C249" s="3"/>
      <c r="D249" s="3"/>
      <c r="E249" s="3"/>
      <c r="F249" s="3"/>
      <c r="G249" s="10"/>
      <c r="H249" s="3"/>
      <c r="K249" s="3"/>
      <c r="L249" s="3"/>
      <c r="M249" s="3"/>
      <c r="N249" s="3"/>
      <c r="O249" s="3"/>
      <c r="P249" s="3"/>
      <c r="Q249" s="3"/>
      <c r="R249" s="45"/>
      <c r="S249" s="45"/>
    </row>
    <row r="250" spans="1:19" s="29" customFormat="1">
      <c r="A250" s="174"/>
      <c r="B250" s="3"/>
      <c r="C250" s="3"/>
      <c r="D250" s="3"/>
      <c r="E250" s="3"/>
      <c r="F250" s="3"/>
      <c r="G250" s="10"/>
      <c r="H250" s="3"/>
      <c r="K250" s="3"/>
      <c r="L250" s="3"/>
      <c r="M250" s="3"/>
      <c r="N250" s="3"/>
      <c r="O250" s="3"/>
      <c r="P250" s="3"/>
      <c r="Q250" s="3"/>
      <c r="R250" s="45"/>
      <c r="S250" s="45"/>
    </row>
  </sheetData>
  <sheetProtection algorithmName="SHA-512" hashValue="aaNs4kRgMfhgNEsxNkRRtJxjqELDNLQmQCOvJ6a2TxqdaBIrbSl9e/tSsGCwjJK1IJygLaqxbMrrBZ9Szq3M3w==" saltValue="bDcbOyC4KdxINE/NMAt9qg==" spinCount="100000" sheet="1" selectLockedCells="1"/>
  <mergeCells count="228">
    <mergeCell ref="A224:B224"/>
    <mergeCell ref="B227:D227"/>
    <mergeCell ref="B233:D233"/>
    <mergeCell ref="D238:F239"/>
    <mergeCell ref="B203:C203"/>
    <mergeCell ref="B208:C208"/>
    <mergeCell ref="A213:B214"/>
    <mergeCell ref="C213:C214"/>
    <mergeCell ref="D213:D214"/>
    <mergeCell ref="E213:F213"/>
    <mergeCell ref="B217:C217"/>
    <mergeCell ref="B228:D228"/>
    <mergeCell ref="B230:D230"/>
    <mergeCell ref="B231:D231"/>
    <mergeCell ref="B229:D229"/>
    <mergeCell ref="B226:D226"/>
    <mergeCell ref="A187:B187"/>
    <mergeCell ref="G213:G214"/>
    <mergeCell ref="H213:H214"/>
    <mergeCell ref="B216:C216"/>
    <mergeCell ref="B190:C190"/>
    <mergeCell ref="B192:C192"/>
    <mergeCell ref="B194:C194"/>
    <mergeCell ref="A199:B200"/>
    <mergeCell ref="C199:C200"/>
    <mergeCell ref="D199:D200"/>
    <mergeCell ref="E199:F199"/>
    <mergeCell ref="G199:G200"/>
    <mergeCell ref="H199:H200"/>
    <mergeCell ref="B206:C206"/>
    <mergeCell ref="B205:C205"/>
    <mergeCell ref="B204:C204"/>
    <mergeCell ref="B195:C195"/>
    <mergeCell ref="B196:C196"/>
    <mergeCell ref="B209:C209"/>
    <mergeCell ref="B210:C210"/>
    <mergeCell ref="B163:C163"/>
    <mergeCell ref="E153:F153"/>
    <mergeCell ref="E154:F154"/>
    <mergeCell ref="B136:C136"/>
    <mergeCell ref="B137:C137"/>
    <mergeCell ref="B135:C135"/>
    <mergeCell ref="F143:G143"/>
    <mergeCell ref="F140:G140"/>
    <mergeCell ref="D142:D143"/>
    <mergeCell ref="E142:E143"/>
    <mergeCell ref="F142:G142"/>
    <mergeCell ref="A146:B147"/>
    <mergeCell ref="C146:C147"/>
    <mergeCell ref="D146:D147"/>
    <mergeCell ref="E146:F146"/>
    <mergeCell ref="G146:G147"/>
    <mergeCell ref="A165:A166"/>
    <mergeCell ref="B165:C165"/>
    <mergeCell ref="D165:D166"/>
    <mergeCell ref="E165:E166"/>
    <mergeCell ref="F165:F166"/>
    <mergeCell ref="G165:G166"/>
    <mergeCell ref="H165:H166"/>
    <mergeCell ref="A167:A168"/>
    <mergeCell ref="D167:D168"/>
    <mergeCell ref="E167:E168"/>
    <mergeCell ref="F167:F168"/>
    <mergeCell ref="G167:G168"/>
    <mergeCell ref="H167:H168"/>
    <mergeCell ref="E122:E123"/>
    <mergeCell ref="F122:F123"/>
    <mergeCell ref="G122:G123"/>
    <mergeCell ref="H122:H123"/>
    <mergeCell ref="B114:D114"/>
    <mergeCell ref="A126:A127"/>
    <mergeCell ref="B126:C126"/>
    <mergeCell ref="D126:D127"/>
    <mergeCell ref="E126:E127"/>
    <mergeCell ref="F126:F127"/>
    <mergeCell ref="G126:G127"/>
    <mergeCell ref="H126:H127"/>
    <mergeCell ref="B127:C127"/>
    <mergeCell ref="B124:C124"/>
    <mergeCell ref="B123:C123"/>
    <mergeCell ref="E98:E99"/>
    <mergeCell ref="F98:F99"/>
    <mergeCell ref="G98:G99"/>
    <mergeCell ref="H98:H99"/>
    <mergeCell ref="B101:D101"/>
    <mergeCell ref="R101:R102"/>
    <mergeCell ref="B108:D108"/>
    <mergeCell ref="B103:D103"/>
    <mergeCell ref="B104:D104"/>
    <mergeCell ref="E93:E94"/>
    <mergeCell ref="F93:F94"/>
    <mergeCell ref="G93:G94"/>
    <mergeCell ref="H93:H94"/>
    <mergeCell ref="A95:A96"/>
    <mergeCell ref="E95:E96"/>
    <mergeCell ref="F95:F96"/>
    <mergeCell ref="G95:G96"/>
    <mergeCell ref="H95:H96"/>
    <mergeCell ref="B179:C179"/>
    <mergeCell ref="B180:C180"/>
    <mergeCell ref="B154:C157"/>
    <mergeCell ref="G154:G157"/>
    <mergeCell ref="H154:H157"/>
    <mergeCell ref="I154:I158"/>
    <mergeCell ref="B158:C159"/>
    <mergeCell ref="B162:C162"/>
    <mergeCell ref="B170:C170"/>
    <mergeCell ref="B167:C167"/>
    <mergeCell ref="B168:C168"/>
    <mergeCell ref="B160:C160"/>
    <mergeCell ref="B171:C171"/>
    <mergeCell ref="B166:C166"/>
    <mergeCell ref="B172:C172"/>
    <mergeCell ref="A175:B176"/>
    <mergeCell ref="C175:C176"/>
    <mergeCell ref="D175:D176"/>
    <mergeCell ref="E175:F175"/>
    <mergeCell ref="G175:G176"/>
    <mergeCell ref="H175:H176"/>
    <mergeCell ref="B178:C178"/>
    <mergeCell ref="E180:F180"/>
    <mergeCell ref="A158:A159"/>
    <mergeCell ref="B64:C64"/>
    <mergeCell ref="D66:D69"/>
    <mergeCell ref="B74:C74"/>
    <mergeCell ref="B80:C80"/>
    <mergeCell ref="B69:C69"/>
    <mergeCell ref="B67:C67"/>
    <mergeCell ref="B66:C66"/>
    <mergeCell ref="B68:C68"/>
    <mergeCell ref="B65:C65"/>
    <mergeCell ref="B70:C70"/>
    <mergeCell ref="B71:C71"/>
    <mergeCell ref="B73:C73"/>
    <mergeCell ref="B77:C77"/>
    <mergeCell ref="B79:C79"/>
    <mergeCell ref="B91:D91"/>
    <mergeCell ref="B110:D110"/>
    <mergeCell ref="H29:H30"/>
    <mergeCell ref="A35:A36"/>
    <mergeCell ref="H35:H36"/>
    <mergeCell ref="H37:H42"/>
    <mergeCell ref="E58:F58"/>
    <mergeCell ref="G58:G59"/>
    <mergeCell ref="H58:H59"/>
    <mergeCell ref="B41:D41"/>
    <mergeCell ref="E37:E42"/>
    <mergeCell ref="B42:D42"/>
    <mergeCell ref="B47:D47"/>
    <mergeCell ref="B51:D51"/>
    <mergeCell ref="B55:D55"/>
    <mergeCell ref="A58:B59"/>
    <mergeCell ref="D58:D59"/>
    <mergeCell ref="E29:E30"/>
    <mergeCell ref="F29:F30"/>
    <mergeCell ref="G29:G30"/>
    <mergeCell ref="B30:D30"/>
    <mergeCell ref="B32:D32"/>
    <mergeCell ref="B34:D34"/>
    <mergeCell ref="B35:D36"/>
    <mergeCell ref="E35:E36"/>
    <mergeCell ref="B29:D29"/>
    <mergeCell ref="B14:C14"/>
    <mergeCell ref="B15:C15"/>
    <mergeCell ref="B16:C16"/>
    <mergeCell ref="A11:B12"/>
    <mergeCell ref="B39:D39"/>
    <mergeCell ref="B61:C61"/>
    <mergeCell ref="B46:D46"/>
    <mergeCell ref="B50:D50"/>
    <mergeCell ref="B54:D54"/>
    <mergeCell ref="B44:D44"/>
    <mergeCell ref="B45:D45"/>
    <mergeCell ref="B53:D53"/>
    <mergeCell ref="B37:D37"/>
    <mergeCell ref="B40:D40"/>
    <mergeCell ref="A29:A30"/>
    <mergeCell ref="A4:B4"/>
    <mergeCell ref="A7:B7"/>
    <mergeCell ref="D7:G7"/>
    <mergeCell ref="B134:C134"/>
    <mergeCell ref="B17:C17"/>
    <mergeCell ref="B19:C19"/>
    <mergeCell ref="B20:C20"/>
    <mergeCell ref="B21:C21"/>
    <mergeCell ref="B38:D38"/>
    <mergeCell ref="B63:C63"/>
    <mergeCell ref="B95:D95"/>
    <mergeCell ref="D11:D12"/>
    <mergeCell ref="B22:C22"/>
    <mergeCell ref="B62:C62"/>
    <mergeCell ref="E11:E12"/>
    <mergeCell ref="F11:F12"/>
    <mergeCell ref="E71:F71"/>
    <mergeCell ref="B75:C75"/>
    <mergeCell ref="B81:C81"/>
    <mergeCell ref="B96:D96"/>
    <mergeCell ref="B94:D94"/>
    <mergeCell ref="A93:A94"/>
    <mergeCell ref="B93:D93"/>
    <mergeCell ref="B105:D105"/>
    <mergeCell ref="B113:D113"/>
    <mergeCell ref="B102:D102"/>
    <mergeCell ref="B109:D109"/>
    <mergeCell ref="B99:D99"/>
    <mergeCell ref="B130:C130"/>
    <mergeCell ref="B112:D112"/>
    <mergeCell ref="B120:C120"/>
    <mergeCell ref="B129:C129"/>
    <mergeCell ref="A140:B140"/>
    <mergeCell ref="A98:A99"/>
    <mergeCell ref="B98:D98"/>
    <mergeCell ref="A122:A123"/>
    <mergeCell ref="B122:C122"/>
    <mergeCell ref="D122:D123"/>
    <mergeCell ref="B133:C133"/>
    <mergeCell ref="H146:H147"/>
    <mergeCell ref="B150:C150"/>
    <mergeCell ref="E155:F155"/>
    <mergeCell ref="E156:F156"/>
    <mergeCell ref="E157:F157"/>
    <mergeCell ref="A152:A153"/>
    <mergeCell ref="B152:C153"/>
    <mergeCell ref="E152:F152"/>
    <mergeCell ref="G152:G153"/>
    <mergeCell ref="H152:H153"/>
    <mergeCell ref="A154:A157"/>
    <mergeCell ref="B151:C151"/>
  </mergeCells>
  <dataValidations count="3">
    <dataValidation type="list" allowBlank="1" showInputMessage="1" showErrorMessage="1" sqref="A7" xr:uid="{59DF25ED-98E8-4505-A80D-DC2F1A831B95}">
      <formula1>$K$1:$K$7</formula1>
    </dataValidation>
    <dataValidation type="list" allowBlank="1" showInputMessage="1" showErrorMessage="1" sqref="E233" xr:uid="{C926ECB5-62B0-4E70-A573-E91126E3CD10}">
      <formula1>$K$233:$K$237</formula1>
    </dataValidation>
    <dataValidation type="list" allowBlank="1" showInputMessage="1" showErrorMessage="1" sqref="F143:G143" xr:uid="{29F8F155-31BC-4706-90BA-DAF3580E28F6}">
      <formula1>$L$140:$Q$140</formula1>
    </dataValidation>
  </dataValidations>
  <pageMargins left="0.25" right="0.25" top="0.75" bottom="0.75" header="0.3" footer="0.3"/>
  <pageSetup paperSize="9" scale="60" fitToHeight="4" orientation="portrait" r:id="rId1"/>
  <headerFooter>
    <oddFooter>&amp;F</oddFooter>
  </headerFooter>
  <rowBreaks count="4" manualBreakCount="4">
    <brk id="57" max="7" man="1"/>
    <brk id="116" max="7" man="1"/>
    <brk id="174" max="7" man="1"/>
    <brk id="22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S250"/>
  <sheetViews>
    <sheetView zoomScale="80" zoomScaleNormal="80" zoomScaleSheetLayoutView="100" workbookViewId="0">
      <pane ySplit="8" topLeftCell="A9" activePane="bottomLeft" state="frozen"/>
      <selection pane="bottomLeft" activeCell="G162" sqref="G162"/>
    </sheetView>
  </sheetViews>
  <sheetFormatPr defaultColWidth="9.109375" defaultRowHeight="15"/>
  <cols>
    <col min="1" max="1" width="7.5546875" style="173"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77" t="s">
        <v>90</v>
      </c>
      <c r="B1" s="378"/>
      <c r="C1" s="378"/>
      <c r="D1" s="378"/>
      <c r="E1" s="378"/>
      <c r="F1" s="378"/>
      <c r="G1" s="378"/>
      <c r="H1" s="379"/>
      <c r="K1" s="3" t="s">
        <v>41</v>
      </c>
    </row>
    <row r="2" spans="1:16">
      <c r="A2" s="380"/>
      <c r="B2" s="281"/>
      <c r="C2" s="281"/>
      <c r="D2" s="281"/>
      <c r="E2" s="281"/>
      <c r="F2" s="281"/>
      <c r="G2" s="282"/>
      <c r="H2" s="283"/>
      <c r="J2" s="6"/>
      <c r="K2" s="6" t="s">
        <v>428</v>
      </c>
    </row>
    <row r="3" spans="1:16" ht="15.6">
      <c r="A3" s="381" t="s">
        <v>378</v>
      </c>
      <c r="B3" s="281"/>
      <c r="C3" s="281"/>
      <c r="D3" s="349" t="s">
        <v>143</v>
      </c>
      <c r="E3" s="349" t="s">
        <v>144</v>
      </c>
      <c r="F3" s="349" t="s">
        <v>145</v>
      </c>
      <c r="G3" s="306" t="s">
        <v>105</v>
      </c>
      <c r="H3" s="292" t="s">
        <v>63</v>
      </c>
      <c r="J3" s="6"/>
      <c r="K3" s="6" t="s">
        <v>45</v>
      </c>
    </row>
    <row r="4" spans="1:16" ht="15.6">
      <c r="A4" s="862">
        <f>Summary!A6</f>
        <v>0</v>
      </c>
      <c r="B4" s="863"/>
      <c r="C4" s="281"/>
      <c r="D4" s="78">
        <f>H84</f>
        <v>0</v>
      </c>
      <c r="E4" s="166">
        <f>H183</f>
        <v>0</v>
      </c>
      <c r="F4" s="133">
        <f>H220</f>
        <v>0</v>
      </c>
      <c r="G4" s="143">
        <f>H234</f>
        <v>0</v>
      </c>
      <c r="H4" s="382">
        <f>H236</f>
        <v>0</v>
      </c>
      <c r="J4" s="6"/>
      <c r="K4" s="6" t="s">
        <v>15</v>
      </c>
    </row>
    <row r="5" spans="1:16">
      <c r="A5" s="380"/>
      <c r="B5" s="281"/>
      <c r="C5" s="281"/>
      <c r="D5" s="281"/>
      <c r="E5" s="281"/>
      <c r="F5" s="281"/>
      <c r="G5" s="282"/>
      <c r="H5" s="283"/>
      <c r="J5" s="6"/>
      <c r="K5" s="6" t="s">
        <v>16</v>
      </c>
    </row>
    <row r="6" spans="1:16" s="4" customFormat="1" ht="15.6">
      <c r="A6" s="381" t="s">
        <v>91</v>
      </c>
      <c r="B6" s="313"/>
      <c r="C6" s="313"/>
      <c r="D6" s="314" t="s">
        <v>35</v>
      </c>
      <c r="E6" s="281"/>
      <c r="F6" s="281"/>
      <c r="G6" s="282"/>
      <c r="H6" s="283"/>
      <c r="J6" s="6"/>
      <c r="K6" s="6" t="s">
        <v>427</v>
      </c>
      <c r="L6" s="3"/>
      <c r="M6" s="3"/>
      <c r="N6" s="3"/>
    </row>
    <row r="7" spans="1:16" ht="15.75" customHeight="1">
      <c r="A7" s="842" t="s">
        <v>428</v>
      </c>
      <c r="B7" s="843"/>
      <c r="D7" s="835">
        <f>Summary!A79</f>
        <v>0</v>
      </c>
      <c r="E7" s="785"/>
      <c r="F7" s="785"/>
      <c r="G7" s="786"/>
      <c r="H7" s="383"/>
      <c r="J7" s="29"/>
      <c r="K7" s="29" t="s">
        <v>426</v>
      </c>
    </row>
    <row r="8" spans="1:16" ht="15.6" thickBot="1">
      <c r="A8" s="380"/>
      <c r="B8" s="315"/>
      <c r="C8" s="281"/>
      <c r="D8" s="281"/>
      <c r="E8" s="281"/>
      <c r="F8" s="281"/>
      <c r="G8" s="282"/>
      <c r="H8" s="283"/>
    </row>
    <row r="9" spans="1:16" ht="16.2" thickBot="1">
      <c r="A9" s="384" t="s">
        <v>126</v>
      </c>
      <c r="B9" s="145"/>
      <c r="C9" s="145"/>
      <c r="D9" s="145"/>
      <c r="E9" s="145"/>
      <c r="F9" s="146"/>
      <c r="G9" s="16"/>
      <c r="H9" s="385"/>
    </row>
    <row r="10" spans="1:16">
      <c r="A10" s="380"/>
      <c r="B10" s="316"/>
      <c r="C10" s="281"/>
      <c r="D10" s="281"/>
      <c r="E10" s="281"/>
      <c r="F10" s="281"/>
      <c r="G10" s="282"/>
      <c r="H10" s="283"/>
    </row>
    <row r="11" spans="1:16" ht="15.75" customHeight="1">
      <c r="A11" s="963" t="s">
        <v>0</v>
      </c>
      <c r="B11" s="964"/>
      <c r="C11" s="153"/>
      <c r="D11" s="985" t="s">
        <v>4</v>
      </c>
      <c r="E11" s="984" t="s">
        <v>81</v>
      </c>
      <c r="F11" s="984" t="s">
        <v>21</v>
      </c>
      <c r="G11" s="317"/>
      <c r="H11" s="386"/>
    </row>
    <row r="12" spans="1:16" ht="15.75" customHeight="1">
      <c r="A12" s="965"/>
      <c r="B12" s="966"/>
      <c r="C12" s="154"/>
      <c r="D12" s="986"/>
      <c r="E12" s="984"/>
      <c r="F12" s="984"/>
      <c r="H12" s="386"/>
    </row>
    <row r="13" spans="1:16" s="29" customFormat="1" ht="15.6">
      <c r="A13" s="387" t="s">
        <v>128</v>
      </c>
      <c r="B13" s="180"/>
      <c r="C13" s="180"/>
      <c r="D13" s="180"/>
      <c r="E13" s="183"/>
      <c r="F13" s="183"/>
      <c r="G13" s="317"/>
      <c r="H13" s="388"/>
      <c r="O13" s="45"/>
      <c r="P13" s="45"/>
    </row>
    <row r="14" spans="1:16">
      <c r="A14" s="389">
        <v>1</v>
      </c>
      <c r="B14" s="987" t="s">
        <v>287</v>
      </c>
      <c r="C14" s="851"/>
      <c r="D14" s="149" t="s">
        <v>2</v>
      </c>
      <c r="E14" s="54" t="s">
        <v>50</v>
      </c>
      <c r="F14" s="30"/>
      <c r="G14" s="278"/>
      <c r="H14" s="304"/>
      <c r="I14" s="148" t="s">
        <v>143</v>
      </c>
      <c r="K14" s="152" t="str">
        <f>IF(F14&lt;65%,"Min. 65% coverage"," ")</f>
        <v>Min. 65% coverage</v>
      </c>
    </row>
    <row r="15" spans="1:16" ht="30.75" customHeight="1">
      <c r="A15" s="389">
        <v>2</v>
      </c>
      <c r="B15" s="987" t="s">
        <v>376</v>
      </c>
      <c r="C15" s="851"/>
      <c r="D15" s="150" t="s">
        <v>51</v>
      </c>
      <c r="E15" s="31" t="s">
        <v>50</v>
      </c>
      <c r="F15" s="547"/>
      <c r="G15" s="278"/>
      <c r="H15" s="283"/>
      <c r="I15" s="148" t="s">
        <v>144</v>
      </c>
      <c r="K15" s="152" t="str">
        <f>IF(F15&lt;65%,"Min. 80% coverage"," ")</f>
        <v>Min. 80% coverage</v>
      </c>
    </row>
    <row r="16" spans="1:16" ht="15" customHeight="1">
      <c r="A16" s="389">
        <v>3</v>
      </c>
      <c r="B16" s="987" t="s">
        <v>375</v>
      </c>
      <c r="C16" s="851"/>
      <c r="D16" s="150" t="s">
        <v>51</v>
      </c>
      <c r="E16" s="31" t="s">
        <v>50</v>
      </c>
      <c r="F16" s="547"/>
      <c r="G16" s="278"/>
      <c r="H16" s="386"/>
      <c r="I16" s="3" t="s">
        <v>143</v>
      </c>
      <c r="K16" s="152" t="str">
        <f>IF(F16&lt;65%,"Min. 65% coverage"," ")</f>
        <v>Min. 65% coverage</v>
      </c>
    </row>
    <row r="17" spans="1:19">
      <c r="A17" s="389">
        <v>4</v>
      </c>
      <c r="B17" s="886" t="s">
        <v>191</v>
      </c>
      <c r="C17" s="884"/>
      <c r="D17" s="147" t="s">
        <v>3</v>
      </c>
      <c r="E17" s="31" t="s">
        <v>50</v>
      </c>
      <c r="F17" s="547"/>
      <c r="G17" s="278"/>
      <c r="H17" s="386"/>
      <c r="I17" s="3" t="s">
        <v>145</v>
      </c>
      <c r="K17" s="152" t="str">
        <f>IF(F17&lt;65%,"Min. 65% coverage"," ")</f>
        <v>Min. 65% coverage</v>
      </c>
    </row>
    <row r="18" spans="1:19" s="29" customFormat="1" ht="15.6">
      <c r="A18" s="390" t="s">
        <v>127</v>
      </c>
      <c r="B18" s="180"/>
      <c r="C18" s="180"/>
      <c r="D18" s="180"/>
      <c r="E18" s="181"/>
      <c r="F18" s="182"/>
      <c r="G18" s="319"/>
      <c r="H18" s="388"/>
      <c r="K18" s="10"/>
      <c r="O18" s="45"/>
      <c r="P18" s="45"/>
    </row>
    <row r="19" spans="1:19" ht="32.25" customHeight="1">
      <c r="A19" s="391">
        <v>5</v>
      </c>
      <c r="B19" s="873" t="s">
        <v>288</v>
      </c>
      <c r="C19" s="989"/>
      <c r="D19" s="151" t="s">
        <v>3</v>
      </c>
      <c r="E19" s="536"/>
      <c r="F19" s="31">
        <f>IFERROR(E19/$F$115,0)</f>
        <v>0</v>
      </c>
      <c r="G19" s="278"/>
      <c r="H19" s="386"/>
      <c r="I19" s="3" t="s">
        <v>144</v>
      </c>
      <c r="K19" s="152" t="str">
        <f>IF($A$7=$K$2,IF(E19=0,"Please input wall length"," ")," ")</f>
        <v>Please input wall length</v>
      </c>
    </row>
    <row r="20" spans="1:19">
      <c r="A20" s="391">
        <v>6</v>
      </c>
      <c r="B20" s="987" t="s">
        <v>289</v>
      </c>
      <c r="C20" s="851"/>
      <c r="D20" s="190" t="s">
        <v>51</v>
      </c>
      <c r="E20" s="31" t="s">
        <v>50</v>
      </c>
      <c r="F20" s="30"/>
      <c r="G20" s="278"/>
      <c r="H20" s="386"/>
      <c r="I20" s="3" t="s">
        <v>144</v>
      </c>
      <c r="K20" s="152" t="str">
        <f>IF($A$7=$K$2,IF(F20&lt;65%,"Min. 65% coverage"," ")," ")</f>
        <v>Min. 65% coverage</v>
      </c>
    </row>
    <row r="21" spans="1:19">
      <c r="A21" s="391">
        <v>7</v>
      </c>
      <c r="B21" s="886" t="s">
        <v>306</v>
      </c>
      <c r="C21" s="884"/>
      <c r="D21" s="150" t="s">
        <v>51</v>
      </c>
      <c r="E21" s="31" t="s">
        <v>50</v>
      </c>
      <c r="F21" s="547"/>
      <c r="G21" s="278"/>
      <c r="H21" s="386"/>
      <c r="I21" s="3" t="s">
        <v>143</v>
      </c>
      <c r="K21" s="152" t="str">
        <f>IF($A$7=$K$2,IF(F21&lt;65%,"Min. 65% coverage"," ")," ")</f>
        <v>Min. 65% coverage</v>
      </c>
    </row>
    <row r="22" spans="1:19">
      <c r="A22" s="391" t="s">
        <v>308</v>
      </c>
      <c r="B22" s="886" t="s">
        <v>307</v>
      </c>
      <c r="C22" s="884"/>
      <c r="D22" s="150" t="s">
        <v>51</v>
      </c>
      <c r="E22" s="31" t="s">
        <v>50</v>
      </c>
      <c r="F22" s="547"/>
      <c r="G22" s="278"/>
      <c r="H22" s="386"/>
      <c r="K22" s="152"/>
    </row>
    <row r="23" spans="1:19">
      <c r="A23" s="380"/>
      <c r="B23" s="281"/>
      <c r="C23" s="281"/>
      <c r="D23" s="281"/>
      <c r="E23" s="281"/>
      <c r="F23" s="281"/>
      <c r="G23" s="282"/>
      <c r="H23" s="283"/>
      <c r="K23" s="6"/>
    </row>
    <row r="24" spans="1:19" ht="15.6">
      <c r="A24" s="392" t="s">
        <v>44</v>
      </c>
      <c r="B24" s="169"/>
      <c r="C24" s="169"/>
      <c r="D24" s="169"/>
      <c r="E24" s="169"/>
      <c r="F24" s="170" t="s">
        <v>43</v>
      </c>
      <c r="G24" s="171">
        <f>VLOOKUP($A$7,'Manpower allocation'!A4:D11,2,FALSE)*100</f>
        <v>45</v>
      </c>
      <c r="H24" s="393" t="s">
        <v>42</v>
      </c>
      <c r="J24" s="497">
        <f>VLOOKUP($A$7,'Manpower allocation'!A4:D11,2,FALSE)*100</f>
        <v>45</v>
      </c>
      <c r="K24" s="6"/>
    </row>
    <row r="25" spans="1:19" ht="15.6">
      <c r="A25" s="380"/>
      <c r="B25" s="320"/>
      <c r="C25" s="321"/>
      <c r="D25" s="281"/>
      <c r="E25" s="281"/>
      <c r="F25" s="281"/>
      <c r="G25" s="282"/>
      <c r="H25" s="283"/>
      <c r="K25" s="6"/>
    </row>
    <row r="26" spans="1:19" s="29" customFormat="1" ht="46.8">
      <c r="A26" s="394" t="s">
        <v>0</v>
      </c>
      <c r="B26" s="41"/>
      <c r="C26" s="41"/>
      <c r="D26" s="42"/>
      <c r="E26" s="43" t="s">
        <v>17</v>
      </c>
      <c r="F26" s="43" t="s">
        <v>114</v>
      </c>
      <c r="G26" s="43" t="s">
        <v>18</v>
      </c>
      <c r="H26" s="395" t="s">
        <v>53</v>
      </c>
      <c r="K26" s="44"/>
      <c r="R26" s="45"/>
      <c r="S26" s="45"/>
    </row>
    <row r="27" spans="1:19" s="29" customFormat="1" ht="15.6">
      <c r="A27" s="396" t="s">
        <v>198</v>
      </c>
      <c r="B27" s="46" t="s">
        <v>214</v>
      </c>
      <c r="C27" s="47"/>
      <c r="D27" s="47"/>
      <c r="E27" s="48"/>
      <c r="F27" s="48"/>
      <c r="G27" s="48"/>
      <c r="H27" s="397"/>
      <c r="R27" s="45"/>
      <c r="S27" s="45"/>
    </row>
    <row r="28" spans="1:19" s="29" customFormat="1" ht="15.6">
      <c r="A28" s="398">
        <v>1</v>
      </c>
      <c r="B28" s="40" t="s">
        <v>338</v>
      </c>
      <c r="C28" s="41"/>
      <c r="D28" s="49"/>
      <c r="E28" s="41"/>
      <c r="F28" s="50"/>
      <c r="G28" s="50"/>
      <c r="H28" s="399"/>
      <c r="R28" s="45"/>
      <c r="S28" s="45"/>
    </row>
    <row r="29" spans="1:19" s="29" customFormat="1">
      <c r="A29" s="980">
        <v>1.1000000000000001</v>
      </c>
      <c r="B29" s="852" t="s">
        <v>290</v>
      </c>
      <c r="C29" s="988"/>
      <c r="D29" s="988"/>
      <c r="E29" s="904">
        <f>VLOOKUP(A29,'Point Allocation'!$A$5:$J$15,MATCH(A7,'Point Allocation'!$A$5:$J$5,0),0)</f>
        <v>45</v>
      </c>
      <c r="F29" s="1014"/>
      <c r="G29" s="1015">
        <f>IFERROR(F29/$F$56,0)</f>
        <v>0</v>
      </c>
      <c r="H29" s="909">
        <f>E29*G29</f>
        <v>0</v>
      </c>
      <c r="R29" s="45"/>
      <c r="S29" s="45"/>
    </row>
    <row r="30" spans="1:19" s="29" customFormat="1" ht="15.6">
      <c r="A30" s="981"/>
      <c r="B30" s="998" t="s">
        <v>401</v>
      </c>
      <c r="C30" s="998"/>
      <c r="D30" s="998"/>
      <c r="E30" s="904"/>
      <c r="F30" s="1014"/>
      <c r="G30" s="1015">
        <f t="shared" ref="G30" si="0">IFERROR(F30/$F$56,0)</f>
        <v>0</v>
      </c>
      <c r="H30" s="909"/>
      <c r="R30" s="45"/>
      <c r="S30" s="45"/>
    </row>
    <row r="31" spans="1:19" s="29" customFormat="1" ht="15.6">
      <c r="A31" s="398">
        <v>2</v>
      </c>
      <c r="B31" s="40" t="s">
        <v>339</v>
      </c>
      <c r="C31" s="51"/>
      <c r="D31" s="49"/>
      <c r="E31" s="52"/>
      <c r="F31" s="8"/>
      <c r="G31" s="22"/>
      <c r="H31" s="400"/>
      <c r="R31" s="53"/>
      <c r="S31" s="45"/>
    </row>
    <row r="32" spans="1:19" s="29" customFormat="1">
      <c r="A32" s="401">
        <v>2.1</v>
      </c>
      <c r="B32" s="885" t="s">
        <v>203</v>
      </c>
      <c r="C32" s="886"/>
      <c r="D32" s="884"/>
      <c r="E32" s="20">
        <f>VLOOKUP(A32,'Point Allocation'!$A$5:$J$15,MATCH(A7,'Point Allocation'!$A$5:$J$5,0),0)</f>
        <v>42</v>
      </c>
      <c r="F32" s="536"/>
      <c r="G32" s="31">
        <f>IFERROR(F32/$F$56,0)</f>
        <v>0</v>
      </c>
      <c r="H32" s="405">
        <f>E32*G32</f>
        <v>0</v>
      </c>
      <c r="R32" s="53"/>
      <c r="S32" s="45"/>
    </row>
    <row r="33" spans="1:19" s="29" customFormat="1" ht="15.6">
      <c r="A33" s="398">
        <v>3</v>
      </c>
      <c r="B33" s="40" t="s">
        <v>340</v>
      </c>
      <c r="C33" s="51"/>
      <c r="D33" s="49"/>
      <c r="E33" s="52"/>
      <c r="F33" s="8"/>
      <c r="G33" s="22"/>
      <c r="H33" s="400"/>
      <c r="R33" s="53"/>
      <c r="S33" s="45"/>
    </row>
    <row r="34" spans="1:19" s="29" customFormat="1" ht="15" customHeight="1">
      <c r="A34" s="401">
        <v>3.1</v>
      </c>
      <c r="B34" s="885" t="s">
        <v>587</v>
      </c>
      <c r="C34" s="886"/>
      <c r="D34" s="884"/>
      <c r="E34" s="20">
        <f>VLOOKUP(A34,'Point Allocation'!$A$5:$J$15,MATCH(A7,'Point Allocation'!$A$5:$J$5,0),0)</f>
        <v>39</v>
      </c>
      <c r="F34" s="37"/>
      <c r="G34" s="31">
        <f>IFERROR(F34/$F$56,0)</f>
        <v>0</v>
      </c>
      <c r="H34" s="419">
        <f>E34*G34</f>
        <v>0</v>
      </c>
      <c r="R34" s="53"/>
      <c r="S34" s="45"/>
    </row>
    <row r="35" spans="1:19" s="29" customFormat="1" ht="31.5" customHeight="1">
      <c r="A35" s="967">
        <v>3.2</v>
      </c>
      <c r="B35" s="969" t="s">
        <v>330</v>
      </c>
      <c r="C35" s="970"/>
      <c r="D35" s="971"/>
      <c r="E35" s="910">
        <f>VLOOKUP(A35,'Point Allocation'!$A$5:$J$15,MATCH(A7,'Point Allocation'!$A$5:$J$5,0),0)</f>
        <v>39</v>
      </c>
      <c r="F35" s="37"/>
      <c r="G35" s="31">
        <f>IFERROR(F35/$F$56,0)</f>
        <v>0</v>
      </c>
      <c r="H35" s="945">
        <f>IF(SUM(J37:J42)&gt;=4,E35*G35,0)</f>
        <v>0</v>
      </c>
      <c r="R35" s="53"/>
      <c r="S35" s="45"/>
    </row>
    <row r="36" spans="1:19" s="29" customFormat="1" ht="31.5" customHeight="1">
      <c r="A36" s="968"/>
      <c r="B36" s="972"/>
      <c r="C36" s="973"/>
      <c r="D36" s="974"/>
      <c r="E36" s="911"/>
      <c r="F36" s="9" t="s">
        <v>130</v>
      </c>
      <c r="G36" s="54" t="s">
        <v>117</v>
      </c>
      <c r="H36" s="947"/>
      <c r="R36" s="53"/>
      <c r="S36" s="45"/>
    </row>
    <row r="37" spans="1:19" s="29" customFormat="1" ht="89.25" customHeight="1">
      <c r="A37" s="402" t="s">
        <v>192</v>
      </c>
      <c r="B37" s="1016" t="s">
        <v>359</v>
      </c>
      <c r="C37" s="1017"/>
      <c r="D37" s="1018"/>
      <c r="E37" s="958"/>
      <c r="F37" s="187" t="s">
        <v>131</v>
      </c>
      <c r="G37" s="546"/>
      <c r="H37" s="946"/>
      <c r="J37" s="55">
        <f t="shared" ref="J37:J42" si="1">IF(G37&gt;=65%,1,0)</f>
        <v>0</v>
      </c>
      <c r="R37" s="53"/>
      <c r="S37" s="45"/>
    </row>
    <row r="38" spans="1:19" s="29" customFormat="1" ht="33.75" customHeight="1">
      <c r="A38" s="402" t="s">
        <v>193</v>
      </c>
      <c r="B38" s="871" t="s">
        <v>215</v>
      </c>
      <c r="C38" s="872"/>
      <c r="D38" s="873"/>
      <c r="E38" s="958"/>
      <c r="F38" s="39" t="s">
        <v>132</v>
      </c>
      <c r="G38" s="547"/>
      <c r="H38" s="946"/>
      <c r="J38" s="55">
        <f t="shared" si="1"/>
        <v>0</v>
      </c>
      <c r="R38" s="53"/>
      <c r="S38" s="45"/>
    </row>
    <row r="39" spans="1:19" s="29" customFormat="1" ht="48.75" customHeight="1">
      <c r="A39" s="402" t="s">
        <v>201</v>
      </c>
      <c r="B39" s="871" t="s">
        <v>216</v>
      </c>
      <c r="C39" s="872"/>
      <c r="D39" s="873"/>
      <c r="E39" s="958"/>
      <c r="F39" s="39" t="s">
        <v>133</v>
      </c>
      <c r="G39" s="547"/>
      <c r="H39" s="946"/>
      <c r="J39" s="55">
        <f t="shared" si="1"/>
        <v>0</v>
      </c>
      <c r="R39" s="53"/>
      <c r="S39" s="45"/>
    </row>
    <row r="40" spans="1:19" s="29" customFormat="1" ht="45">
      <c r="A40" s="402" t="s">
        <v>194</v>
      </c>
      <c r="B40" s="871" t="s">
        <v>217</v>
      </c>
      <c r="C40" s="872"/>
      <c r="D40" s="873"/>
      <c r="E40" s="958"/>
      <c r="F40" s="39" t="s">
        <v>134</v>
      </c>
      <c r="G40" s="547"/>
      <c r="H40" s="946"/>
      <c r="J40" s="55">
        <f t="shared" si="1"/>
        <v>0</v>
      </c>
      <c r="R40" s="53"/>
      <c r="S40" s="45"/>
    </row>
    <row r="41" spans="1:19" s="29" customFormat="1" ht="48.75" customHeight="1">
      <c r="A41" s="402" t="s">
        <v>202</v>
      </c>
      <c r="B41" s="871" t="s">
        <v>218</v>
      </c>
      <c r="C41" s="872"/>
      <c r="D41" s="873"/>
      <c r="E41" s="958"/>
      <c r="F41" s="39" t="s">
        <v>135</v>
      </c>
      <c r="G41" s="547"/>
      <c r="H41" s="946"/>
      <c r="J41" s="55">
        <f t="shared" si="1"/>
        <v>0</v>
      </c>
      <c r="R41" s="53"/>
      <c r="S41" s="45"/>
    </row>
    <row r="42" spans="1:19" s="29" customFormat="1" ht="31.5" customHeight="1">
      <c r="A42" s="402" t="s">
        <v>195</v>
      </c>
      <c r="B42" s="975" t="s">
        <v>345</v>
      </c>
      <c r="C42" s="976"/>
      <c r="D42" s="977"/>
      <c r="E42" s="959"/>
      <c r="F42" s="39" t="s">
        <v>136</v>
      </c>
      <c r="G42" s="547"/>
      <c r="H42" s="947"/>
      <c r="J42" s="55">
        <f t="shared" si="1"/>
        <v>0</v>
      </c>
      <c r="R42" s="53"/>
      <c r="S42" s="45"/>
    </row>
    <row r="43" spans="1:19" s="29" customFormat="1" ht="15.6">
      <c r="A43" s="398" t="s">
        <v>196</v>
      </c>
      <c r="B43" s="40" t="s">
        <v>341</v>
      </c>
      <c r="C43" s="56"/>
      <c r="D43" s="49"/>
      <c r="E43" s="52"/>
      <c r="F43" s="36"/>
      <c r="G43" s="23"/>
      <c r="H43" s="403"/>
      <c r="R43" s="53"/>
      <c r="S43" s="45"/>
    </row>
    <row r="44" spans="1:19" s="29" customFormat="1" ht="31.5" customHeight="1">
      <c r="A44" s="404">
        <v>4.0999999999999996</v>
      </c>
      <c r="B44" s="885" t="s">
        <v>331</v>
      </c>
      <c r="C44" s="886"/>
      <c r="D44" s="884"/>
      <c r="E44" s="20">
        <f>VLOOKUP(A44,'Point Allocation'!$A$5:$J$15,MATCH(A7,'Point Allocation'!$A$5:$J$5,0),0)</f>
        <v>35</v>
      </c>
      <c r="F44" s="536"/>
      <c r="G44" s="31">
        <f>IFERROR(F44/$F$56,0)</f>
        <v>0</v>
      </c>
      <c r="H44" s="405">
        <f>E44*G44</f>
        <v>0</v>
      </c>
      <c r="R44" s="53"/>
      <c r="S44" s="45"/>
    </row>
    <row r="45" spans="1:19" s="29" customFormat="1">
      <c r="A45" s="406">
        <v>4.2</v>
      </c>
      <c r="B45" s="928" t="s">
        <v>348</v>
      </c>
      <c r="C45" s="990"/>
      <c r="D45" s="929"/>
      <c r="E45" s="20">
        <f>VLOOKUP(A45,'Point Allocation'!$A$5:$J$15,MATCH(A7,'Point Allocation'!$A$5:$J$5,0),0)</f>
        <v>35</v>
      </c>
      <c r="F45" s="536"/>
      <c r="G45" s="31">
        <f>IFERROR(F45/$F$56,0)</f>
        <v>0</v>
      </c>
      <c r="H45" s="405">
        <f>E45*G45</f>
        <v>0</v>
      </c>
      <c r="R45" s="53"/>
      <c r="S45" s="45"/>
    </row>
    <row r="46" spans="1:19" s="29" customFormat="1">
      <c r="A46" s="406">
        <v>4.3</v>
      </c>
      <c r="B46" s="960" t="s">
        <v>346</v>
      </c>
      <c r="C46" s="961"/>
      <c r="D46" s="962"/>
      <c r="E46" s="20">
        <f>VLOOKUP(A46,'Point Allocation'!$A$5:$J$15,MATCH(A7,'Point Allocation'!$A$5:$J$5,0),0)</f>
        <v>28</v>
      </c>
      <c r="F46" s="536"/>
      <c r="G46" s="31">
        <f>IFERROR(F46/$F$56,0)</f>
        <v>0</v>
      </c>
      <c r="H46" s="405">
        <f>E46*G46</f>
        <v>0</v>
      </c>
      <c r="R46" s="53"/>
      <c r="S46" s="45"/>
    </row>
    <row r="47" spans="1:19" s="29" customFormat="1">
      <c r="A47" s="404">
        <v>4.4000000000000004</v>
      </c>
      <c r="B47" s="885" t="s">
        <v>347</v>
      </c>
      <c r="C47" s="886"/>
      <c r="D47" s="884"/>
      <c r="E47" s="20">
        <f>VLOOKUP(A47,'Point Allocation'!$A$5:$J$15,MATCH(A7,'Point Allocation'!$A$5:$J$5,0),0)</f>
        <v>28</v>
      </c>
      <c r="F47" s="536"/>
      <c r="G47" s="31">
        <f>IFERROR(F47/$F$56,0)</f>
        <v>0</v>
      </c>
      <c r="H47" s="405">
        <f>E47*G47</f>
        <v>0</v>
      </c>
      <c r="R47" s="53"/>
      <c r="S47" s="45"/>
    </row>
    <row r="48" spans="1:19" s="59" customFormat="1" ht="15.6">
      <c r="A48" s="396" t="s">
        <v>197</v>
      </c>
      <c r="B48" s="46" t="s">
        <v>211</v>
      </c>
      <c r="C48" s="57"/>
      <c r="D48" s="58"/>
      <c r="E48" s="7"/>
      <c r="F48" s="7"/>
      <c r="G48" s="24"/>
      <c r="H48" s="407"/>
      <c r="J48" s="29"/>
      <c r="K48" s="29"/>
      <c r="L48" s="29"/>
      <c r="M48" s="29"/>
      <c r="N48" s="29"/>
      <c r="R48" s="60"/>
    </row>
    <row r="49" spans="1:19" s="59" customFormat="1" ht="15.6">
      <c r="A49" s="408">
        <v>5</v>
      </c>
      <c r="B49" s="40" t="s">
        <v>212</v>
      </c>
      <c r="C49" s="49"/>
      <c r="D49" s="49"/>
      <c r="E49" s="8"/>
      <c r="F49" s="8"/>
      <c r="G49" s="22"/>
      <c r="H49" s="403"/>
      <c r="J49" s="29"/>
      <c r="K49" s="29"/>
      <c r="L49" s="29"/>
      <c r="M49" s="29"/>
      <c r="N49" s="29"/>
      <c r="R49" s="60"/>
    </row>
    <row r="50" spans="1:19" s="29" customFormat="1">
      <c r="A50" s="409">
        <v>5.0999999999999996</v>
      </c>
      <c r="B50" s="844" t="s">
        <v>204</v>
      </c>
      <c r="C50" s="846"/>
      <c r="D50" s="845"/>
      <c r="E50" s="20">
        <f>VLOOKUP(A50,'Point Allocation'!$A$5:$J$15,MATCH(A7,'Point Allocation'!$A$5:$J$5,0),0)</f>
        <v>22</v>
      </c>
      <c r="F50" s="536"/>
      <c r="G50" s="31">
        <f>IFERROR(F50/$F$56,0)</f>
        <v>0</v>
      </c>
      <c r="H50" s="405">
        <f>E50*G50</f>
        <v>0</v>
      </c>
      <c r="R50" s="53"/>
      <c r="S50" s="45"/>
    </row>
    <row r="51" spans="1:19" s="29" customFormat="1">
      <c r="A51" s="409">
        <v>5.2</v>
      </c>
      <c r="B51" s="844" t="s">
        <v>151</v>
      </c>
      <c r="C51" s="846"/>
      <c r="D51" s="845"/>
      <c r="E51" s="20">
        <f>VLOOKUP(A51,'Point Allocation'!$A$5:$J$15,MATCH(A7,'Point Allocation'!$A$5:$J$5,0),0)</f>
        <v>10</v>
      </c>
      <c r="F51" s="536"/>
      <c r="G51" s="31">
        <f>IFERROR(F51/$F$56,0)</f>
        <v>0</v>
      </c>
      <c r="H51" s="405">
        <f>E51*G51</f>
        <v>0</v>
      </c>
      <c r="R51" s="53"/>
      <c r="S51" s="45"/>
    </row>
    <row r="52" spans="1:19" s="29" customFormat="1" ht="15.6">
      <c r="A52" s="410">
        <v>6</v>
      </c>
      <c r="B52" s="61" t="s">
        <v>213</v>
      </c>
      <c r="C52" s="49"/>
      <c r="D52" s="49"/>
      <c r="E52" s="8"/>
      <c r="F52" s="8"/>
      <c r="G52" s="22"/>
      <c r="H52" s="403"/>
      <c r="R52" s="53"/>
      <c r="S52" s="45"/>
    </row>
    <row r="53" spans="1:19" s="29" customFormat="1">
      <c r="A53" s="411">
        <v>6.1</v>
      </c>
      <c r="B53" s="826"/>
      <c r="C53" s="821"/>
      <c r="D53" s="847"/>
      <c r="E53" s="536"/>
      <c r="F53" s="536"/>
      <c r="G53" s="31">
        <f>IFERROR(F53/$F$56,0)</f>
        <v>0</v>
      </c>
      <c r="H53" s="405">
        <f>E53*G53</f>
        <v>0</v>
      </c>
      <c r="R53" s="53"/>
      <c r="S53" s="45"/>
    </row>
    <row r="54" spans="1:19" s="29" customFormat="1">
      <c r="A54" s="411">
        <v>6.2</v>
      </c>
      <c r="B54" s="826"/>
      <c r="C54" s="821"/>
      <c r="D54" s="847"/>
      <c r="E54" s="536"/>
      <c r="F54" s="536"/>
      <c r="G54" s="31">
        <f>IFERROR(F54/$F$56,0)</f>
        <v>0</v>
      </c>
      <c r="H54" s="405">
        <f>E54*G54</f>
        <v>0</v>
      </c>
      <c r="R54" s="53"/>
      <c r="S54" s="45"/>
    </row>
    <row r="55" spans="1:19" s="29" customFormat="1">
      <c r="A55" s="411">
        <v>6.3</v>
      </c>
      <c r="B55" s="826"/>
      <c r="C55" s="821"/>
      <c r="D55" s="847"/>
      <c r="E55" s="536"/>
      <c r="F55" s="536"/>
      <c r="G55" s="31">
        <f>IFERROR(F55/$F$56,0)</f>
        <v>0</v>
      </c>
      <c r="H55" s="405">
        <f>E55*G55</f>
        <v>0</v>
      </c>
      <c r="R55" s="53"/>
      <c r="S55" s="45"/>
    </row>
    <row r="56" spans="1:19" s="29" customFormat="1" ht="15.6">
      <c r="A56" s="412"/>
      <c r="B56" s="322"/>
      <c r="C56" s="323"/>
      <c r="D56" s="323"/>
      <c r="E56" s="324" t="s">
        <v>61</v>
      </c>
      <c r="F56" s="26">
        <f>SUM(F29,F32,F34,F35,F44,F45,F46,F47,F50,F51,F53,F54,F55)</f>
        <v>0</v>
      </c>
      <c r="G56" s="25">
        <f>SUM(G29,G32:G32,G34:G35,G44:G47,G50:G51,G53:G55)</f>
        <v>0</v>
      </c>
      <c r="H56" s="413">
        <f>IFERROR(SUM(H29:H55),0)</f>
        <v>0</v>
      </c>
      <c r="N56" s="62"/>
      <c r="R56" s="53"/>
      <c r="S56" s="45"/>
    </row>
    <row r="57" spans="1:19" s="29" customFormat="1" ht="15.6" thickBot="1">
      <c r="A57" s="491"/>
      <c r="B57" s="492"/>
      <c r="C57" s="493"/>
      <c r="D57" s="493"/>
      <c r="E57" s="493"/>
      <c r="F57" s="493"/>
      <c r="G57" s="480"/>
      <c r="H57" s="639"/>
      <c r="R57" s="53"/>
      <c r="S57" s="45"/>
    </row>
    <row r="58" spans="1:19" s="29" customFormat="1" ht="15.6">
      <c r="A58" s="954" t="s">
        <v>0</v>
      </c>
      <c r="B58" s="955"/>
      <c r="C58" s="646"/>
      <c r="D58" s="978" t="s">
        <v>4</v>
      </c>
      <c r="E58" s="952" t="s">
        <v>1</v>
      </c>
      <c r="F58" s="953"/>
      <c r="G58" s="948" t="s">
        <v>21</v>
      </c>
      <c r="H58" s="950" t="s">
        <v>63</v>
      </c>
      <c r="R58" s="53"/>
      <c r="S58" s="45"/>
    </row>
    <row r="59" spans="1:19" s="29" customFormat="1" ht="31.2">
      <c r="A59" s="956"/>
      <c r="B59" s="957"/>
      <c r="C59" s="63"/>
      <c r="D59" s="979"/>
      <c r="E59" s="43" t="s">
        <v>118</v>
      </c>
      <c r="F59" s="43" t="s">
        <v>119</v>
      </c>
      <c r="G59" s="949"/>
      <c r="H59" s="951"/>
      <c r="J59" s="64"/>
      <c r="R59" s="53"/>
      <c r="S59" s="45"/>
    </row>
    <row r="60" spans="1:19" s="29" customFormat="1" ht="15.6">
      <c r="A60" s="415" t="s">
        <v>219</v>
      </c>
      <c r="B60" s="46" t="s">
        <v>148</v>
      </c>
      <c r="C60" s="58"/>
      <c r="D60" s="65"/>
      <c r="E60" s="48"/>
      <c r="F60" s="48"/>
      <c r="G60" s="48"/>
      <c r="H60" s="416"/>
      <c r="J60" s="62"/>
      <c r="K60" s="62"/>
      <c r="L60" s="62"/>
      <c r="M60" s="62"/>
      <c r="R60" s="53"/>
      <c r="S60" s="45"/>
    </row>
    <row r="61" spans="1:19" s="29" customFormat="1" ht="15" customHeight="1">
      <c r="A61" s="417" t="s">
        <v>349</v>
      </c>
      <c r="B61" s="850" t="s">
        <v>595</v>
      </c>
      <c r="C61" s="851"/>
      <c r="D61" s="5" t="s">
        <v>51</v>
      </c>
      <c r="E61" s="9">
        <v>3</v>
      </c>
      <c r="F61" s="9">
        <v>4</v>
      </c>
      <c r="G61" s="66"/>
      <c r="H61" s="405">
        <f>IF(G61&gt;=80%,F61,IF(G61&lt;65%,0,E61))</f>
        <v>0</v>
      </c>
      <c r="R61" s="53"/>
      <c r="S61" s="45"/>
    </row>
    <row r="62" spans="1:19" s="29" customFormat="1">
      <c r="A62" s="417" t="s">
        <v>350</v>
      </c>
      <c r="B62" s="850" t="s">
        <v>596</v>
      </c>
      <c r="C62" s="851"/>
      <c r="D62" s="5" t="s">
        <v>51</v>
      </c>
      <c r="E62" s="9">
        <v>3</v>
      </c>
      <c r="F62" s="9">
        <v>4</v>
      </c>
      <c r="G62" s="66"/>
      <c r="H62" s="405">
        <f>IF(G62&gt;=80%,F62,IF(G62&lt;65%,0,E62))</f>
        <v>0</v>
      </c>
      <c r="R62" s="53"/>
      <c r="S62" s="45"/>
    </row>
    <row r="63" spans="1:19" s="29" customFormat="1">
      <c r="A63" s="418" t="s">
        <v>351</v>
      </c>
      <c r="B63" s="850" t="s">
        <v>588</v>
      </c>
      <c r="C63" s="851"/>
      <c r="D63" s="5" t="s">
        <v>51</v>
      </c>
      <c r="E63" s="9">
        <v>3</v>
      </c>
      <c r="F63" s="9">
        <v>4</v>
      </c>
      <c r="G63" s="66"/>
      <c r="H63" s="405">
        <f>IF(G63&gt;=80%,F63,IF(G63&lt;65%,0,E63))</f>
        <v>0</v>
      </c>
      <c r="R63" s="53"/>
      <c r="S63" s="45"/>
    </row>
    <row r="64" spans="1:19" s="29" customFormat="1" ht="51" customHeight="1">
      <c r="A64" s="417">
        <v>7.2</v>
      </c>
      <c r="B64" s="1019" t="s">
        <v>354</v>
      </c>
      <c r="C64" s="1019"/>
      <c r="D64" s="518" t="s">
        <v>51</v>
      </c>
      <c r="E64" s="540">
        <v>2</v>
      </c>
      <c r="F64" s="540">
        <v>2.5</v>
      </c>
      <c r="G64" s="516"/>
      <c r="H64" s="419">
        <f>IF(H35&gt;0,0,IF(G64&gt;=80%,F64,IF(G64&lt;65%,0,E64)))</f>
        <v>0</v>
      </c>
      <c r="J64" s="11"/>
      <c r="K64" s="11"/>
      <c r="L64" s="11"/>
      <c r="R64" s="53"/>
      <c r="S64" s="45"/>
    </row>
    <row r="65" spans="1:19" s="29" customFormat="1" ht="15" customHeight="1">
      <c r="A65" s="417">
        <v>7.3</v>
      </c>
      <c r="B65" s="885" t="s">
        <v>226</v>
      </c>
      <c r="C65" s="886"/>
      <c r="D65" s="375"/>
      <c r="E65" s="375"/>
      <c r="F65" s="375"/>
      <c r="G65" s="375"/>
      <c r="H65" s="420"/>
      <c r="J65" s="11"/>
      <c r="K65" s="11"/>
      <c r="L65" s="11"/>
      <c r="R65" s="53"/>
      <c r="S65" s="45"/>
    </row>
    <row r="66" spans="1:19" s="29" customFormat="1" ht="32.25" customHeight="1">
      <c r="A66" s="418" t="s">
        <v>220</v>
      </c>
      <c r="B66" s="883" t="s">
        <v>227</v>
      </c>
      <c r="C66" s="884"/>
      <c r="D66" s="856" t="s">
        <v>51</v>
      </c>
      <c r="E66" s="296">
        <v>1</v>
      </c>
      <c r="F66" s="296">
        <v>1.5</v>
      </c>
      <c r="G66" s="67"/>
      <c r="H66" s="298">
        <f>IF(H29+H35&gt;0,0.5,IF(G66&gt;=80%,F66,IF(G66&lt;65%,0,E66)))</f>
        <v>0</v>
      </c>
      <c r="K66" s="11"/>
      <c r="L66" s="11"/>
      <c r="R66" s="53"/>
      <c r="S66" s="45"/>
    </row>
    <row r="67" spans="1:19" s="29" customFormat="1" ht="47.25" customHeight="1">
      <c r="A67" s="418" t="s">
        <v>221</v>
      </c>
      <c r="B67" s="883" t="s">
        <v>228</v>
      </c>
      <c r="C67" s="884"/>
      <c r="D67" s="857"/>
      <c r="E67" s="296">
        <v>1</v>
      </c>
      <c r="F67" s="296">
        <v>1.5</v>
      </c>
      <c r="G67" s="67"/>
      <c r="H67" s="298">
        <f>IF(H29+H35&gt;0,0.5,IF(G67&gt;=80%,F67,IF(G67&lt;65%,0,E67)))</f>
        <v>0</v>
      </c>
      <c r="R67" s="53"/>
      <c r="S67" s="45"/>
    </row>
    <row r="68" spans="1:19" s="29" customFormat="1">
      <c r="A68" s="418" t="s">
        <v>235</v>
      </c>
      <c r="B68" s="883" t="s">
        <v>229</v>
      </c>
      <c r="C68" s="884"/>
      <c r="D68" s="857"/>
      <c r="E68" s="296">
        <v>1</v>
      </c>
      <c r="F68" s="296">
        <v>1.5</v>
      </c>
      <c r="G68" s="67"/>
      <c r="H68" s="298">
        <f>IF(H29+H35&gt;0,0.5,IF(G68&gt;=80%,F68,IF(G68&lt;65%,0,E68)))</f>
        <v>0</v>
      </c>
      <c r="R68" s="53"/>
      <c r="S68" s="45"/>
    </row>
    <row r="69" spans="1:19" s="29" customFormat="1" ht="46.5" customHeight="1">
      <c r="A69" s="418" t="s">
        <v>222</v>
      </c>
      <c r="B69" s="883" t="s">
        <v>230</v>
      </c>
      <c r="C69" s="884"/>
      <c r="D69" s="858"/>
      <c r="E69" s="296">
        <v>1</v>
      </c>
      <c r="F69" s="296">
        <v>1.5</v>
      </c>
      <c r="G69" s="67"/>
      <c r="H69" s="298">
        <f>IF(H29+H35&gt;0,0.5,IF(G69&gt;=80%,F69,IF(G69&lt;65%,0,E69)))</f>
        <v>0</v>
      </c>
      <c r="R69" s="53"/>
      <c r="S69" s="45"/>
    </row>
    <row r="70" spans="1:19" s="29" customFormat="1">
      <c r="A70" s="417">
        <v>7.4</v>
      </c>
      <c r="B70" s="930" t="s">
        <v>441</v>
      </c>
      <c r="C70" s="930"/>
      <c r="D70" s="350" t="s">
        <v>2</v>
      </c>
      <c r="E70" s="296">
        <v>1</v>
      </c>
      <c r="F70" s="296">
        <v>1.5</v>
      </c>
      <c r="G70" s="67"/>
      <c r="H70" s="298">
        <f>IF(G70&gt;=80%,F70,IF(G70&lt;65%,0,E70))</f>
        <v>0</v>
      </c>
      <c r="R70" s="53"/>
      <c r="S70" s="45"/>
    </row>
    <row r="71" spans="1:19" s="29" customFormat="1" ht="15" customHeight="1">
      <c r="A71" s="526">
        <v>7.5</v>
      </c>
      <c r="B71" s="932" t="s">
        <v>422</v>
      </c>
      <c r="C71" s="932"/>
      <c r="D71" s="561" t="s">
        <v>420</v>
      </c>
      <c r="E71" s="855">
        <v>2</v>
      </c>
      <c r="F71" s="855"/>
      <c r="G71" s="546"/>
      <c r="H71" s="519">
        <f>IF(G71&gt;=5%,E71,0)</f>
        <v>0</v>
      </c>
      <c r="R71" s="53"/>
      <c r="S71" s="45"/>
    </row>
    <row r="72" spans="1:19" s="29" customFormat="1" ht="15.6">
      <c r="A72" s="421" t="s">
        <v>223</v>
      </c>
      <c r="B72" s="68" t="s">
        <v>231</v>
      </c>
      <c r="C72" s="69"/>
      <c r="D72" s="70"/>
      <c r="E72" s="71"/>
      <c r="F72" s="71"/>
      <c r="G72" s="71"/>
      <c r="H72" s="422"/>
      <c r="R72" s="53"/>
      <c r="S72" s="45"/>
    </row>
    <row r="73" spans="1:19" s="29" customFormat="1">
      <c r="A73" s="417">
        <v>8.1</v>
      </c>
      <c r="B73" s="852" t="s">
        <v>232</v>
      </c>
      <c r="C73" s="852"/>
      <c r="D73" s="5" t="s">
        <v>51</v>
      </c>
      <c r="E73" s="20">
        <v>2</v>
      </c>
      <c r="F73" s="20">
        <v>2.5</v>
      </c>
      <c r="G73" s="72"/>
      <c r="H73" s="405">
        <f>IF(G73&gt;=80%,F73,IF(G73&lt;65%,0,E73))</f>
        <v>0</v>
      </c>
      <c r="J73" s="73"/>
      <c r="R73" s="53"/>
      <c r="S73" s="45"/>
    </row>
    <row r="74" spans="1:19" s="29" customFormat="1">
      <c r="A74" s="417">
        <v>8.1999999999999993</v>
      </c>
      <c r="B74" s="852" t="s">
        <v>233</v>
      </c>
      <c r="C74" s="852"/>
      <c r="D74" s="5" t="s">
        <v>51</v>
      </c>
      <c r="E74" s="20">
        <v>2</v>
      </c>
      <c r="F74" s="20">
        <v>2.5</v>
      </c>
      <c r="G74" s="72"/>
      <c r="H74" s="405">
        <f>IF(G74&gt;=80%,F74,IF(G74&lt;65%,0,E74))</f>
        <v>0</v>
      </c>
      <c r="J74" s="11"/>
      <c r="K74" s="11"/>
      <c r="L74" s="11"/>
      <c r="R74" s="53"/>
      <c r="S74" s="45"/>
    </row>
    <row r="75" spans="1:19" s="29" customFormat="1">
      <c r="A75" s="417">
        <v>8.3000000000000007</v>
      </c>
      <c r="B75" s="874" t="s">
        <v>147</v>
      </c>
      <c r="C75" s="875"/>
      <c r="D75" s="5" t="s">
        <v>2</v>
      </c>
      <c r="E75" s="20">
        <v>2</v>
      </c>
      <c r="F75" s="20">
        <v>2.5</v>
      </c>
      <c r="G75" s="66"/>
      <c r="H75" s="405">
        <f>IF(G75&gt;=80%,F75,IF(G75&lt;65%,0,E75))</f>
        <v>0</v>
      </c>
      <c r="R75" s="53"/>
      <c r="S75" s="45"/>
    </row>
    <row r="76" spans="1:19" s="29" customFormat="1" ht="15.6">
      <c r="A76" s="421" t="s">
        <v>224</v>
      </c>
      <c r="B76" s="68" t="s">
        <v>234</v>
      </c>
      <c r="C76" s="69"/>
      <c r="D76" s="70"/>
      <c r="E76" s="71"/>
      <c r="F76" s="71"/>
      <c r="G76" s="71"/>
      <c r="H76" s="422"/>
      <c r="R76" s="53"/>
      <c r="S76" s="45"/>
    </row>
    <row r="77" spans="1:19" s="29" customFormat="1" ht="31.5" customHeight="1">
      <c r="A77" s="417">
        <v>9.1</v>
      </c>
      <c r="B77" s="852" t="s">
        <v>371</v>
      </c>
      <c r="C77" s="852"/>
      <c r="D77" s="5" t="s">
        <v>51</v>
      </c>
      <c r="E77" s="20">
        <v>2</v>
      </c>
      <c r="F77" s="20">
        <v>2.5</v>
      </c>
      <c r="G77" s="72"/>
      <c r="H77" s="405">
        <f>IF(G77&gt;=80%,F77,IF(G77&lt;65%,0,E77))</f>
        <v>0</v>
      </c>
      <c r="R77" s="53"/>
      <c r="S77" s="45"/>
    </row>
    <row r="78" spans="1:19" s="29" customFormat="1" ht="15.6">
      <c r="A78" s="423" t="s">
        <v>225</v>
      </c>
      <c r="B78" s="74" t="s">
        <v>213</v>
      </c>
      <c r="C78" s="58"/>
      <c r="D78" s="58"/>
      <c r="E78" s="75"/>
      <c r="F78" s="75"/>
      <c r="G78" s="76"/>
      <c r="H78" s="424"/>
      <c r="R78" s="53"/>
      <c r="S78" s="45"/>
    </row>
    <row r="79" spans="1:19" s="29" customFormat="1">
      <c r="A79" s="417">
        <v>10.1</v>
      </c>
      <c r="B79" s="848"/>
      <c r="C79" s="848"/>
      <c r="D79" s="77"/>
      <c r="E79" s="536"/>
      <c r="F79" s="536"/>
      <c r="G79" s="547"/>
      <c r="H79" s="405">
        <f>IF(G79&gt;=80%,F79,IF(G79&lt;65%,0,E79))</f>
        <v>0</v>
      </c>
      <c r="R79" s="53"/>
      <c r="S79" s="45"/>
    </row>
    <row r="80" spans="1:19" s="29" customFormat="1">
      <c r="A80" s="417">
        <v>10.199999999999999</v>
      </c>
      <c r="B80" s="848"/>
      <c r="C80" s="848"/>
      <c r="D80" s="77"/>
      <c r="E80" s="536"/>
      <c r="F80" s="536"/>
      <c r="G80" s="547"/>
      <c r="H80" s="405">
        <f>IF(G80&gt;=80%,F80,IF(G80&lt;65%,0,E80))</f>
        <v>0</v>
      </c>
      <c r="R80" s="53"/>
      <c r="S80" s="45"/>
    </row>
    <row r="81" spans="1:19" s="29" customFormat="1">
      <c r="A81" s="417">
        <v>10.3</v>
      </c>
      <c r="B81" s="848"/>
      <c r="C81" s="848"/>
      <c r="D81" s="77"/>
      <c r="E81" s="536"/>
      <c r="F81" s="536"/>
      <c r="G81" s="547"/>
      <c r="H81" s="405">
        <f>IF(G81&gt;=80%,F81,IF(G81&lt;65%,0,E81))</f>
        <v>0</v>
      </c>
      <c r="R81" s="53"/>
      <c r="S81" s="45"/>
    </row>
    <row r="82" spans="1:19" s="29" customFormat="1" ht="15.6">
      <c r="A82" s="425"/>
      <c r="B82" s="325"/>
      <c r="C82" s="323"/>
      <c r="D82" s="323"/>
      <c r="E82" s="326"/>
      <c r="F82" s="327"/>
      <c r="G82" s="328" t="s">
        <v>418</v>
      </c>
      <c r="H82" s="426">
        <f>IFERROR((SUM(H61:H81)),0)</f>
        <v>0</v>
      </c>
      <c r="R82" s="53"/>
      <c r="S82" s="45"/>
    </row>
    <row r="83" spans="1:19" s="29" customFormat="1">
      <c r="A83" s="412"/>
      <c r="B83" s="325"/>
      <c r="C83" s="323"/>
      <c r="D83" s="323"/>
      <c r="E83" s="323"/>
      <c r="F83" s="323"/>
      <c r="G83" s="329"/>
      <c r="H83" s="388"/>
      <c r="R83" s="53"/>
      <c r="S83" s="45"/>
    </row>
    <row r="84" spans="1:19" s="29" customFormat="1" ht="15.6">
      <c r="A84" s="412"/>
      <c r="B84" s="325"/>
      <c r="C84" s="323"/>
      <c r="D84" s="323"/>
      <c r="E84" s="323"/>
      <c r="F84" s="323"/>
      <c r="G84" s="330" t="s">
        <v>129</v>
      </c>
      <c r="H84" s="427">
        <f>IFERROR(MIN(G24,H56+H82),0)</f>
        <v>0</v>
      </c>
      <c r="R84" s="53"/>
      <c r="S84" s="45"/>
    </row>
    <row r="85" spans="1:19" s="29" customFormat="1" ht="16.2" thickBot="1">
      <c r="A85" s="491"/>
      <c r="B85" s="492"/>
      <c r="C85" s="493"/>
      <c r="D85" s="493"/>
      <c r="E85" s="493"/>
      <c r="F85" s="493"/>
      <c r="G85" s="496"/>
      <c r="H85" s="495"/>
      <c r="R85" s="53"/>
      <c r="S85" s="45"/>
    </row>
    <row r="86" spans="1:19" s="29" customFormat="1" ht="15.6">
      <c r="A86" s="486" t="s">
        <v>52</v>
      </c>
      <c r="B86" s="487"/>
      <c r="C86" s="487"/>
      <c r="D86" s="487"/>
      <c r="E86" s="487"/>
      <c r="F86" s="488" t="s">
        <v>43</v>
      </c>
      <c r="G86" s="489">
        <f>VLOOKUP($A$7,'Manpower allocation'!A4:D11,3,FALSE)*100</f>
        <v>40</v>
      </c>
      <c r="H86" s="490" t="s">
        <v>42</v>
      </c>
      <c r="J86" s="79">
        <f>VLOOKUP($A$7,'Manpower allocation'!A4:D11,3,FALSE)*100</f>
        <v>40</v>
      </c>
      <c r="R86" s="53"/>
      <c r="S86" s="45"/>
    </row>
    <row r="87" spans="1:19" s="29" customFormat="1" ht="15.6">
      <c r="A87" s="412"/>
      <c r="B87" s="331"/>
      <c r="C87" s="326"/>
      <c r="D87" s="323"/>
      <c r="E87" s="323"/>
      <c r="F87" s="323"/>
      <c r="G87" s="332"/>
      <c r="H87" s="388"/>
      <c r="R87" s="53"/>
      <c r="S87" s="45"/>
    </row>
    <row r="88" spans="1:19" s="29" customFormat="1" ht="46.8">
      <c r="A88" s="549" t="s">
        <v>0</v>
      </c>
      <c r="B88" s="550"/>
      <c r="C88" s="168"/>
      <c r="D88" s="80"/>
      <c r="E88" s="81" t="s">
        <v>17</v>
      </c>
      <c r="F88" s="82" t="s">
        <v>81</v>
      </c>
      <c r="G88" s="82" t="s">
        <v>20</v>
      </c>
      <c r="H88" s="428" t="s">
        <v>53</v>
      </c>
      <c r="R88" s="53"/>
      <c r="S88" s="45"/>
    </row>
    <row r="89" spans="1:19" s="29" customFormat="1" ht="15.6">
      <c r="A89" s="429" t="s">
        <v>303</v>
      </c>
      <c r="B89" s="83" t="s">
        <v>332</v>
      </c>
      <c r="C89" s="84"/>
      <c r="D89" s="84"/>
      <c r="E89" s="85"/>
      <c r="F89" s="85"/>
      <c r="G89" s="85"/>
      <c r="H89" s="430"/>
      <c r="R89" s="53"/>
      <c r="S89" s="45"/>
    </row>
    <row r="90" spans="1:19" s="29" customFormat="1" ht="15.6">
      <c r="A90" s="431">
        <v>1</v>
      </c>
      <c r="B90" s="86" t="s">
        <v>338</v>
      </c>
      <c r="C90" s="87"/>
      <c r="D90" s="87"/>
      <c r="E90" s="88"/>
      <c r="F90" s="88"/>
      <c r="G90" s="88"/>
      <c r="H90" s="432"/>
      <c r="R90" s="53"/>
      <c r="S90" s="45"/>
    </row>
    <row r="91" spans="1:19" s="29" customFormat="1">
      <c r="A91" s="417">
        <v>1.1000000000000001</v>
      </c>
      <c r="B91" s="885" t="s">
        <v>290</v>
      </c>
      <c r="C91" s="846"/>
      <c r="D91" s="845"/>
      <c r="E91" s="89">
        <f>VLOOKUP(A91,'Point Allocation'!$A$20:$J$40,MATCH(A7,'Point Allocation'!$A$20:$J$20,0),0)</f>
        <v>30</v>
      </c>
      <c r="F91" s="90"/>
      <c r="G91" s="91">
        <f>IFERROR(F91/$F$115,0)</f>
        <v>0</v>
      </c>
      <c r="H91" s="433">
        <f>E91*G91</f>
        <v>0</v>
      </c>
      <c r="R91" s="45"/>
      <c r="S91" s="45"/>
    </row>
    <row r="92" spans="1:19" s="29" customFormat="1" ht="15.6">
      <c r="A92" s="434">
        <v>2</v>
      </c>
      <c r="B92" s="92" t="s">
        <v>339</v>
      </c>
      <c r="C92" s="93"/>
      <c r="D92" s="94"/>
      <c r="E92" s="94"/>
      <c r="F92" s="95"/>
      <c r="G92" s="96"/>
      <c r="H92" s="435"/>
      <c r="R92" s="53"/>
      <c r="S92" s="45"/>
    </row>
    <row r="93" spans="1:19" s="29" customFormat="1">
      <c r="A93" s="849">
        <v>2.1</v>
      </c>
      <c r="B93" s="844" t="s">
        <v>207</v>
      </c>
      <c r="C93" s="846"/>
      <c r="D93" s="845"/>
      <c r="E93" s="853">
        <f>VLOOKUP(A93,'Point Allocation'!$A$20:$J$40,MATCH(A7,'Point Allocation'!$A$20:$J$20,0),0)</f>
        <v>28</v>
      </c>
      <c r="F93" s="854"/>
      <c r="G93" s="914">
        <f>IFERROR(F93/$F$115,0)</f>
        <v>0</v>
      </c>
      <c r="H93" s="921">
        <f>E93*G93</f>
        <v>0</v>
      </c>
      <c r="R93" s="53"/>
      <c r="S93" s="45"/>
    </row>
    <row r="94" spans="1:19" s="29" customFormat="1" ht="15.6">
      <c r="A94" s="841"/>
      <c r="B94" s="836" t="s">
        <v>120</v>
      </c>
      <c r="C94" s="837"/>
      <c r="D94" s="838"/>
      <c r="E94" s="853"/>
      <c r="F94" s="854"/>
      <c r="G94" s="914"/>
      <c r="H94" s="921"/>
      <c r="R94" s="53"/>
      <c r="S94" s="45"/>
    </row>
    <row r="95" spans="1:19" s="29" customFormat="1">
      <c r="A95" s="849">
        <v>2.2000000000000002</v>
      </c>
      <c r="B95" s="885" t="s">
        <v>178</v>
      </c>
      <c r="C95" s="886"/>
      <c r="D95" s="884"/>
      <c r="E95" s="853">
        <f>VLOOKUP(A95,'Point Allocation'!$A$20:$J$40,MATCH(A7,'Point Allocation'!$A$20:$J$20,0),0)</f>
        <v>28</v>
      </c>
      <c r="F95" s="854"/>
      <c r="G95" s="914">
        <f>IFERROR(F95/$F$115,0)</f>
        <v>0</v>
      </c>
      <c r="H95" s="921">
        <f>E95*G95</f>
        <v>0</v>
      </c>
      <c r="R95" s="53"/>
      <c r="S95" s="45"/>
    </row>
    <row r="96" spans="1:19" s="29" customFormat="1" ht="15.6">
      <c r="A96" s="882"/>
      <c r="B96" s="836" t="s">
        <v>120</v>
      </c>
      <c r="C96" s="837"/>
      <c r="D96" s="838"/>
      <c r="E96" s="853"/>
      <c r="F96" s="854"/>
      <c r="G96" s="914"/>
      <c r="H96" s="921"/>
      <c r="R96" s="53"/>
      <c r="S96" s="45"/>
    </row>
    <row r="97" spans="1:19" s="29" customFormat="1" ht="15.6">
      <c r="A97" s="431">
        <v>3</v>
      </c>
      <c r="B97" s="86" t="s">
        <v>340</v>
      </c>
      <c r="C97" s="93"/>
      <c r="D97" s="93"/>
      <c r="E97" s="95"/>
      <c r="F97" s="95"/>
      <c r="G97" s="96"/>
      <c r="H97" s="436"/>
      <c r="R97" s="53"/>
      <c r="S97" s="45"/>
    </row>
    <row r="98" spans="1:19" s="29" customFormat="1">
      <c r="A98" s="849">
        <v>3.1</v>
      </c>
      <c r="B98" s="844" t="s">
        <v>208</v>
      </c>
      <c r="C98" s="846"/>
      <c r="D98" s="845"/>
      <c r="E98" s="853">
        <f>VLOOKUP(A98,'Point Allocation'!$A$20:$J$40,MATCH(A7,'Point Allocation'!$A$20:$J$20,0),0)</f>
        <v>27</v>
      </c>
      <c r="F98" s="854"/>
      <c r="G98" s="914">
        <f>IFERROR(F98/$F$115,0)</f>
        <v>0</v>
      </c>
      <c r="H98" s="921">
        <f>E98*G98</f>
        <v>0</v>
      </c>
      <c r="R98" s="53"/>
      <c r="S98" s="45"/>
    </row>
    <row r="99" spans="1:19" s="29" customFormat="1" ht="15.6">
      <c r="A99" s="841"/>
      <c r="B99" s="836" t="s">
        <v>286</v>
      </c>
      <c r="C99" s="837"/>
      <c r="D99" s="838"/>
      <c r="E99" s="853"/>
      <c r="F99" s="854"/>
      <c r="G99" s="914"/>
      <c r="H99" s="921"/>
      <c r="R99" s="53"/>
      <c r="S99" s="45"/>
    </row>
    <row r="100" spans="1:19" s="29" customFormat="1" ht="15.6">
      <c r="A100" s="431">
        <v>4</v>
      </c>
      <c r="B100" s="86" t="s">
        <v>341</v>
      </c>
      <c r="C100" s="93"/>
      <c r="D100" s="93"/>
      <c r="E100" s="95"/>
      <c r="F100" s="95"/>
      <c r="G100" s="96"/>
      <c r="H100" s="436"/>
      <c r="R100" s="53"/>
      <c r="S100" s="45"/>
    </row>
    <row r="101" spans="1:19" s="29" customFormat="1" ht="30" customHeight="1">
      <c r="A101" s="418" t="s">
        <v>205</v>
      </c>
      <c r="B101" s="871" t="s">
        <v>292</v>
      </c>
      <c r="C101" s="872"/>
      <c r="D101" s="873"/>
      <c r="E101" s="97">
        <f>VLOOKUP(A101,'Point Allocation'!$A$20:$J$40,MATCH(A7,'Point Allocation'!$A$20:$J$20,0),0)</f>
        <v>25</v>
      </c>
      <c r="F101" s="537"/>
      <c r="G101" s="538">
        <f>IFERROR(F101/$F$115,0)</f>
        <v>0</v>
      </c>
      <c r="H101" s="437">
        <f>E101*G101</f>
        <v>0</v>
      </c>
      <c r="R101" s="912"/>
      <c r="S101" s="45"/>
    </row>
    <row r="102" spans="1:19" s="29" customFormat="1">
      <c r="A102" s="418" t="s">
        <v>206</v>
      </c>
      <c r="B102" s="871" t="s">
        <v>293</v>
      </c>
      <c r="C102" s="872"/>
      <c r="D102" s="873"/>
      <c r="E102" s="97">
        <f>VLOOKUP(A102,'Point Allocation'!$A$20:$J$40,MATCH(A7,'Point Allocation'!$A$20:$J$20,0),0)</f>
        <v>25</v>
      </c>
      <c r="F102" s="537"/>
      <c r="G102" s="538">
        <f>IFERROR(F102/$F$115,0)</f>
        <v>0</v>
      </c>
      <c r="H102" s="437">
        <f>E102*G102</f>
        <v>0</v>
      </c>
      <c r="R102" s="912"/>
      <c r="S102" s="45"/>
    </row>
    <row r="103" spans="1:19" s="29" customFormat="1">
      <c r="A103" s="417">
        <v>4.2</v>
      </c>
      <c r="B103" s="874" t="s">
        <v>209</v>
      </c>
      <c r="C103" s="931"/>
      <c r="D103" s="875"/>
      <c r="E103" s="97">
        <f>VLOOKUP(A103,'Point Allocation'!$A$20:$J$40,MATCH(A7,'Point Allocation'!$A$20:$J$20,0),0)</f>
        <v>25</v>
      </c>
      <c r="F103" s="537"/>
      <c r="G103" s="538">
        <f>IFERROR(F103/$F$115,0)</f>
        <v>0</v>
      </c>
      <c r="H103" s="437">
        <f>E103*G103</f>
        <v>0</v>
      </c>
      <c r="R103" s="53"/>
      <c r="S103" s="45"/>
    </row>
    <row r="104" spans="1:19" s="29" customFormat="1">
      <c r="A104" s="417">
        <v>4.3</v>
      </c>
      <c r="B104" s="922" t="s">
        <v>159</v>
      </c>
      <c r="C104" s="923"/>
      <c r="D104" s="924"/>
      <c r="E104" s="97">
        <f>VLOOKUP(A104,'Point Allocation'!$A$20:$J$40,MATCH(A7,'Point Allocation'!$A$20:$J$20,0),0)</f>
        <v>25</v>
      </c>
      <c r="F104" s="537"/>
      <c r="G104" s="538">
        <f>IFERROR(F104/$F$115,0)</f>
        <v>0</v>
      </c>
      <c r="H104" s="438">
        <f>E104*G104</f>
        <v>0</v>
      </c>
      <c r="R104" s="53"/>
      <c r="S104" s="45"/>
    </row>
    <row r="105" spans="1:19" s="29" customFormat="1">
      <c r="A105" s="417">
        <v>4.4000000000000004</v>
      </c>
      <c r="B105" s="922" t="s">
        <v>355</v>
      </c>
      <c r="C105" s="923"/>
      <c r="D105" s="924"/>
      <c r="E105" s="97">
        <f>VLOOKUP(A105,'Point Allocation'!$A$20:$J$40,MATCH(A7,'Point Allocation'!$A$20:$J$20,0),0)</f>
        <v>22</v>
      </c>
      <c r="F105" s="537"/>
      <c r="G105" s="538">
        <f>IFERROR(F105/$F$115,0)</f>
        <v>0</v>
      </c>
      <c r="H105" s="438">
        <f>E105*G105</f>
        <v>0</v>
      </c>
      <c r="R105" s="53"/>
      <c r="S105" s="45"/>
    </row>
    <row r="106" spans="1:19" s="29" customFormat="1" ht="15.6">
      <c r="A106" s="439" t="s">
        <v>304</v>
      </c>
      <c r="B106" s="99" t="s">
        <v>236</v>
      </c>
      <c r="C106" s="100"/>
      <c r="D106" s="101"/>
      <c r="E106" s="102"/>
      <c r="F106" s="103"/>
      <c r="G106" s="104"/>
      <c r="H106" s="440"/>
      <c r="R106" s="53"/>
      <c r="S106" s="45"/>
    </row>
    <row r="107" spans="1:19" s="29" customFormat="1" ht="15.6">
      <c r="A107" s="431">
        <v>5</v>
      </c>
      <c r="B107" s="86" t="s">
        <v>237</v>
      </c>
      <c r="C107" s="93"/>
      <c r="D107" s="93"/>
      <c r="E107" s="95"/>
      <c r="F107" s="95"/>
      <c r="G107" s="96"/>
      <c r="H107" s="436"/>
      <c r="R107" s="53"/>
      <c r="S107" s="45"/>
    </row>
    <row r="108" spans="1:19" s="29" customFormat="1">
      <c r="A108" s="417">
        <v>5.0999999999999996</v>
      </c>
      <c r="B108" s="844" t="s">
        <v>210</v>
      </c>
      <c r="C108" s="846"/>
      <c r="D108" s="845"/>
      <c r="E108" s="105">
        <f>VLOOKUP(A108,'Point Allocation'!$A$20:$J$40,MATCH(A7,'Point Allocation'!$A$20:$J$20,0),0)</f>
        <v>16</v>
      </c>
      <c r="F108" s="156"/>
      <c r="G108" s="538">
        <f>IFERROR(F108/$F$115,0)</f>
        <v>0</v>
      </c>
      <c r="H108" s="441">
        <f>E108*G108</f>
        <v>0</v>
      </c>
      <c r="R108" s="53"/>
      <c r="S108" s="45"/>
    </row>
    <row r="109" spans="1:19" s="29" customFormat="1">
      <c r="A109" s="417">
        <v>5.2</v>
      </c>
      <c r="B109" s="844" t="s">
        <v>356</v>
      </c>
      <c r="C109" s="846"/>
      <c r="D109" s="845"/>
      <c r="E109" s="105">
        <f>VLOOKUP(A109,'Point Allocation'!$A$20:$J$40,MATCH(A7,'Point Allocation'!$A$20:$J$20,0),0)</f>
        <v>5</v>
      </c>
      <c r="F109" s="90"/>
      <c r="G109" s="538">
        <f>IFERROR(F109/$F$115,0)</f>
        <v>0</v>
      </c>
      <c r="H109" s="441">
        <f>E109*G109</f>
        <v>0</v>
      </c>
      <c r="R109" s="53"/>
      <c r="S109" s="45"/>
    </row>
    <row r="110" spans="1:19" s="29" customFormat="1">
      <c r="A110" s="417">
        <v>5.3</v>
      </c>
      <c r="B110" s="844" t="s">
        <v>357</v>
      </c>
      <c r="C110" s="846"/>
      <c r="D110" s="845"/>
      <c r="E110" s="105">
        <f>VLOOKUP(A110,'Point Allocation'!$A$20:$J$40,MATCH(A7,'Point Allocation'!$A$20:$J$20,0),0)</f>
        <v>0</v>
      </c>
      <c r="F110" s="155"/>
      <c r="G110" s="538">
        <f>IFERROR(F110/$F$115,0)</f>
        <v>0</v>
      </c>
      <c r="H110" s="442">
        <f>E110*G110</f>
        <v>0</v>
      </c>
      <c r="R110" s="53"/>
      <c r="S110" s="45"/>
    </row>
    <row r="111" spans="1:19" s="29" customFormat="1" ht="15.6">
      <c r="A111" s="443">
        <v>6</v>
      </c>
      <c r="B111" s="106" t="s">
        <v>213</v>
      </c>
      <c r="C111" s="93"/>
      <c r="D111" s="93"/>
      <c r="E111" s="95"/>
      <c r="F111" s="95"/>
      <c r="G111" s="96"/>
      <c r="H111" s="436"/>
      <c r="R111" s="53"/>
      <c r="S111" s="45"/>
    </row>
    <row r="112" spans="1:19" s="29" customFormat="1">
      <c r="A112" s="444">
        <v>6.1</v>
      </c>
      <c r="B112" s="826"/>
      <c r="C112" s="821"/>
      <c r="D112" s="847"/>
      <c r="E112" s="537"/>
      <c r="F112" s="537"/>
      <c r="G112" s="538">
        <f>IFERROR(F112/$F$115,0)</f>
        <v>0</v>
      </c>
      <c r="H112" s="442">
        <f>E112*G112</f>
        <v>0</v>
      </c>
      <c r="R112" s="53"/>
      <c r="S112" s="45"/>
    </row>
    <row r="113" spans="1:19" s="29" customFormat="1">
      <c r="A113" s="444">
        <v>6.2</v>
      </c>
      <c r="B113" s="826"/>
      <c r="C113" s="821"/>
      <c r="D113" s="847"/>
      <c r="E113" s="537"/>
      <c r="F113" s="537"/>
      <c r="G113" s="538">
        <f>IFERROR(F113/$F$115,0)</f>
        <v>0</v>
      </c>
      <c r="H113" s="442">
        <f>E113*G113</f>
        <v>0</v>
      </c>
      <c r="R113" s="53"/>
      <c r="S113" s="45"/>
    </row>
    <row r="114" spans="1:19" s="29" customFormat="1">
      <c r="A114" s="444">
        <v>6.3</v>
      </c>
      <c r="B114" s="848"/>
      <c r="C114" s="848"/>
      <c r="D114" s="848"/>
      <c r="E114" s="537"/>
      <c r="F114" s="537"/>
      <c r="G114" s="538">
        <f>IFERROR(F114/$F$115,0)</f>
        <v>0</v>
      </c>
      <c r="H114" s="442">
        <f>E114*G114</f>
        <v>0</v>
      </c>
      <c r="R114" s="53"/>
      <c r="S114" s="45"/>
    </row>
    <row r="115" spans="1:19" s="29" customFormat="1" ht="15.6">
      <c r="A115" s="425"/>
      <c r="B115" s="325"/>
      <c r="C115" s="323"/>
      <c r="D115" s="323"/>
      <c r="E115" s="330" t="s">
        <v>62</v>
      </c>
      <c r="F115" s="333">
        <f>SUM(F91:F114)+E19</f>
        <v>0</v>
      </c>
      <c r="G115" s="334">
        <f>SUM(G91:G114)+F19</f>
        <v>0</v>
      </c>
      <c r="H115" s="445">
        <f>IFERROR(SUM(H91:H114),0)</f>
        <v>0</v>
      </c>
      <c r="R115" s="53"/>
      <c r="S115" s="45"/>
    </row>
    <row r="116" spans="1:19" s="29" customFormat="1" ht="15.6" thickBot="1">
      <c r="A116" s="491"/>
      <c r="B116" s="492"/>
      <c r="C116" s="493"/>
      <c r="D116" s="493"/>
      <c r="E116" s="493"/>
      <c r="F116" s="493"/>
      <c r="G116" s="480"/>
      <c r="H116" s="639"/>
      <c r="R116" s="53"/>
      <c r="S116" s="45"/>
    </row>
    <row r="117" spans="1:19" s="29" customFormat="1" ht="31.2">
      <c r="A117" s="640" t="s">
        <v>0</v>
      </c>
      <c r="B117" s="641"/>
      <c r="C117" s="641"/>
      <c r="D117" s="642" t="s">
        <v>17</v>
      </c>
      <c r="E117" s="643" t="s">
        <v>81</v>
      </c>
      <c r="F117" s="644" t="s">
        <v>335</v>
      </c>
      <c r="G117" s="644" t="s">
        <v>336</v>
      </c>
      <c r="H117" s="645" t="s">
        <v>53</v>
      </c>
      <c r="R117" s="53"/>
      <c r="S117" s="45"/>
    </row>
    <row r="118" spans="1:19" s="29" customFormat="1" ht="15.6">
      <c r="A118" s="429" t="s">
        <v>238</v>
      </c>
      <c r="B118" s="83" t="s">
        <v>333</v>
      </c>
      <c r="C118" s="84"/>
      <c r="D118" s="85"/>
      <c r="E118" s="85"/>
      <c r="F118" s="85"/>
      <c r="G118" s="85"/>
      <c r="H118" s="430"/>
      <c r="R118" s="53"/>
      <c r="S118" s="45"/>
    </row>
    <row r="119" spans="1:19" s="29" customFormat="1" ht="15.6">
      <c r="A119" s="431">
        <v>7</v>
      </c>
      <c r="B119" s="86" t="s">
        <v>338</v>
      </c>
      <c r="C119" s="87"/>
      <c r="D119" s="88"/>
      <c r="E119" s="88"/>
      <c r="F119" s="88"/>
      <c r="G119" s="88"/>
      <c r="H119" s="432"/>
      <c r="R119" s="53"/>
      <c r="S119" s="45"/>
    </row>
    <row r="120" spans="1:19" s="29" customFormat="1" ht="15" customHeight="1">
      <c r="A120" s="404">
        <v>7.1</v>
      </c>
      <c r="B120" s="885" t="s">
        <v>290</v>
      </c>
      <c r="C120" s="884"/>
      <c r="D120" s="98">
        <f>VLOOKUP(A120,'Point Allocation'!$A$20:$J$41,MATCH(A7,'Point Allocation'!$A$20:$J$20,0),0)</f>
        <v>10</v>
      </c>
      <c r="E120" s="89">
        <f>F91</f>
        <v>0</v>
      </c>
      <c r="F120" s="89">
        <f>F29</f>
        <v>0</v>
      </c>
      <c r="G120" s="91">
        <f>IFERROR(SUM(E120:F120)/SUM($E$138:$F$138),0)</f>
        <v>0</v>
      </c>
      <c r="H120" s="433">
        <f>D120*G120</f>
        <v>0</v>
      </c>
      <c r="R120" s="53"/>
      <c r="S120" s="45"/>
    </row>
    <row r="121" spans="1:19" s="29" customFormat="1" ht="15.6">
      <c r="A121" s="434">
        <v>8</v>
      </c>
      <c r="B121" s="92" t="s">
        <v>339</v>
      </c>
      <c r="C121" s="93"/>
      <c r="D121" s="94"/>
      <c r="E121" s="95"/>
      <c r="F121" s="95"/>
      <c r="G121" s="96"/>
      <c r="H121" s="435"/>
      <c r="R121" s="53"/>
      <c r="S121" s="45"/>
    </row>
    <row r="122" spans="1:19" s="29" customFormat="1">
      <c r="A122" s="849">
        <v>8.1</v>
      </c>
      <c r="B122" s="844" t="s">
        <v>337</v>
      </c>
      <c r="C122" s="845"/>
      <c r="D122" s="925">
        <f>VLOOKUP(A122,'Point Allocation'!$A$20:$J$41,MATCH(A7,'Point Allocation'!$A$20:$J$20,0),0)</f>
        <v>8</v>
      </c>
      <c r="E122" s="927">
        <f>F93</f>
        <v>0</v>
      </c>
      <c r="F122" s="859"/>
      <c r="G122" s="860">
        <f>IFERROR(SUM(E122:F123)/SUM($E$138:$F$138),0)</f>
        <v>0</v>
      </c>
      <c r="H122" s="921">
        <f>D122*G122</f>
        <v>0</v>
      </c>
      <c r="R122" s="53"/>
      <c r="S122" s="45"/>
    </row>
    <row r="123" spans="1:19" s="29" customFormat="1" ht="15.6">
      <c r="A123" s="882"/>
      <c r="B123" s="836" t="s">
        <v>120</v>
      </c>
      <c r="C123" s="838"/>
      <c r="D123" s="926"/>
      <c r="E123" s="927"/>
      <c r="F123" s="859"/>
      <c r="G123" s="861"/>
      <c r="H123" s="921"/>
      <c r="R123" s="53"/>
      <c r="S123" s="45"/>
    </row>
    <row r="124" spans="1:19" s="29" customFormat="1">
      <c r="A124" s="404">
        <v>8.1999999999999993</v>
      </c>
      <c r="B124" s="885" t="s">
        <v>178</v>
      </c>
      <c r="C124" s="884"/>
      <c r="D124" s="98">
        <f>VLOOKUP(A124,'Point Allocation'!$A$20:$J$41,MATCH(A7,'Point Allocation'!$A$20:$J$20,0),0)</f>
        <v>8</v>
      </c>
      <c r="E124" s="189">
        <f>F95</f>
        <v>0</v>
      </c>
      <c r="F124" s="548"/>
      <c r="G124" s="91">
        <f>IFERROR(SUM(E124:F124)/SUM($E$138:$F$138),0)</f>
        <v>0</v>
      </c>
      <c r="H124" s="437">
        <f>D124*G124</f>
        <v>0</v>
      </c>
      <c r="R124" s="53"/>
      <c r="S124" s="45"/>
    </row>
    <row r="125" spans="1:19" s="29" customFormat="1" ht="15.6">
      <c r="A125" s="431">
        <v>9</v>
      </c>
      <c r="B125" s="86" t="s">
        <v>340</v>
      </c>
      <c r="C125" s="93"/>
      <c r="D125" s="95"/>
      <c r="E125" s="95"/>
      <c r="F125" s="95"/>
      <c r="G125" s="96"/>
      <c r="H125" s="436"/>
      <c r="R125" s="53"/>
      <c r="S125" s="45"/>
    </row>
    <row r="126" spans="1:19" s="29" customFormat="1">
      <c r="A126" s="849">
        <v>9.1</v>
      </c>
      <c r="B126" s="844" t="s">
        <v>381</v>
      </c>
      <c r="C126" s="845"/>
      <c r="D126" s="925">
        <f>VLOOKUP(A126,'Point Allocation'!$A$20:$J$41,MATCH(A7,'Point Allocation'!$A$20:$J$20,0),0)</f>
        <v>6</v>
      </c>
      <c r="E126" s="859"/>
      <c r="F126" s="859"/>
      <c r="G126" s="914">
        <f>IFERROR(SUM(E126:F127)/SUM($E$138:$F$138),0)</f>
        <v>0</v>
      </c>
      <c r="H126" s="921">
        <f>D126*G126</f>
        <v>0</v>
      </c>
      <c r="R126" s="53"/>
      <c r="S126" s="45"/>
    </row>
    <row r="127" spans="1:19" s="29" customFormat="1" ht="15.6">
      <c r="A127" s="882"/>
      <c r="B127" s="836" t="s">
        <v>5</v>
      </c>
      <c r="C127" s="838"/>
      <c r="D127" s="926"/>
      <c r="E127" s="859"/>
      <c r="F127" s="859"/>
      <c r="G127" s="914"/>
      <c r="H127" s="921"/>
      <c r="R127" s="53"/>
      <c r="S127" s="45"/>
    </row>
    <row r="128" spans="1:19" s="29" customFormat="1" ht="15.6">
      <c r="A128" s="431">
        <v>10</v>
      </c>
      <c r="B128" s="86" t="s">
        <v>342</v>
      </c>
      <c r="C128" s="93"/>
      <c r="D128" s="95"/>
      <c r="E128" s="95"/>
      <c r="F128" s="95"/>
      <c r="G128" s="96"/>
      <c r="H128" s="436"/>
      <c r="R128" s="53"/>
      <c r="S128" s="45"/>
    </row>
    <row r="129" spans="1:19" s="29" customFormat="1" ht="15" customHeight="1">
      <c r="A129" s="409">
        <v>10.1</v>
      </c>
      <c r="B129" s="844" t="s">
        <v>382</v>
      </c>
      <c r="C129" s="845"/>
      <c r="D129" s="98">
        <f>VLOOKUP(A129,'Point Allocation'!$A$20:$J$41,MATCH(A7,'Point Allocation'!$A$20:$J$20,0),0)</f>
        <v>4</v>
      </c>
      <c r="E129" s="548"/>
      <c r="F129" s="548"/>
      <c r="G129" s="91">
        <f>IFERROR(SUM(E129:F129)/SUM($E$138:$F$138),0)</f>
        <v>0</v>
      </c>
      <c r="H129" s="437">
        <f>D129*G129</f>
        <v>0</v>
      </c>
      <c r="R129" s="53"/>
      <c r="S129" s="45"/>
    </row>
    <row r="130" spans="1:19" s="29" customFormat="1" ht="32.25" customHeight="1">
      <c r="A130" s="406">
        <v>10.199999999999999</v>
      </c>
      <c r="B130" s="928" t="s">
        <v>353</v>
      </c>
      <c r="C130" s="929"/>
      <c r="D130" s="98">
        <f>VLOOKUP(A130,'Point Allocation'!$A$20:$J$41,MATCH(A7,'Point Allocation'!$A$20:$J$20,0),0)</f>
        <v>4</v>
      </c>
      <c r="E130" s="188"/>
      <c r="F130" s="548"/>
      <c r="G130" s="538">
        <f>IFERROR(SUM(E130:F130)/SUM($E$138:$F$138),0)</f>
        <v>0</v>
      </c>
      <c r="H130" s="437">
        <f>D130*G130</f>
        <v>0</v>
      </c>
      <c r="R130" s="53"/>
      <c r="S130" s="45"/>
    </row>
    <row r="131" spans="1:19" s="29" customFormat="1" ht="15.6">
      <c r="A131" s="439" t="s">
        <v>239</v>
      </c>
      <c r="B131" s="99" t="s">
        <v>262</v>
      </c>
      <c r="C131" s="100"/>
      <c r="D131" s="102"/>
      <c r="E131" s="103"/>
      <c r="F131" s="103"/>
      <c r="G131" s="104"/>
      <c r="H131" s="440"/>
      <c r="R131" s="53"/>
      <c r="S131" s="45"/>
    </row>
    <row r="132" spans="1:19" s="29" customFormat="1" ht="15.6">
      <c r="A132" s="431">
        <v>11</v>
      </c>
      <c r="B132" s="86" t="s">
        <v>263</v>
      </c>
      <c r="C132" s="93"/>
      <c r="D132" s="95"/>
      <c r="E132" s="95"/>
      <c r="F132" s="95"/>
      <c r="G132" s="96"/>
      <c r="H132" s="436"/>
      <c r="R132" s="53"/>
      <c r="S132" s="45"/>
    </row>
    <row r="133" spans="1:19" s="29" customFormat="1">
      <c r="A133" s="409">
        <v>11.1</v>
      </c>
      <c r="B133" s="844" t="s">
        <v>593</v>
      </c>
      <c r="C133" s="845"/>
      <c r="D133" s="98">
        <f>VLOOKUP(A133,'Point Allocation'!$A$20:$J$41,MATCH(A7,'Point Allocation'!$A$20:$J$20,0),0)</f>
        <v>2</v>
      </c>
      <c r="E133" s="548"/>
      <c r="F133" s="548"/>
      <c r="G133" s="538">
        <f>IFERROR(SUM(E133:F133)/SUM($E$138:$F$138),0)</f>
        <v>0</v>
      </c>
      <c r="H133" s="437">
        <f t="shared" ref="H133:H137" si="2">D133*G133</f>
        <v>0</v>
      </c>
      <c r="R133" s="53"/>
      <c r="S133" s="45"/>
    </row>
    <row r="134" spans="1:19" s="29" customFormat="1">
      <c r="A134" s="446">
        <v>11.2</v>
      </c>
      <c r="B134" s="874" t="s">
        <v>344</v>
      </c>
      <c r="C134" s="875"/>
      <c r="D134" s="189">
        <f>VLOOKUP(A133,'Point Allocation'!$A$20:$J$41,MATCH(A7,'Point Allocation'!$A$20:$J$20,0),0)</f>
        <v>2</v>
      </c>
      <c r="E134" s="548"/>
      <c r="F134" s="548"/>
      <c r="G134" s="538">
        <f>IFERROR(SUM(E134:F134)/SUM($E$138:$F$138),0)</f>
        <v>0</v>
      </c>
      <c r="H134" s="437">
        <f t="shared" si="2"/>
        <v>0</v>
      </c>
      <c r="R134" s="53"/>
      <c r="S134" s="45"/>
    </row>
    <row r="135" spans="1:19" s="29" customFormat="1">
      <c r="A135" s="409">
        <v>11.3</v>
      </c>
      <c r="B135" s="874" t="s">
        <v>352</v>
      </c>
      <c r="C135" s="875"/>
      <c r="D135" s="98">
        <f>VLOOKUP(A135,'Point Allocation'!$A$20:$J$41,MATCH(A7,'Point Allocation'!$A$20:$J$20,0),0)</f>
        <v>0</v>
      </c>
      <c r="E135" s="548"/>
      <c r="F135" s="548"/>
      <c r="G135" s="538">
        <f>IFERROR(SUM(E135:F135)/SUM($E$138:$F$138),0)</f>
        <v>0</v>
      </c>
      <c r="H135" s="437">
        <f t="shared" si="2"/>
        <v>0</v>
      </c>
      <c r="R135" s="53"/>
      <c r="S135" s="45"/>
    </row>
    <row r="136" spans="1:19" s="29" customFormat="1">
      <c r="A136" s="447">
        <v>11.4</v>
      </c>
      <c r="B136" s="866"/>
      <c r="C136" s="867"/>
      <c r="D136" s="537"/>
      <c r="E136" s="548"/>
      <c r="F136" s="548"/>
      <c r="G136" s="538">
        <f>IFERROR(SUM(E136:F136)/SUM($E$138:$F$138),0)</f>
        <v>0</v>
      </c>
      <c r="H136" s="437">
        <f t="shared" si="2"/>
        <v>0</v>
      </c>
      <c r="R136" s="53"/>
      <c r="S136" s="45"/>
    </row>
    <row r="137" spans="1:19" s="29" customFormat="1">
      <c r="A137" s="447">
        <v>11.5</v>
      </c>
      <c r="B137" s="866"/>
      <c r="C137" s="867"/>
      <c r="D137" s="537"/>
      <c r="E137" s="548"/>
      <c r="F137" s="548"/>
      <c r="G137" s="538">
        <f>IFERROR(SUM(E137:F137)/SUM($E$138:$F$138),0)</f>
        <v>0</v>
      </c>
      <c r="H137" s="437">
        <f t="shared" si="2"/>
        <v>0</v>
      </c>
      <c r="R137" s="53"/>
      <c r="S137" s="45"/>
    </row>
    <row r="138" spans="1:19" s="29" customFormat="1" ht="15.6">
      <c r="A138" s="412"/>
      <c r="B138" s="325"/>
      <c r="C138" s="323"/>
      <c r="D138" s="330" t="s">
        <v>140</v>
      </c>
      <c r="E138" s="333">
        <f>SUM(E120:E137)</f>
        <v>0</v>
      </c>
      <c r="F138" s="335">
        <f>SUM(F120:F137)</f>
        <v>0</v>
      </c>
      <c r="G138" s="336">
        <f>SUM(G120:G137)</f>
        <v>0</v>
      </c>
      <c r="H138" s="448">
        <f>IFERROR(SUM(H120:H137),0)</f>
        <v>0</v>
      </c>
      <c r="R138" s="53"/>
      <c r="S138" s="45"/>
    </row>
    <row r="139" spans="1:19" s="29" customFormat="1">
      <c r="A139" s="414"/>
      <c r="B139" s="325"/>
      <c r="C139" s="323"/>
      <c r="D139" s="323"/>
      <c r="E139" s="323"/>
      <c r="F139" s="323"/>
      <c r="G139" s="332"/>
      <c r="H139" s="388"/>
      <c r="R139" s="53"/>
      <c r="S139" s="45"/>
    </row>
    <row r="140" spans="1:19" s="29" customFormat="1" ht="46.8">
      <c r="A140" s="868" t="s">
        <v>0</v>
      </c>
      <c r="B140" s="869"/>
      <c r="C140" s="176"/>
      <c r="D140" s="545" t="s">
        <v>58</v>
      </c>
      <c r="E140" s="545" t="s">
        <v>59</v>
      </c>
      <c r="F140" s="870" t="s">
        <v>60</v>
      </c>
      <c r="G140" s="870"/>
      <c r="H140" s="449" t="s">
        <v>63</v>
      </c>
      <c r="K140" s="107" t="s">
        <v>72</v>
      </c>
      <c r="L140" s="107">
        <v>1</v>
      </c>
      <c r="M140" s="107">
        <v>2</v>
      </c>
      <c r="N140" s="107">
        <v>3</v>
      </c>
      <c r="O140" s="107">
        <v>4</v>
      </c>
      <c r="P140" s="107">
        <v>5</v>
      </c>
      <c r="Q140" s="107">
        <v>6</v>
      </c>
      <c r="R140" s="53"/>
      <c r="S140" s="45"/>
    </row>
    <row r="141" spans="1:19" s="29" customFormat="1" ht="15.6">
      <c r="A141" s="450" t="s">
        <v>240</v>
      </c>
      <c r="B141" s="130" t="s">
        <v>148</v>
      </c>
      <c r="C141" s="175"/>
      <c r="D141" s="57"/>
      <c r="E141" s="57"/>
      <c r="F141" s="58"/>
      <c r="G141" s="108"/>
      <c r="H141" s="451"/>
      <c r="K141" s="107" t="s">
        <v>74</v>
      </c>
      <c r="L141" s="107" t="s">
        <v>73</v>
      </c>
      <c r="M141" s="107">
        <v>1</v>
      </c>
      <c r="N141" s="107">
        <v>2</v>
      </c>
      <c r="O141" s="107">
        <v>3</v>
      </c>
      <c r="P141" s="107">
        <v>4</v>
      </c>
      <c r="Q141" s="107">
        <v>4</v>
      </c>
      <c r="R141" s="53"/>
      <c r="S141" s="45"/>
    </row>
    <row r="142" spans="1:19" s="29" customFormat="1">
      <c r="A142" s="391" t="s">
        <v>241</v>
      </c>
      <c r="B142" s="520" t="s">
        <v>442</v>
      </c>
      <c r="C142" s="177" t="s">
        <v>56</v>
      </c>
      <c r="D142" s="854"/>
      <c r="E142" s="854"/>
      <c r="F142" s="892" t="str">
        <f>IF(D142&gt;9,D142/E142," ")</f>
        <v xml:space="preserve"> </v>
      </c>
      <c r="G142" s="892"/>
      <c r="H142" s="437">
        <f>IF(D142="",0,IF(D142&lt;9,2,IF((D142/E142)=0,2,IF((D142/E142)&lt;10%,1.5,IF((D142/E142)&lt;15%,1,IF((D142/E142)&lt;20%,0.5,0))))))</f>
        <v>0</v>
      </c>
      <c r="K142" s="107" t="s">
        <v>75</v>
      </c>
      <c r="L142" s="107" t="s">
        <v>73</v>
      </c>
      <c r="M142" s="107">
        <v>5</v>
      </c>
      <c r="N142" s="107">
        <v>15</v>
      </c>
      <c r="O142" s="107">
        <v>25</v>
      </c>
      <c r="P142" s="107">
        <v>35</v>
      </c>
      <c r="Q142" s="107">
        <v>35</v>
      </c>
      <c r="R142" s="53"/>
      <c r="S142" s="45"/>
    </row>
    <row r="143" spans="1:19" s="29" customFormat="1">
      <c r="A143" s="391" t="s">
        <v>242</v>
      </c>
      <c r="B143" s="520" t="s">
        <v>443</v>
      </c>
      <c r="C143" s="177" t="s">
        <v>57</v>
      </c>
      <c r="D143" s="854"/>
      <c r="E143" s="854"/>
      <c r="F143" s="893"/>
      <c r="G143" s="893"/>
      <c r="H143" s="437">
        <f>IF(E142="",0,IF(E142&lt;15,HLOOKUP(F143,K140:Q147,4,FALSE),IF(E142&lt;45,HLOOKUP(F143,K140:Q147,5,FALSE),IF(E142&lt;90,HLOOKUP(F143,K140:Q147,6,FALSE),IF(E142&lt;135,HLOOKUP(F143,K140:Q147,7,FALSE),IF(E142&gt;=135,HLOOKUP(F143,K140:Q147,8,FALSE),3))))))</f>
        <v>0</v>
      </c>
      <c r="J143" s="55"/>
      <c r="K143" s="107" t="s">
        <v>76</v>
      </c>
      <c r="L143" s="107">
        <v>3</v>
      </c>
      <c r="M143" s="107">
        <v>3</v>
      </c>
      <c r="N143" s="107">
        <v>3</v>
      </c>
      <c r="O143" s="107">
        <v>2.5</v>
      </c>
      <c r="P143" s="107">
        <v>1.5</v>
      </c>
      <c r="Q143" s="107">
        <v>0</v>
      </c>
      <c r="R143" s="53"/>
      <c r="S143" s="45"/>
    </row>
    <row r="144" spans="1:19" s="29" customFormat="1">
      <c r="A144" s="412"/>
      <c r="B144" s="325"/>
      <c r="C144" s="332"/>
      <c r="D144" s="337"/>
      <c r="E144" s="337"/>
      <c r="F144" s="337"/>
      <c r="G144" s="337"/>
      <c r="H144" s="452"/>
      <c r="J144" s="55"/>
      <c r="K144" s="107" t="s">
        <v>77</v>
      </c>
      <c r="L144" s="107">
        <v>3</v>
      </c>
      <c r="M144" s="107">
        <v>3</v>
      </c>
      <c r="N144" s="107">
        <v>2.5</v>
      </c>
      <c r="O144" s="107">
        <v>1.5</v>
      </c>
      <c r="P144" s="107">
        <v>1</v>
      </c>
      <c r="Q144" s="107">
        <v>0</v>
      </c>
      <c r="R144" s="53"/>
      <c r="S144" s="45"/>
    </row>
    <row r="145" spans="1:19" s="29" customFormat="1" ht="15.6">
      <c r="A145" s="412"/>
      <c r="B145" s="338"/>
      <c r="C145" s="332"/>
      <c r="D145" s="332"/>
      <c r="E145" s="332"/>
      <c r="F145" s="323"/>
      <c r="G145" s="339"/>
      <c r="H145" s="453"/>
      <c r="J145" s="55"/>
      <c r="K145" s="107" t="s">
        <v>78</v>
      </c>
      <c r="L145" s="107">
        <v>3</v>
      </c>
      <c r="M145" s="107">
        <v>2.5</v>
      </c>
      <c r="N145" s="107">
        <v>1.5</v>
      </c>
      <c r="O145" s="107">
        <v>1</v>
      </c>
      <c r="P145" s="107">
        <v>0</v>
      </c>
      <c r="Q145" s="107">
        <v>0</v>
      </c>
      <c r="R145" s="53"/>
      <c r="S145" s="45"/>
    </row>
    <row r="146" spans="1:19" s="29" customFormat="1" ht="15.75" customHeight="1">
      <c r="A146" s="876" t="s">
        <v>0</v>
      </c>
      <c r="B146" s="877"/>
      <c r="C146" s="991"/>
      <c r="D146" s="880" t="s">
        <v>4</v>
      </c>
      <c r="E146" s="895" t="s">
        <v>1</v>
      </c>
      <c r="F146" s="881"/>
      <c r="G146" s="896" t="s">
        <v>21</v>
      </c>
      <c r="H146" s="890" t="s">
        <v>63</v>
      </c>
      <c r="J146" s="55"/>
      <c r="K146" s="107" t="s">
        <v>79</v>
      </c>
      <c r="L146" s="107">
        <v>3</v>
      </c>
      <c r="M146" s="107">
        <v>1.5</v>
      </c>
      <c r="N146" s="107">
        <v>1</v>
      </c>
      <c r="O146" s="107">
        <v>0</v>
      </c>
      <c r="P146" s="107">
        <v>0</v>
      </c>
      <c r="Q146" s="107">
        <v>0</v>
      </c>
      <c r="R146" s="53"/>
      <c r="S146" s="45"/>
    </row>
    <row r="147" spans="1:19" s="29" customFormat="1" ht="30" customHeight="1">
      <c r="A147" s="878"/>
      <c r="B147" s="879"/>
      <c r="C147" s="992"/>
      <c r="D147" s="881"/>
      <c r="E147" s="545" t="s">
        <v>65</v>
      </c>
      <c r="F147" s="545" t="s">
        <v>66</v>
      </c>
      <c r="G147" s="897"/>
      <c r="H147" s="891"/>
      <c r="J147" s="55"/>
      <c r="K147" s="107" t="s">
        <v>80</v>
      </c>
      <c r="L147" s="107">
        <v>3</v>
      </c>
      <c r="M147" s="107">
        <v>1</v>
      </c>
      <c r="N147" s="107">
        <v>0</v>
      </c>
      <c r="O147" s="107">
        <v>0</v>
      </c>
      <c r="P147" s="107">
        <v>0</v>
      </c>
      <c r="Q147" s="107">
        <v>0</v>
      </c>
      <c r="R147" s="53"/>
      <c r="S147" s="45"/>
    </row>
    <row r="148" spans="1:19" s="29" customFormat="1" ht="15.6">
      <c r="A148" s="454" t="s">
        <v>243</v>
      </c>
      <c r="B148" s="109" t="s">
        <v>264</v>
      </c>
      <c r="C148" s="110"/>
      <c r="D148" s="110"/>
      <c r="E148" s="110"/>
      <c r="F148" s="114"/>
      <c r="G148" s="115"/>
      <c r="H148" s="455"/>
      <c r="K148" s="107" t="s">
        <v>74</v>
      </c>
      <c r="L148" s="107" t="s">
        <v>73</v>
      </c>
      <c r="M148" s="107">
        <v>1</v>
      </c>
      <c r="N148" s="107">
        <v>2</v>
      </c>
      <c r="O148" s="107">
        <v>3</v>
      </c>
      <c r="P148" s="107">
        <v>4</v>
      </c>
      <c r="Q148" s="107">
        <v>4</v>
      </c>
      <c r="R148" s="53"/>
      <c r="S148" s="45"/>
    </row>
    <row r="149" spans="1:19" s="29" customFormat="1" ht="15.6">
      <c r="A149" s="456" t="s">
        <v>244</v>
      </c>
      <c r="B149" s="158" t="s">
        <v>231</v>
      </c>
      <c r="C149" s="159"/>
      <c r="D149" s="160"/>
      <c r="E149" s="161"/>
      <c r="F149" s="161"/>
      <c r="G149" s="162"/>
      <c r="H149" s="457"/>
      <c r="J149" s="55"/>
      <c r="R149" s="53"/>
      <c r="S149" s="45"/>
    </row>
    <row r="150" spans="1:19" s="29" customFormat="1">
      <c r="A150" s="418" t="s">
        <v>245</v>
      </c>
      <c r="B150" s="885" t="s">
        <v>424</v>
      </c>
      <c r="C150" s="884"/>
      <c r="D150" s="163" t="s">
        <v>51</v>
      </c>
      <c r="E150" s="541">
        <v>2</v>
      </c>
      <c r="F150" s="541">
        <v>3</v>
      </c>
      <c r="G150" s="27"/>
      <c r="H150" s="405">
        <f t="shared" ref="H150:H159" si="3">IF(G150&gt;=80%,F150,IF(G150&lt;65%,0,E150))</f>
        <v>0</v>
      </c>
      <c r="R150" s="53"/>
      <c r="S150" s="45"/>
    </row>
    <row r="151" spans="1:19" s="29" customFormat="1">
      <c r="A151" s="418" t="s">
        <v>246</v>
      </c>
      <c r="B151" s="844" t="s">
        <v>423</v>
      </c>
      <c r="C151" s="845"/>
      <c r="D151" s="164" t="s">
        <v>51</v>
      </c>
      <c r="E151" s="20">
        <v>2</v>
      </c>
      <c r="F151" s="20">
        <v>3</v>
      </c>
      <c r="G151" s="547"/>
      <c r="H151" s="405">
        <f>IF(G151&gt;=80%,F151,IF(G151&lt;65%,0,E151))</f>
        <v>0</v>
      </c>
      <c r="R151" s="53"/>
      <c r="S151" s="45"/>
    </row>
    <row r="152" spans="1:19" s="29" customFormat="1" ht="30">
      <c r="A152" s="839" t="s">
        <v>247</v>
      </c>
      <c r="B152" s="915" t="s">
        <v>448</v>
      </c>
      <c r="C152" s="916"/>
      <c r="D152" s="521" t="s">
        <v>446</v>
      </c>
      <c r="E152" s="907">
        <v>2.5</v>
      </c>
      <c r="F152" s="908"/>
      <c r="G152" s="940"/>
      <c r="H152" s="938">
        <f>IF(G152&gt;=35,E153,IF(G152&gt;=30,E152,0))</f>
        <v>0</v>
      </c>
      <c r="R152" s="53"/>
      <c r="S152" s="45"/>
    </row>
    <row r="153" spans="1:19" s="29" customFormat="1" ht="30">
      <c r="A153" s="841"/>
      <c r="B153" s="917"/>
      <c r="C153" s="918"/>
      <c r="D153" s="521" t="s">
        <v>447</v>
      </c>
      <c r="E153" s="907">
        <v>3</v>
      </c>
      <c r="F153" s="908"/>
      <c r="G153" s="941"/>
      <c r="H153" s="939"/>
      <c r="R153" s="53"/>
      <c r="S153" s="45"/>
    </row>
    <row r="154" spans="1:19" s="29" customFormat="1" ht="31.5" customHeight="1">
      <c r="A154" s="839" t="s">
        <v>248</v>
      </c>
      <c r="B154" s="915" t="s">
        <v>449</v>
      </c>
      <c r="C154" s="933"/>
      <c r="D154" s="165" t="s">
        <v>372</v>
      </c>
      <c r="E154" s="864">
        <v>4</v>
      </c>
      <c r="F154" s="865"/>
      <c r="G154" s="942"/>
      <c r="H154" s="945">
        <f>IF(G154&gt;=80,E154,IF(G154&gt;=70,E155,IF(G154&gt;=60,E156,IF(G154&gt;=50,E157,0))))</f>
        <v>0</v>
      </c>
      <c r="I154" s="913"/>
      <c r="R154" s="53"/>
      <c r="S154" s="45"/>
    </row>
    <row r="155" spans="1:19" s="29" customFormat="1" ht="31.5" customHeight="1">
      <c r="A155" s="840"/>
      <c r="B155" s="934"/>
      <c r="C155" s="935"/>
      <c r="D155" s="165" t="s">
        <v>373</v>
      </c>
      <c r="E155" s="864">
        <v>3</v>
      </c>
      <c r="F155" s="865"/>
      <c r="G155" s="943"/>
      <c r="H155" s="946"/>
      <c r="I155" s="913"/>
      <c r="R155" s="53"/>
      <c r="S155" s="45"/>
    </row>
    <row r="156" spans="1:19" s="29" customFormat="1" ht="31.5" customHeight="1">
      <c r="A156" s="840"/>
      <c r="B156" s="934"/>
      <c r="C156" s="935"/>
      <c r="D156" s="165" t="s">
        <v>411</v>
      </c>
      <c r="E156" s="864">
        <v>2</v>
      </c>
      <c r="F156" s="865"/>
      <c r="G156" s="943"/>
      <c r="H156" s="946"/>
      <c r="I156" s="913"/>
      <c r="R156" s="53"/>
      <c r="S156" s="45"/>
    </row>
    <row r="157" spans="1:19" s="29" customFormat="1" ht="31.5" customHeight="1">
      <c r="A157" s="841"/>
      <c r="B157" s="936"/>
      <c r="C157" s="937"/>
      <c r="D157" s="165" t="s">
        <v>412</v>
      </c>
      <c r="E157" s="864">
        <v>1</v>
      </c>
      <c r="F157" s="865"/>
      <c r="G157" s="944"/>
      <c r="H157" s="947"/>
      <c r="I157" s="913"/>
      <c r="R157" s="53"/>
      <c r="S157" s="45"/>
    </row>
    <row r="158" spans="1:19" s="29" customFormat="1" ht="31.5" customHeight="1">
      <c r="A158" s="839" t="s">
        <v>414</v>
      </c>
      <c r="B158" s="915" t="s">
        <v>444</v>
      </c>
      <c r="C158" s="933"/>
      <c r="D158" s="165" t="s">
        <v>67</v>
      </c>
      <c r="E158" s="376">
        <v>3.5</v>
      </c>
      <c r="F158" s="376">
        <v>4</v>
      </c>
      <c r="G158" s="27"/>
      <c r="H158" s="405">
        <f t="shared" si="3"/>
        <v>0</v>
      </c>
      <c r="I158" s="913"/>
      <c r="R158" s="53"/>
      <c r="S158" s="45"/>
    </row>
    <row r="159" spans="1:19" s="29" customFormat="1" ht="30">
      <c r="A159" s="841"/>
      <c r="B159" s="936"/>
      <c r="C159" s="937"/>
      <c r="D159" s="165" t="s">
        <v>68</v>
      </c>
      <c r="E159" s="376">
        <v>2.5</v>
      </c>
      <c r="F159" s="376">
        <v>3</v>
      </c>
      <c r="G159" s="27"/>
      <c r="H159" s="405">
        <f t="shared" si="3"/>
        <v>0</v>
      </c>
      <c r="R159" s="53"/>
      <c r="S159" s="45"/>
    </row>
    <row r="160" spans="1:19" s="29" customFormat="1">
      <c r="A160" s="522" t="s">
        <v>594</v>
      </c>
      <c r="B160" s="999" t="s">
        <v>421</v>
      </c>
      <c r="C160" s="1000"/>
      <c r="D160" s="523" t="s">
        <v>51</v>
      </c>
      <c r="E160" s="551">
        <v>2</v>
      </c>
      <c r="F160" s="551">
        <v>2.5</v>
      </c>
      <c r="G160" s="27"/>
      <c r="H160" s="298">
        <f>IF(G160&gt;=80%,F160,IF(G160&lt;65%,0,E160))</f>
        <v>0</v>
      </c>
      <c r="R160" s="53"/>
      <c r="S160" s="45"/>
    </row>
    <row r="161" spans="1:19" s="29" customFormat="1" ht="15.6">
      <c r="A161" s="431" t="s">
        <v>249</v>
      </c>
      <c r="B161" s="86" t="s">
        <v>299</v>
      </c>
      <c r="C161" s="93"/>
      <c r="D161" s="160"/>
      <c r="E161" s="161"/>
      <c r="F161" s="161"/>
      <c r="G161" s="162"/>
      <c r="H161" s="457"/>
      <c r="I161" s="172"/>
      <c r="R161" s="53"/>
      <c r="S161" s="45"/>
    </row>
    <row r="162" spans="1:19" s="29" customFormat="1" ht="32.25" customHeight="1">
      <c r="A162" s="418" t="s">
        <v>250</v>
      </c>
      <c r="B162" s="936" t="s">
        <v>597</v>
      </c>
      <c r="C162" s="937"/>
      <c r="D162" s="543" t="s">
        <v>51</v>
      </c>
      <c r="E162" s="541">
        <v>2</v>
      </c>
      <c r="F162" s="541">
        <v>2.5</v>
      </c>
      <c r="G162" s="27"/>
      <c r="H162" s="405">
        <f>IF(G162&gt;=80%,F162,IF(G162&lt;65%,0,E162))</f>
        <v>0</v>
      </c>
      <c r="R162" s="53"/>
      <c r="S162" s="45"/>
    </row>
    <row r="163" spans="1:19" s="29" customFormat="1" ht="29.25" customHeight="1">
      <c r="A163" s="418" t="s">
        <v>251</v>
      </c>
      <c r="B163" s="999" t="s">
        <v>445</v>
      </c>
      <c r="C163" s="1000"/>
      <c r="D163" s="543" t="s">
        <v>51</v>
      </c>
      <c r="E163" s="541">
        <v>2</v>
      </c>
      <c r="F163" s="541">
        <v>2.5</v>
      </c>
      <c r="G163" s="27"/>
      <c r="H163" s="405">
        <f>IF(G163&gt;=80%,F163,IF(G163&lt;65%,0,E163))</f>
        <v>0</v>
      </c>
      <c r="R163" s="53"/>
      <c r="S163" s="45"/>
    </row>
    <row r="164" spans="1:19" s="29" customFormat="1" ht="15.6">
      <c r="A164" s="431">
        <v>15</v>
      </c>
      <c r="B164" s="86" t="s">
        <v>278</v>
      </c>
      <c r="C164" s="93"/>
      <c r="D164" s="160"/>
      <c r="E164" s="161"/>
      <c r="F164" s="161"/>
      <c r="G164" s="162"/>
      <c r="H164" s="457"/>
      <c r="I164" s="172"/>
      <c r="R164" s="53"/>
      <c r="S164" s="45"/>
    </row>
    <row r="165" spans="1:19" s="29" customFormat="1">
      <c r="A165" s="839" t="s">
        <v>252</v>
      </c>
      <c r="B165" s="936" t="s">
        <v>297</v>
      </c>
      <c r="C165" s="937"/>
      <c r="D165" s="919" t="s">
        <v>51</v>
      </c>
      <c r="E165" s="910">
        <v>2.5</v>
      </c>
      <c r="F165" s="910">
        <v>4</v>
      </c>
      <c r="G165" s="899"/>
      <c r="H165" s="945">
        <f>IF(G165&gt;=80%,F165,IF(G165&lt;65%,0,E165))</f>
        <v>0</v>
      </c>
      <c r="I165" s="172"/>
      <c r="R165" s="53"/>
      <c r="S165" s="45"/>
    </row>
    <row r="166" spans="1:19" s="29" customFormat="1" ht="15.6">
      <c r="A166" s="841"/>
      <c r="B166" s="998" t="s">
        <v>298</v>
      </c>
      <c r="C166" s="998"/>
      <c r="D166" s="920"/>
      <c r="E166" s="911"/>
      <c r="F166" s="911"/>
      <c r="G166" s="900"/>
      <c r="H166" s="947"/>
      <c r="I166" s="172"/>
      <c r="R166" s="53"/>
      <c r="S166" s="45"/>
    </row>
    <row r="167" spans="1:19" s="29" customFormat="1">
      <c r="A167" s="839" t="s">
        <v>253</v>
      </c>
      <c r="B167" s="885" t="s">
        <v>146</v>
      </c>
      <c r="C167" s="884"/>
      <c r="D167" s="769" t="s">
        <v>51</v>
      </c>
      <c r="E167" s="906">
        <v>2.5</v>
      </c>
      <c r="F167" s="906">
        <v>4</v>
      </c>
      <c r="G167" s="905"/>
      <c r="H167" s="909">
        <f>IF(G167&gt;=80%,F167,IF(G167&lt;65%,0,E167))</f>
        <v>0</v>
      </c>
      <c r="I167" s="172"/>
      <c r="R167" s="53"/>
      <c r="S167" s="45"/>
    </row>
    <row r="168" spans="1:19" s="29" customFormat="1" ht="15.6">
      <c r="A168" s="841"/>
      <c r="B168" s="998" t="s">
        <v>120</v>
      </c>
      <c r="C168" s="998"/>
      <c r="D168" s="769"/>
      <c r="E168" s="906"/>
      <c r="F168" s="906"/>
      <c r="G168" s="905"/>
      <c r="H168" s="909"/>
      <c r="I168" s="172"/>
      <c r="R168" s="53"/>
      <c r="S168" s="45"/>
    </row>
    <row r="169" spans="1:19" s="29" customFormat="1" ht="15.6">
      <c r="A169" s="443">
        <v>16</v>
      </c>
      <c r="B169" s="106" t="s">
        <v>213</v>
      </c>
      <c r="C169" s="93"/>
      <c r="D169" s="93"/>
      <c r="E169" s="95"/>
      <c r="F169" s="95"/>
      <c r="G169" s="96"/>
      <c r="H169" s="436"/>
      <c r="R169" s="60"/>
      <c r="S169" s="45"/>
    </row>
    <row r="170" spans="1:19" s="29" customFormat="1">
      <c r="A170" s="418" t="s">
        <v>255</v>
      </c>
      <c r="B170" s="826"/>
      <c r="C170" s="821"/>
      <c r="D170" s="111"/>
      <c r="E170" s="537"/>
      <c r="F170" s="537"/>
      <c r="G170" s="67"/>
      <c r="H170" s="542">
        <f>IF(G170&gt;=80%,F170,IF(G170&lt;65%,0,E170))</f>
        <v>0</v>
      </c>
      <c r="R170" s="53"/>
      <c r="S170" s="45"/>
    </row>
    <row r="171" spans="1:19" s="29" customFormat="1">
      <c r="A171" s="418" t="s">
        <v>256</v>
      </c>
      <c r="B171" s="826"/>
      <c r="C171" s="821"/>
      <c r="D171" s="111"/>
      <c r="E171" s="537"/>
      <c r="F171" s="537"/>
      <c r="G171" s="67"/>
      <c r="H171" s="542">
        <f>IF(G171&gt;=80%,F171,IF(G171&lt;65%,0,E171))</f>
        <v>0</v>
      </c>
      <c r="R171" s="53"/>
      <c r="S171" s="45"/>
    </row>
    <row r="172" spans="1:19" s="29" customFormat="1">
      <c r="A172" s="418" t="s">
        <v>257</v>
      </c>
      <c r="B172" s="826"/>
      <c r="C172" s="821"/>
      <c r="D172" s="111"/>
      <c r="E172" s="537"/>
      <c r="F172" s="537"/>
      <c r="G172" s="67"/>
      <c r="H172" s="542">
        <f>IF(G172&gt;=80%,F172,IF(G172&lt;65%,0,E172))</f>
        <v>0</v>
      </c>
      <c r="R172" s="53"/>
      <c r="S172" s="45"/>
    </row>
    <row r="173" spans="1:19" s="29" customFormat="1" ht="15.6">
      <c r="A173" s="425"/>
      <c r="B173" s="325"/>
      <c r="C173" s="323"/>
      <c r="D173" s="323"/>
      <c r="E173" s="323"/>
      <c r="F173" s="327"/>
      <c r="G173" s="328" t="s">
        <v>419</v>
      </c>
      <c r="H173" s="458">
        <f>IFERROR((SUM(H142:H172)),0)</f>
        <v>0</v>
      </c>
      <c r="R173" s="53"/>
      <c r="S173" s="45"/>
    </row>
    <row r="174" spans="1:19" s="29" customFormat="1" ht="15.6" thickBot="1">
      <c r="A174" s="491"/>
      <c r="B174" s="492"/>
      <c r="C174" s="493"/>
      <c r="D174" s="493"/>
      <c r="E174" s="493"/>
      <c r="F174" s="493"/>
      <c r="G174" s="480"/>
      <c r="H174" s="639"/>
      <c r="R174" s="53"/>
      <c r="S174" s="45"/>
    </row>
    <row r="175" spans="1:19" s="29" customFormat="1" ht="30.75" customHeight="1">
      <c r="A175" s="995" t="s">
        <v>0</v>
      </c>
      <c r="B175" s="996"/>
      <c r="C175" s="997"/>
      <c r="D175" s="1011" t="s">
        <v>4</v>
      </c>
      <c r="E175" s="902" t="s">
        <v>1</v>
      </c>
      <c r="F175" s="903"/>
      <c r="G175" s="898" t="s">
        <v>21</v>
      </c>
      <c r="H175" s="888" t="s">
        <v>63</v>
      </c>
      <c r="R175" s="53"/>
      <c r="S175" s="45"/>
    </row>
    <row r="176" spans="1:19" s="29" customFormat="1" ht="15.6">
      <c r="A176" s="878"/>
      <c r="B176" s="879"/>
      <c r="C176" s="992"/>
      <c r="D176" s="1012"/>
      <c r="E176" s="545" t="s">
        <v>121</v>
      </c>
      <c r="F176" s="545" t="s">
        <v>122</v>
      </c>
      <c r="G176" s="870"/>
      <c r="H176" s="889"/>
      <c r="R176" s="53"/>
      <c r="S176" s="45"/>
    </row>
    <row r="177" spans="1:19" s="29" customFormat="1" ht="15.6">
      <c r="A177" s="450" t="s">
        <v>254</v>
      </c>
      <c r="B177" s="109" t="s">
        <v>258</v>
      </c>
      <c r="C177" s="110"/>
      <c r="D177" s="110"/>
      <c r="E177" s="110"/>
      <c r="F177" s="114"/>
      <c r="G177" s="115"/>
      <c r="H177" s="455"/>
      <c r="R177" s="53"/>
      <c r="S177" s="45"/>
    </row>
    <row r="178" spans="1:19" s="29" customFormat="1">
      <c r="A178" s="391" t="s">
        <v>300</v>
      </c>
      <c r="B178" s="885" t="s">
        <v>259</v>
      </c>
      <c r="C178" s="886"/>
      <c r="D178" s="5" t="s">
        <v>51</v>
      </c>
      <c r="E178" s="20">
        <v>-1</v>
      </c>
      <c r="F178" s="20">
        <v>-2</v>
      </c>
      <c r="G178" s="28"/>
      <c r="H178" s="405">
        <f>IF(G178&gt;=30%,F178,IF(G178=0%,0,E178))</f>
        <v>0</v>
      </c>
      <c r="R178" s="53"/>
      <c r="S178" s="45"/>
    </row>
    <row r="179" spans="1:19" s="29" customFormat="1">
      <c r="A179" s="391" t="s">
        <v>301</v>
      </c>
      <c r="B179" s="885" t="s">
        <v>260</v>
      </c>
      <c r="C179" s="886"/>
      <c r="D179" s="5" t="s">
        <v>51</v>
      </c>
      <c r="E179" s="20">
        <v>-1</v>
      </c>
      <c r="F179" s="20">
        <v>-1.5</v>
      </c>
      <c r="G179" s="28"/>
      <c r="H179" s="405">
        <f>IF(G179&gt;=30%,F179,IF(G179=0%,0,E179))</f>
        <v>0</v>
      </c>
      <c r="R179" s="53"/>
      <c r="S179" s="45"/>
    </row>
    <row r="180" spans="1:19" s="29" customFormat="1">
      <c r="A180" s="391" t="s">
        <v>302</v>
      </c>
      <c r="B180" s="885" t="s">
        <v>261</v>
      </c>
      <c r="C180" s="886"/>
      <c r="D180" s="5" t="s">
        <v>51</v>
      </c>
      <c r="E180" s="904">
        <v>-1</v>
      </c>
      <c r="F180" s="904"/>
      <c r="G180" s="547"/>
      <c r="H180" s="405">
        <f>IF(G180&gt;0%,E180,0)</f>
        <v>0</v>
      </c>
      <c r="R180" s="53"/>
      <c r="S180" s="45"/>
    </row>
    <row r="181" spans="1:19" s="29" customFormat="1" ht="15.6">
      <c r="A181" s="425"/>
      <c r="B181" s="325"/>
      <c r="C181" s="323"/>
      <c r="D181" s="323"/>
      <c r="E181" s="323"/>
      <c r="F181" s="327"/>
      <c r="G181" s="328" t="s">
        <v>142</v>
      </c>
      <c r="H181" s="458">
        <f>IFERROR(MAX(SUM(H178:H180),-4),0)</f>
        <v>0</v>
      </c>
      <c r="R181" s="45"/>
      <c r="S181" s="45"/>
    </row>
    <row r="182" spans="1:19" s="29" customFormat="1">
      <c r="A182" s="412"/>
      <c r="B182" s="325"/>
      <c r="C182" s="323"/>
      <c r="D182" s="323"/>
      <c r="E182" s="323"/>
      <c r="F182" s="323"/>
      <c r="G182" s="332"/>
      <c r="H182" s="388"/>
      <c r="R182" s="53"/>
      <c r="S182" s="45"/>
    </row>
    <row r="183" spans="1:19" s="29" customFormat="1" ht="15.6">
      <c r="A183" s="412"/>
      <c r="B183" s="325"/>
      <c r="C183" s="323"/>
      <c r="D183" s="323"/>
      <c r="E183" s="323"/>
      <c r="F183" s="323"/>
      <c r="G183" s="330" t="s">
        <v>141</v>
      </c>
      <c r="H183" s="459">
        <f>IFERROR(MIN(SUM(H115+H138+H173+H181),G86),0)</f>
        <v>0</v>
      </c>
      <c r="R183" s="53"/>
      <c r="S183" s="45"/>
    </row>
    <row r="184" spans="1:19" s="29" customFormat="1" ht="16.2" thickBot="1">
      <c r="A184" s="491"/>
      <c r="B184" s="492"/>
      <c r="C184" s="493"/>
      <c r="D184" s="493"/>
      <c r="E184" s="493"/>
      <c r="F184" s="493"/>
      <c r="G184" s="494"/>
      <c r="H184" s="495"/>
      <c r="R184" s="53"/>
      <c r="S184" s="45"/>
    </row>
    <row r="185" spans="1:19" s="29" customFormat="1" ht="15.6">
      <c r="A185" s="481" t="s">
        <v>64</v>
      </c>
      <c r="B185" s="482"/>
      <c r="C185" s="482"/>
      <c r="D185" s="482"/>
      <c r="E185" s="482"/>
      <c r="F185" s="483" t="s">
        <v>43</v>
      </c>
      <c r="G185" s="484">
        <f>VLOOKUP($A$7,'Manpower allocation'!A4:D11,4,FALSE)*100</f>
        <v>15</v>
      </c>
      <c r="H185" s="485" t="s">
        <v>42</v>
      </c>
      <c r="J185" s="112">
        <f>VLOOKUP($A$7,'Manpower allocation'!A4:D11,4,FALSE)*100</f>
        <v>15</v>
      </c>
      <c r="R185" s="53"/>
      <c r="S185" s="45"/>
    </row>
    <row r="186" spans="1:19" s="29" customFormat="1" ht="15.6">
      <c r="A186" s="412"/>
      <c r="B186" s="331"/>
      <c r="C186" s="323"/>
      <c r="D186" s="323"/>
      <c r="E186" s="323"/>
      <c r="F186" s="323"/>
      <c r="G186" s="332"/>
      <c r="H186" s="388"/>
      <c r="R186" s="53"/>
      <c r="S186" s="45"/>
    </row>
    <row r="187" spans="1:19" s="29" customFormat="1" ht="46.8">
      <c r="A187" s="993" t="s">
        <v>0</v>
      </c>
      <c r="B187" s="994"/>
      <c r="C187" s="113"/>
      <c r="D187" s="539" t="s">
        <v>17</v>
      </c>
      <c r="E187" s="539" t="s">
        <v>125</v>
      </c>
      <c r="F187" s="539" t="s">
        <v>109</v>
      </c>
      <c r="G187" s="539" t="s">
        <v>18</v>
      </c>
      <c r="H187" s="544" t="s">
        <v>63</v>
      </c>
      <c r="R187" s="53"/>
      <c r="S187" s="45"/>
    </row>
    <row r="188" spans="1:19" s="29" customFormat="1" ht="15.6">
      <c r="A188" s="454" t="s">
        <v>265</v>
      </c>
      <c r="B188" s="109" t="s">
        <v>358</v>
      </c>
      <c r="C188" s="110"/>
      <c r="D188" s="110"/>
      <c r="E188" s="110"/>
      <c r="F188" s="114"/>
      <c r="G188" s="115"/>
      <c r="H188" s="455"/>
      <c r="R188" s="53"/>
      <c r="S188" s="45"/>
    </row>
    <row r="189" spans="1:19" s="29" customFormat="1" ht="15.6">
      <c r="A189" s="460">
        <v>1</v>
      </c>
      <c r="B189" s="116" t="s">
        <v>338</v>
      </c>
      <c r="C189" s="117"/>
      <c r="D189" s="118"/>
      <c r="E189" s="118"/>
      <c r="F189" s="118"/>
      <c r="G189" s="118"/>
      <c r="H189" s="461"/>
      <c r="R189" s="53"/>
      <c r="S189" s="45"/>
    </row>
    <row r="190" spans="1:19" s="29" customFormat="1">
      <c r="A190" s="409">
        <v>1.1000000000000001</v>
      </c>
      <c r="B190" s="844" t="s">
        <v>290</v>
      </c>
      <c r="C190" s="845"/>
      <c r="D190" s="20">
        <f>VLOOKUP(A190,'Point Allocation'!$A$46:$J$55,MATCH(A7,'Point Allocation'!$A$46:$J$46,0),0)</f>
        <v>15</v>
      </c>
      <c r="E190" s="38"/>
      <c r="F190" s="38"/>
      <c r="G190" s="31">
        <f>MIN(IFERROR(F190/E190,0),100%)</f>
        <v>0</v>
      </c>
      <c r="H190" s="405">
        <f>D190*G190</f>
        <v>0</v>
      </c>
      <c r="R190" s="53"/>
      <c r="S190" s="45"/>
    </row>
    <row r="191" spans="1:19" s="29" customFormat="1" ht="15.6">
      <c r="A191" s="462">
        <v>2</v>
      </c>
      <c r="B191" s="119" t="s">
        <v>339</v>
      </c>
      <c r="C191" s="120"/>
      <c r="D191" s="32"/>
      <c r="E191" s="33"/>
      <c r="F191" s="33"/>
      <c r="G191" s="34"/>
      <c r="H191" s="463"/>
      <c r="R191" s="53"/>
      <c r="S191" s="45"/>
    </row>
    <row r="192" spans="1:19" s="29" customFormat="1" ht="33" customHeight="1">
      <c r="A192" s="464">
        <v>2.1</v>
      </c>
      <c r="B192" s="969" t="s">
        <v>266</v>
      </c>
      <c r="C192" s="971"/>
      <c r="D192" s="20">
        <f>VLOOKUP(A192,'Point Allocation'!$A$46:$J$55,MATCH(A7,'Point Allocation'!$A$46:$J$46,0),0)</f>
        <v>12</v>
      </c>
      <c r="E192" s="38"/>
      <c r="F192" s="38"/>
      <c r="G192" s="31">
        <f>MIN(IFERROR(F192/E192,0),100%)</f>
        <v>0</v>
      </c>
      <c r="H192" s="405">
        <f>D192*G192</f>
        <v>0</v>
      </c>
      <c r="R192" s="53"/>
      <c r="S192" s="45"/>
    </row>
    <row r="193" spans="1:19" s="29" customFormat="1" ht="15.6">
      <c r="A193" s="460">
        <v>3</v>
      </c>
      <c r="B193" s="116" t="s">
        <v>343</v>
      </c>
      <c r="C193" s="121"/>
      <c r="D193" s="35"/>
      <c r="E193" s="35"/>
      <c r="F193" s="35"/>
      <c r="G193" s="34"/>
      <c r="H193" s="465"/>
      <c r="R193" s="53"/>
      <c r="S193" s="45"/>
    </row>
    <row r="194" spans="1:19" s="29" customFormat="1">
      <c r="A194" s="466">
        <v>3.1</v>
      </c>
      <c r="B194" s="850" t="s">
        <v>451</v>
      </c>
      <c r="C194" s="851"/>
      <c r="D194" s="20">
        <f>VLOOKUP(A194,'Point Allocation'!$A$46:$J$55,MATCH(A7,'Point Allocation'!$A$46:$J$46,0),0)</f>
        <v>4</v>
      </c>
      <c r="E194" s="38"/>
      <c r="F194" s="38"/>
      <c r="G194" s="31">
        <f>MIN(IFERROR(F194/E194,0),100%)</f>
        <v>0</v>
      </c>
      <c r="H194" s="405">
        <f>D194*G194</f>
        <v>0</v>
      </c>
      <c r="R194" s="53"/>
      <c r="S194" s="45"/>
    </row>
    <row r="195" spans="1:19" s="29" customFormat="1" ht="32.25" customHeight="1">
      <c r="A195" s="466">
        <v>3.2</v>
      </c>
      <c r="B195" s="850" t="s">
        <v>452</v>
      </c>
      <c r="C195" s="851"/>
      <c r="D195" s="20">
        <f>VLOOKUP(A195,'Point Allocation'!$A$46:$J$55,MATCH(A7,'Point Allocation'!$A$46:$J$46,0),0)</f>
        <v>4</v>
      </c>
      <c r="E195" s="178"/>
      <c r="F195" s="38"/>
      <c r="G195" s="31">
        <f>MIN(IFERROR(F195/E195,0),100%)</f>
        <v>0</v>
      </c>
      <c r="H195" s="405">
        <f>D195*G195</f>
        <v>0</v>
      </c>
      <c r="R195" s="53"/>
      <c r="S195" s="45"/>
    </row>
    <row r="196" spans="1:19" s="29" customFormat="1" ht="32.25" customHeight="1">
      <c r="A196" s="404">
        <v>3.3</v>
      </c>
      <c r="B196" s="885" t="s">
        <v>170</v>
      </c>
      <c r="C196" s="886"/>
      <c r="D196" s="20">
        <f>VLOOKUP(A196,'Point Allocation'!$A$46:$J$55,MATCH(A7,'Point Allocation'!$A$46:$J$46,0),0)</f>
        <v>4</v>
      </c>
      <c r="E196" s="179"/>
      <c r="F196" s="536"/>
      <c r="G196" s="31">
        <f>MIN(IFERROR(F196/E196,0),100%)</f>
        <v>0</v>
      </c>
      <c r="H196" s="405">
        <f>D196*G196</f>
        <v>0</v>
      </c>
      <c r="R196" s="53"/>
      <c r="S196" s="45"/>
    </row>
    <row r="197" spans="1:19" s="29" customFormat="1" ht="15.6">
      <c r="A197" s="412"/>
      <c r="B197" s="325"/>
      <c r="C197" s="323"/>
      <c r="D197" s="324" t="s">
        <v>6</v>
      </c>
      <c r="E197" s="300">
        <f>MAX(SUM(E190:E196),F197)</f>
        <v>0</v>
      </c>
      <c r="F197" s="300">
        <f>SUM(F190:F196)</f>
        <v>0</v>
      </c>
      <c r="G197" s="340">
        <f>IFERROR(MIN(F197/E197,100%),0)</f>
        <v>0</v>
      </c>
      <c r="H197" s="413">
        <f>IFERROR(SUM(H190:H196),0)</f>
        <v>0</v>
      </c>
      <c r="R197" s="53"/>
      <c r="S197" s="45"/>
    </row>
    <row r="198" spans="1:19" s="29" customFormat="1" ht="15.6">
      <c r="A198" s="412"/>
      <c r="B198" s="338"/>
      <c r="C198" s="341"/>
      <c r="D198" s="342"/>
      <c r="E198" s="341"/>
      <c r="F198" s="341"/>
      <c r="G198" s="343"/>
      <c r="H198" s="467"/>
      <c r="R198" s="53"/>
      <c r="S198" s="45"/>
    </row>
    <row r="199" spans="1:19" s="29" customFormat="1" ht="15.6">
      <c r="A199" s="993" t="s">
        <v>0</v>
      </c>
      <c r="B199" s="994"/>
      <c r="C199" s="982"/>
      <c r="D199" s="901" t="s">
        <v>4</v>
      </c>
      <c r="E199" s="901" t="s">
        <v>1</v>
      </c>
      <c r="F199" s="901"/>
      <c r="G199" s="894" t="s">
        <v>21</v>
      </c>
      <c r="H199" s="887" t="s">
        <v>63</v>
      </c>
      <c r="R199" s="53"/>
      <c r="S199" s="45"/>
    </row>
    <row r="200" spans="1:19" s="29" customFormat="1" ht="30.75" customHeight="1">
      <c r="A200" s="1007"/>
      <c r="B200" s="1008"/>
      <c r="C200" s="983"/>
      <c r="D200" s="901"/>
      <c r="E200" s="539" t="s">
        <v>65</v>
      </c>
      <c r="F200" s="539" t="s">
        <v>66</v>
      </c>
      <c r="G200" s="894"/>
      <c r="H200" s="887"/>
      <c r="R200" s="53"/>
      <c r="S200" s="45"/>
    </row>
    <row r="201" spans="1:19" s="29" customFormat="1" ht="15.6">
      <c r="A201" s="415" t="s">
        <v>271</v>
      </c>
      <c r="B201" s="46" t="s">
        <v>272</v>
      </c>
      <c r="C201" s="57"/>
      <c r="D201" s="57"/>
      <c r="E201" s="57"/>
      <c r="F201" s="58"/>
      <c r="G201" s="108"/>
      <c r="H201" s="451"/>
      <c r="R201" s="53"/>
      <c r="S201" s="45"/>
    </row>
    <row r="202" spans="1:19" s="29" customFormat="1" ht="15.6">
      <c r="A202" s="468">
        <v>4</v>
      </c>
      <c r="B202" s="122" t="s">
        <v>341</v>
      </c>
      <c r="C202" s="120"/>
      <c r="D202" s="123"/>
      <c r="E202" s="124"/>
      <c r="F202" s="124"/>
      <c r="G202" s="125"/>
      <c r="H202" s="469"/>
      <c r="R202" s="53"/>
      <c r="S202" s="45"/>
    </row>
    <row r="203" spans="1:19" s="29" customFormat="1">
      <c r="A203" s="409">
        <v>4.0999999999999996</v>
      </c>
      <c r="B203" s="844" t="s">
        <v>164</v>
      </c>
      <c r="C203" s="845"/>
      <c r="D203" s="5" t="s">
        <v>51</v>
      </c>
      <c r="E203" s="20" t="s">
        <v>50</v>
      </c>
      <c r="F203" s="20">
        <f>VLOOKUP(A203,'Point Allocation'!$A$46:$J$55,MATCH(A7,'Point Allocation'!$A$46:$J$46,0),0)</f>
        <v>1.5</v>
      </c>
      <c r="G203" s="547"/>
      <c r="H203" s="405">
        <f>IF(G203&gt;=80%,F203,0)</f>
        <v>0</v>
      </c>
      <c r="R203" s="53"/>
      <c r="S203" s="45"/>
    </row>
    <row r="204" spans="1:19" s="29" customFormat="1">
      <c r="A204" s="409">
        <v>4.2</v>
      </c>
      <c r="B204" s="844" t="s">
        <v>161</v>
      </c>
      <c r="C204" s="845"/>
      <c r="D204" s="5" t="s">
        <v>51</v>
      </c>
      <c r="E204" s="20" t="s">
        <v>50</v>
      </c>
      <c r="F204" s="20">
        <f>VLOOKUP(A204,'Point Allocation'!$A$46:$J$55,MATCH(A7,'Point Allocation'!$A$46:$J$46,0),0)</f>
        <v>1.5</v>
      </c>
      <c r="G204" s="547"/>
      <c r="H204" s="405">
        <f>IF(G204&gt;=80%,F204,0)</f>
        <v>0</v>
      </c>
      <c r="R204" s="53"/>
      <c r="S204" s="45"/>
    </row>
    <row r="205" spans="1:19" s="29" customFormat="1">
      <c r="A205" s="409">
        <v>4.3</v>
      </c>
      <c r="B205" s="844" t="s">
        <v>155</v>
      </c>
      <c r="C205" s="845"/>
      <c r="D205" s="5" t="s">
        <v>3</v>
      </c>
      <c r="E205" s="20" t="s">
        <v>50</v>
      </c>
      <c r="F205" s="20">
        <f>VLOOKUP(A205,'Point Allocation'!$A$46:$J$55,MATCH(A7,'Point Allocation'!$A$46:$J$46,0),0)</f>
        <v>1.5</v>
      </c>
      <c r="G205" s="547"/>
      <c r="H205" s="405">
        <f>IF(G205&gt;=80%,F205,0)</f>
        <v>0</v>
      </c>
      <c r="R205" s="53"/>
      <c r="S205" s="45"/>
    </row>
    <row r="206" spans="1:19" s="29" customFormat="1">
      <c r="A206" s="470">
        <v>4.4000000000000004</v>
      </c>
      <c r="B206" s="874" t="s">
        <v>270</v>
      </c>
      <c r="C206" s="875"/>
      <c r="D206" s="5" t="s">
        <v>3</v>
      </c>
      <c r="E206" s="20" t="s">
        <v>50</v>
      </c>
      <c r="F206" s="20">
        <f>VLOOKUP(A206,'Point Allocation'!$A$46:$J$55,MATCH(A7,'Point Allocation'!$A$46:$J$46,0),0)</f>
        <v>1.5</v>
      </c>
      <c r="G206" s="547"/>
      <c r="H206" s="405">
        <f>IF(G206&gt;=80%,F206,0)</f>
        <v>0</v>
      </c>
      <c r="R206" s="53"/>
      <c r="S206" s="45"/>
    </row>
    <row r="207" spans="1:19" s="29" customFormat="1" ht="15.6">
      <c r="A207" s="468">
        <v>5</v>
      </c>
      <c r="B207" s="122" t="s">
        <v>213</v>
      </c>
      <c r="C207" s="120"/>
      <c r="D207" s="126"/>
      <c r="E207" s="127"/>
      <c r="F207" s="127"/>
      <c r="G207" s="128"/>
      <c r="H207" s="471"/>
      <c r="R207" s="53"/>
      <c r="S207" s="45"/>
    </row>
    <row r="208" spans="1:19" s="29" customFormat="1">
      <c r="A208" s="411">
        <v>5.0999999999999996</v>
      </c>
      <c r="B208" s="826"/>
      <c r="C208" s="847"/>
      <c r="D208" s="530"/>
      <c r="E208" s="536"/>
      <c r="F208" s="536"/>
      <c r="G208" s="547"/>
      <c r="H208" s="542">
        <f>IF(G208&gt;=80%,F208,IF(G208&lt;65%,0,E208))</f>
        <v>0</v>
      </c>
      <c r="R208" s="53"/>
      <c r="S208" s="45"/>
    </row>
    <row r="209" spans="1:19" s="29" customFormat="1">
      <c r="A209" s="411">
        <v>5.2</v>
      </c>
      <c r="B209" s="826"/>
      <c r="C209" s="847"/>
      <c r="D209" s="530"/>
      <c r="E209" s="536"/>
      <c r="F209" s="536"/>
      <c r="G209" s="547"/>
      <c r="H209" s="542">
        <f>IF(G209&gt;=80%,F209,IF(G209&lt;65%,0,E209))</f>
        <v>0</v>
      </c>
      <c r="R209" s="53"/>
      <c r="S209" s="45"/>
    </row>
    <row r="210" spans="1:19" s="29" customFormat="1">
      <c r="A210" s="411">
        <v>5.3</v>
      </c>
      <c r="B210" s="826"/>
      <c r="C210" s="847"/>
      <c r="D210" s="530"/>
      <c r="E210" s="536"/>
      <c r="F210" s="536"/>
      <c r="G210" s="547"/>
      <c r="H210" s="542">
        <f>IF(G210&gt;=80%,F210,IF(G210&lt;65%,0,E210))</f>
        <v>0</v>
      </c>
      <c r="R210" s="53"/>
      <c r="S210" s="45"/>
    </row>
    <row r="211" spans="1:19" s="29" customFormat="1" ht="15.6">
      <c r="A211" s="412"/>
      <c r="B211" s="344"/>
      <c r="C211" s="344"/>
      <c r="D211" s="332"/>
      <c r="E211" s="332"/>
      <c r="F211" s="332"/>
      <c r="G211" s="330" t="s">
        <v>7</v>
      </c>
      <c r="H211" s="445">
        <f>IFERROR(SUM(H203:H206,H208:H210),0)</f>
        <v>0</v>
      </c>
      <c r="R211" s="53"/>
      <c r="S211" s="45"/>
    </row>
    <row r="212" spans="1:19" s="29" customFormat="1">
      <c r="A212" s="412"/>
      <c r="B212" s="325"/>
      <c r="C212" s="323"/>
      <c r="D212" s="323"/>
      <c r="E212" s="323"/>
      <c r="F212" s="323"/>
      <c r="G212" s="332"/>
      <c r="H212" s="388"/>
      <c r="R212" s="53"/>
      <c r="S212" s="45"/>
    </row>
    <row r="213" spans="1:19" s="29" customFormat="1" ht="15.6">
      <c r="A213" s="993" t="s">
        <v>0</v>
      </c>
      <c r="B213" s="994"/>
      <c r="C213" s="982"/>
      <c r="D213" s="894" t="s">
        <v>4</v>
      </c>
      <c r="E213" s="901" t="s">
        <v>1</v>
      </c>
      <c r="F213" s="901"/>
      <c r="G213" s="894" t="s">
        <v>21</v>
      </c>
      <c r="H213" s="887" t="s">
        <v>63</v>
      </c>
      <c r="R213" s="53"/>
      <c r="S213" s="45"/>
    </row>
    <row r="214" spans="1:19" s="29" customFormat="1" ht="31.2">
      <c r="A214" s="1007"/>
      <c r="B214" s="1008"/>
      <c r="C214" s="983"/>
      <c r="D214" s="901"/>
      <c r="E214" s="539" t="s">
        <v>65</v>
      </c>
      <c r="F214" s="539" t="s">
        <v>66</v>
      </c>
      <c r="G214" s="894"/>
      <c r="H214" s="887"/>
      <c r="R214" s="53"/>
      <c r="S214" s="45"/>
    </row>
    <row r="215" spans="1:19" s="29" customFormat="1" ht="15.6">
      <c r="A215" s="454" t="s">
        <v>273</v>
      </c>
      <c r="B215" s="109" t="s">
        <v>234</v>
      </c>
      <c r="C215" s="129"/>
      <c r="D215" s="130"/>
      <c r="E215" s="130"/>
      <c r="F215" s="131"/>
      <c r="G215" s="132"/>
      <c r="H215" s="472"/>
      <c r="R215" s="53"/>
      <c r="S215" s="45"/>
    </row>
    <row r="216" spans="1:19" s="29" customFormat="1" ht="15.6">
      <c r="A216" s="391" t="s">
        <v>199</v>
      </c>
      <c r="B216" s="844" t="s">
        <v>274</v>
      </c>
      <c r="C216" s="845"/>
      <c r="D216" s="98" t="s">
        <v>2</v>
      </c>
      <c r="E216" s="98">
        <v>1</v>
      </c>
      <c r="F216" s="98">
        <v>2</v>
      </c>
      <c r="G216" s="67"/>
      <c r="H216" s="437">
        <f>IF(G216&gt;=80%,F216,IF(G216&lt;65%,0,E216))</f>
        <v>0</v>
      </c>
      <c r="K216" s="135"/>
      <c r="R216" s="53"/>
      <c r="S216" s="45"/>
    </row>
    <row r="217" spans="1:19" s="29" customFormat="1" ht="31.5" customHeight="1">
      <c r="A217" s="473" t="s">
        <v>200</v>
      </c>
      <c r="B217" s="960" t="s">
        <v>275</v>
      </c>
      <c r="C217" s="962"/>
      <c r="D217" s="98" t="s">
        <v>51</v>
      </c>
      <c r="E217" s="98">
        <v>0.5</v>
      </c>
      <c r="F217" s="98">
        <v>1</v>
      </c>
      <c r="G217" s="67"/>
      <c r="H217" s="437">
        <f>IF(G217&gt;=80%,F217,IF(G217&lt;65%,0,E217))</f>
        <v>0</v>
      </c>
      <c r="R217" s="53"/>
      <c r="S217" s="45"/>
    </row>
    <row r="218" spans="1:19" s="29" customFormat="1" ht="15.6">
      <c r="A218" s="412"/>
      <c r="B218" s="325"/>
      <c r="C218" s="323"/>
      <c r="D218" s="323"/>
      <c r="E218" s="323"/>
      <c r="F218" s="326"/>
      <c r="G218" s="330" t="s">
        <v>110</v>
      </c>
      <c r="H218" s="474">
        <f>IFERROR(SUM(H216:H217),0)</f>
        <v>0</v>
      </c>
      <c r="R218" s="53"/>
      <c r="S218" s="45"/>
    </row>
    <row r="219" spans="1:19" s="29" customFormat="1">
      <c r="A219" s="412"/>
      <c r="B219" s="325"/>
      <c r="C219" s="323"/>
      <c r="D219" s="323"/>
      <c r="E219" s="323"/>
      <c r="F219" s="323"/>
      <c r="G219" s="332"/>
      <c r="H219" s="388"/>
      <c r="R219" s="53"/>
      <c r="S219" s="45"/>
    </row>
    <row r="220" spans="1:19" s="29" customFormat="1" ht="15.6">
      <c r="A220" s="412"/>
      <c r="B220" s="325"/>
      <c r="C220" s="323"/>
      <c r="D220" s="323"/>
      <c r="E220" s="323"/>
      <c r="F220" s="323"/>
      <c r="G220" s="330" t="s">
        <v>111</v>
      </c>
      <c r="H220" s="474">
        <f>IFERROR(MIN(SUM(H197+H211+H218),G185),0)</f>
        <v>0</v>
      </c>
      <c r="R220" s="53"/>
      <c r="S220" s="45"/>
    </row>
    <row r="221" spans="1:19" s="29" customFormat="1" ht="16.2" thickBot="1">
      <c r="A221" s="491"/>
      <c r="B221" s="492"/>
      <c r="C221" s="493"/>
      <c r="D221" s="493"/>
      <c r="E221" s="493"/>
      <c r="F221" s="493"/>
      <c r="G221" s="496"/>
      <c r="H221" s="495"/>
      <c r="R221" s="53"/>
      <c r="S221" s="45"/>
    </row>
    <row r="222" spans="1:19" s="29" customFormat="1" ht="15.6">
      <c r="A222" s="633" t="s">
        <v>137</v>
      </c>
      <c r="B222" s="634"/>
      <c r="C222" s="634"/>
      <c r="D222" s="634"/>
      <c r="E222" s="634"/>
      <c r="F222" s="635" t="s">
        <v>43</v>
      </c>
      <c r="G222" s="636">
        <v>20</v>
      </c>
      <c r="H222" s="637" t="s">
        <v>42</v>
      </c>
      <c r="R222" s="53"/>
      <c r="S222" s="45"/>
    </row>
    <row r="223" spans="1:19" s="29" customFormat="1" ht="15.6">
      <c r="A223" s="412"/>
      <c r="B223" s="347"/>
      <c r="C223" s="323"/>
      <c r="D223" s="323"/>
      <c r="E223" s="323"/>
      <c r="F223" s="323"/>
      <c r="G223" s="332"/>
      <c r="H223" s="388"/>
      <c r="R223" s="53"/>
      <c r="S223" s="45"/>
    </row>
    <row r="224" spans="1:19" s="29" customFormat="1" ht="33" customHeight="1">
      <c r="A224" s="1009" t="s">
        <v>0</v>
      </c>
      <c r="B224" s="1010"/>
      <c r="C224" s="136"/>
      <c r="D224" s="136"/>
      <c r="E224" s="137" t="s">
        <v>4</v>
      </c>
      <c r="F224" s="137" t="s">
        <v>70</v>
      </c>
      <c r="G224" s="138" t="s">
        <v>21</v>
      </c>
      <c r="H224" s="475" t="s">
        <v>63</v>
      </c>
      <c r="R224" s="53"/>
      <c r="S224" s="45"/>
    </row>
    <row r="225" spans="1:19" s="29" customFormat="1" ht="15.6">
      <c r="A225" s="454" t="s">
        <v>276</v>
      </c>
      <c r="B225" s="109" t="s">
        <v>277</v>
      </c>
      <c r="C225" s="110"/>
      <c r="D225" s="110"/>
      <c r="E225" s="110"/>
      <c r="F225" s="58"/>
      <c r="G225" s="139"/>
      <c r="H225" s="476"/>
      <c r="J225" s="134"/>
      <c r="R225" s="53"/>
      <c r="S225" s="45"/>
    </row>
    <row r="226" spans="1:19" s="29" customFormat="1" ht="15.6">
      <c r="A226" s="411">
        <v>1.1000000000000001</v>
      </c>
      <c r="B226" s="836" t="s">
        <v>123</v>
      </c>
      <c r="C226" s="837"/>
      <c r="D226" s="838"/>
      <c r="E226" s="167"/>
      <c r="F226" s="140"/>
      <c r="G226" s="141"/>
      <c r="H226" s="441">
        <f t="shared" ref="H226:H231" si="4">F226*G226</f>
        <v>0</v>
      </c>
      <c r="R226" s="53"/>
      <c r="S226" s="45"/>
    </row>
    <row r="227" spans="1:19" s="29" customFormat="1" ht="15.6">
      <c r="A227" s="406">
        <v>1.2</v>
      </c>
      <c r="B227" s="1004" t="s">
        <v>124</v>
      </c>
      <c r="C227" s="1005"/>
      <c r="D227" s="1006"/>
      <c r="E227" s="167"/>
      <c r="F227" s="140"/>
      <c r="G227" s="141"/>
      <c r="H227" s="441">
        <f t="shared" si="4"/>
        <v>0</v>
      </c>
      <c r="R227" s="53"/>
      <c r="S227" s="45"/>
    </row>
    <row r="228" spans="1:19" s="29" customFormat="1" ht="15.6">
      <c r="A228" s="411">
        <v>1.3</v>
      </c>
      <c r="B228" s="836" t="s">
        <v>115</v>
      </c>
      <c r="C228" s="837"/>
      <c r="D228" s="838"/>
      <c r="E228" s="167"/>
      <c r="F228" s="140"/>
      <c r="G228" s="141"/>
      <c r="H228" s="441">
        <f t="shared" si="4"/>
        <v>0</v>
      </c>
      <c r="R228" s="53"/>
      <c r="S228" s="45"/>
    </row>
    <row r="229" spans="1:19" s="29" customFormat="1" ht="15.6">
      <c r="A229" s="411">
        <v>1.4</v>
      </c>
      <c r="B229" s="836" t="s">
        <v>305</v>
      </c>
      <c r="C229" s="837"/>
      <c r="D229" s="838"/>
      <c r="E229" s="167"/>
      <c r="F229" s="140"/>
      <c r="G229" s="141"/>
      <c r="H229" s="441">
        <f t="shared" si="4"/>
        <v>0</v>
      </c>
      <c r="R229" s="53"/>
      <c r="S229" s="45"/>
    </row>
    <row r="230" spans="1:19" s="29" customFormat="1" ht="15.6">
      <c r="A230" s="411">
        <v>1.5</v>
      </c>
      <c r="B230" s="836"/>
      <c r="C230" s="837"/>
      <c r="D230" s="838"/>
      <c r="E230" s="167"/>
      <c r="F230" s="140"/>
      <c r="G230" s="141"/>
      <c r="H230" s="441">
        <f t="shared" si="4"/>
        <v>0</v>
      </c>
      <c r="R230" s="53"/>
      <c r="S230" s="45"/>
    </row>
    <row r="231" spans="1:19" s="29" customFormat="1" ht="15.6">
      <c r="A231" s="411">
        <v>1.6</v>
      </c>
      <c r="B231" s="836"/>
      <c r="C231" s="837"/>
      <c r="D231" s="838"/>
      <c r="E231" s="111"/>
      <c r="F231" s="142"/>
      <c r="G231" s="67"/>
      <c r="H231" s="441">
        <f t="shared" si="4"/>
        <v>0</v>
      </c>
      <c r="R231" s="53"/>
      <c r="S231" s="45"/>
    </row>
    <row r="232" spans="1:19" s="29" customFormat="1" ht="15.6">
      <c r="A232" s="454" t="s">
        <v>279</v>
      </c>
      <c r="B232" s="109" t="s">
        <v>278</v>
      </c>
      <c r="C232" s="110"/>
      <c r="D232" s="110"/>
      <c r="E232" s="110"/>
      <c r="F232" s="58"/>
      <c r="G232" s="139"/>
      <c r="H232" s="476"/>
      <c r="R232" s="53"/>
      <c r="S232" s="45"/>
    </row>
    <row r="233" spans="1:19" s="29" customFormat="1">
      <c r="A233" s="411">
        <v>2.1</v>
      </c>
      <c r="B233" s="1001" t="s">
        <v>138</v>
      </c>
      <c r="C233" s="1002"/>
      <c r="D233" s="1003"/>
      <c r="E233" s="157" t="s">
        <v>410</v>
      </c>
      <c r="F233" s="527">
        <v>2</v>
      </c>
      <c r="G233" s="528"/>
      <c r="H233" s="441">
        <f>IFERROR(VLOOKUP(E233,K234:L237,2,FALSE),0)</f>
        <v>0</v>
      </c>
      <c r="K233" s="29" t="s">
        <v>410</v>
      </c>
      <c r="L233" s="29">
        <v>0</v>
      </c>
      <c r="R233" s="53"/>
      <c r="S233" s="45"/>
    </row>
    <row r="234" spans="1:19" s="29" customFormat="1" ht="15.6">
      <c r="A234" s="412"/>
      <c r="B234" s="322"/>
      <c r="C234" s="323"/>
      <c r="D234" s="323"/>
      <c r="E234" s="323"/>
      <c r="F234" s="323"/>
      <c r="G234" s="330" t="s">
        <v>139</v>
      </c>
      <c r="H234" s="477">
        <f>IFERROR(MIN(SUM(H226:H233),G222),0)</f>
        <v>0</v>
      </c>
      <c r="K234" s="29" t="s">
        <v>406</v>
      </c>
      <c r="L234" s="29">
        <v>2</v>
      </c>
      <c r="R234" s="45"/>
      <c r="S234" s="45"/>
    </row>
    <row r="235" spans="1:19" s="29" customFormat="1">
      <c r="A235" s="412"/>
      <c r="B235" s="325"/>
      <c r="C235" s="323"/>
      <c r="D235" s="323"/>
      <c r="E235" s="323"/>
      <c r="F235" s="323"/>
      <c r="G235" s="332"/>
      <c r="H235" s="388"/>
      <c r="K235" s="29" t="s">
        <v>407</v>
      </c>
      <c r="L235" s="29">
        <v>2</v>
      </c>
      <c r="R235" s="45"/>
      <c r="S235" s="45"/>
    </row>
    <row r="236" spans="1:19" s="29" customFormat="1" ht="15.6">
      <c r="A236" s="412"/>
      <c r="B236" s="325"/>
      <c r="C236" s="323"/>
      <c r="D236" s="323"/>
      <c r="E236" s="323"/>
      <c r="F236" s="323"/>
      <c r="G236" s="330" t="s">
        <v>69</v>
      </c>
      <c r="H236" s="445">
        <f>IFERROR(H84+H183+H220+H234,0)</f>
        <v>0</v>
      </c>
      <c r="K236" s="29" t="s">
        <v>408</v>
      </c>
      <c r="L236" s="29">
        <v>2</v>
      </c>
      <c r="R236" s="45"/>
      <c r="S236" s="45"/>
    </row>
    <row r="237" spans="1:19" s="29" customFormat="1">
      <c r="A237" s="412"/>
      <c r="B237" s="325"/>
      <c r="C237" s="323"/>
      <c r="D237" s="323"/>
      <c r="E237" s="323"/>
      <c r="F237" s="323"/>
      <c r="G237" s="332"/>
      <c r="H237" s="388"/>
      <c r="K237" s="29" t="s">
        <v>409</v>
      </c>
      <c r="L237" s="29">
        <v>2</v>
      </c>
      <c r="R237" s="53"/>
      <c r="S237" s="45"/>
    </row>
    <row r="238" spans="1:19" s="29" customFormat="1" ht="15.75" customHeight="1">
      <c r="A238" s="412"/>
      <c r="B238" s="345" t="s">
        <v>37</v>
      </c>
      <c r="C238" s="332"/>
      <c r="D238" s="1013" t="s">
        <v>415</v>
      </c>
      <c r="E238" s="1013"/>
      <c r="F238" s="1013"/>
      <c r="G238" s="332"/>
      <c r="H238" s="478"/>
      <c r="R238" s="53"/>
      <c r="S238" s="45"/>
    </row>
    <row r="239" spans="1:19" s="29" customFormat="1" ht="15.6">
      <c r="A239" s="412"/>
      <c r="B239" s="346"/>
      <c r="C239" s="332"/>
      <c r="D239" s="1013"/>
      <c r="E239" s="1013"/>
      <c r="F239" s="1013"/>
      <c r="G239" s="332"/>
      <c r="H239" s="478"/>
      <c r="R239" s="53"/>
      <c r="S239" s="45"/>
    </row>
    <row r="240" spans="1:19" s="29" customFormat="1" ht="15.6">
      <c r="A240" s="479" t="s">
        <v>280</v>
      </c>
      <c r="B240" s="346" t="s">
        <v>100</v>
      </c>
      <c r="C240" s="369">
        <f>IFERROR(SUM(G29+G32+G34+G35+G44+G47),0)</f>
        <v>0</v>
      </c>
      <c r="D240" s="332" t="s">
        <v>284</v>
      </c>
      <c r="E240" s="141"/>
      <c r="F240" s="332" t="s">
        <v>285</v>
      </c>
      <c r="G240" s="144">
        <f>MIN(IFERROR(SUM(C240+E240),0),100%)</f>
        <v>0</v>
      </c>
      <c r="H240" s="388"/>
      <c r="M240" s="53"/>
      <c r="N240" s="45"/>
    </row>
    <row r="241" spans="1:19" s="29" customFormat="1" ht="15.6">
      <c r="A241" s="479" t="s">
        <v>281</v>
      </c>
      <c r="B241" s="346" t="s">
        <v>101</v>
      </c>
      <c r="C241" s="369">
        <f>IFERROR(SUM(F19+G91+G93+G95+G98+G101+G102+G103+G104+G105),0)</f>
        <v>0</v>
      </c>
      <c r="D241" s="332" t="s">
        <v>284</v>
      </c>
      <c r="E241" s="141"/>
      <c r="F241" s="332" t="s">
        <v>285</v>
      </c>
      <c r="G241" s="144">
        <f t="shared" ref="G241:G242" si="5">MIN(IFERROR(SUM(C241+E241),0),100%)</f>
        <v>0</v>
      </c>
      <c r="H241" s="388"/>
      <c r="M241" s="53"/>
      <c r="N241" s="45"/>
    </row>
    <row r="242" spans="1:19" s="29" customFormat="1" ht="15.6">
      <c r="A242" s="479" t="s">
        <v>282</v>
      </c>
      <c r="B242" s="346" t="s">
        <v>102</v>
      </c>
      <c r="C242" s="369">
        <f>IFERROR(G197,0)</f>
        <v>0</v>
      </c>
      <c r="D242" s="332" t="s">
        <v>284</v>
      </c>
      <c r="E242" s="141"/>
      <c r="F242" s="303" t="s">
        <v>285</v>
      </c>
      <c r="G242" s="144">
        <f t="shared" si="5"/>
        <v>0</v>
      </c>
      <c r="H242" s="283"/>
      <c r="I242" s="3"/>
      <c r="J242" s="3"/>
      <c r="K242" s="3"/>
      <c r="L242" s="3"/>
      <c r="M242" s="53"/>
      <c r="N242" s="45"/>
    </row>
    <row r="243" spans="1:19" s="29" customFormat="1" ht="15.6" thickBot="1">
      <c r="A243" s="491"/>
      <c r="B243" s="492"/>
      <c r="C243" s="493"/>
      <c r="D243" s="493"/>
      <c r="E243" s="493"/>
      <c r="F243" s="493"/>
      <c r="G243" s="638"/>
      <c r="H243" s="639"/>
      <c r="K243" s="3"/>
      <c r="L243" s="3"/>
      <c r="M243" s="3"/>
      <c r="N243" s="3"/>
      <c r="O243" s="3"/>
      <c r="P243" s="3"/>
      <c r="Q243" s="3"/>
      <c r="R243" s="53"/>
      <c r="S243" s="45"/>
    </row>
    <row r="244" spans="1:19" s="29" customFormat="1">
      <c r="A244" s="174"/>
      <c r="B244" s="3"/>
      <c r="C244" s="3"/>
      <c r="D244" s="3"/>
      <c r="E244" s="3"/>
      <c r="F244" s="3"/>
      <c r="G244" s="10"/>
      <c r="H244" s="3"/>
      <c r="K244" s="3"/>
      <c r="L244" s="3"/>
      <c r="M244" s="3"/>
      <c r="N244" s="3"/>
      <c r="O244" s="3"/>
      <c r="P244" s="3"/>
      <c r="Q244" s="3"/>
      <c r="R244" s="53"/>
      <c r="S244" s="45"/>
    </row>
    <row r="245" spans="1:19" s="29" customFormat="1">
      <c r="A245" s="174"/>
      <c r="B245" s="3"/>
      <c r="C245" s="3"/>
      <c r="D245" s="3"/>
      <c r="E245" s="3"/>
      <c r="F245" s="3"/>
      <c r="G245" s="10"/>
      <c r="H245" s="3"/>
      <c r="K245" s="3"/>
      <c r="L245" s="3"/>
      <c r="M245" s="3"/>
      <c r="N245" s="3"/>
      <c r="O245" s="3"/>
      <c r="P245" s="3"/>
      <c r="Q245" s="3"/>
      <c r="R245" s="53"/>
      <c r="S245" s="45"/>
    </row>
    <row r="246" spans="1:19" s="29" customFormat="1">
      <c r="A246" s="174"/>
      <c r="B246" s="3"/>
      <c r="C246" s="3"/>
      <c r="D246" s="3"/>
      <c r="E246" s="3"/>
      <c r="F246" s="3"/>
      <c r="G246" s="10"/>
      <c r="H246" s="3"/>
      <c r="K246" s="3"/>
      <c r="L246" s="3"/>
      <c r="M246" s="3"/>
      <c r="N246" s="3"/>
      <c r="O246" s="3"/>
      <c r="P246" s="3"/>
      <c r="Q246" s="3"/>
      <c r="R246" s="53"/>
      <c r="S246" s="45"/>
    </row>
    <row r="247" spans="1:19" s="29" customFormat="1">
      <c r="A247" s="174"/>
      <c r="B247" s="3"/>
      <c r="C247" s="3"/>
      <c r="D247" s="3"/>
      <c r="E247" s="3"/>
      <c r="F247" s="3"/>
      <c r="G247" s="10"/>
      <c r="H247" s="3"/>
      <c r="K247" s="3"/>
      <c r="L247" s="3"/>
      <c r="M247" s="3"/>
      <c r="N247" s="3"/>
      <c r="O247" s="3"/>
      <c r="P247" s="3"/>
      <c r="Q247" s="3"/>
      <c r="R247" s="45"/>
      <c r="S247" s="45"/>
    </row>
    <row r="248" spans="1:19" s="29" customFormat="1">
      <c r="A248" s="174"/>
      <c r="B248" s="3"/>
      <c r="C248" s="3"/>
      <c r="D248" s="3"/>
      <c r="E248" s="3"/>
      <c r="F248" s="3"/>
      <c r="G248" s="10"/>
      <c r="H248" s="3"/>
      <c r="K248" s="3"/>
      <c r="L248" s="3"/>
      <c r="M248" s="3"/>
      <c r="N248" s="3"/>
      <c r="O248" s="3"/>
      <c r="P248" s="3"/>
      <c r="Q248" s="3"/>
      <c r="R248" s="45"/>
      <c r="S248" s="45"/>
    </row>
    <row r="249" spans="1:19" s="29" customFormat="1">
      <c r="A249" s="174"/>
      <c r="B249" s="3"/>
      <c r="C249" s="3"/>
      <c r="D249" s="3"/>
      <c r="E249" s="3"/>
      <c r="F249" s="3"/>
      <c r="G249" s="10"/>
      <c r="H249" s="3"/>
      <c r="K249" s="3"/>
      <c r="L249" s="3"/>
      <c r="M249" s="3"/>
      <c r="N249" s="3"/>
      <c r="O249" s="3"/>
      <c r="P249" s="3"/>
      <c r="Q249" s="3"/>
      <c r="R249" s="45"/>
      <c r="S249" s="45"/>
    </row>
    <row r="250" spans="1:19" s="29" customFormat="1">
      <c r="A250" s="174"/>
      <c r="B250" s="3"/>
      <c r="C250" s="3"/>
      <c r="D250" s="3"/>
      <c r="E250" s="3"/>
      <c r="F250" s="3"/>
      <c r="G250" s="10"/>
      <c r="H250" s="3"/>
      <c r="K250" s="3"/>
      <c r="L250" s="3"/>
      <c r="M250" s="3"/>
      <c r="N250" s="3"/>
      <c r="O250" s="3"/>
      <c r="P250" s="3"/>
      <c r="Q250" s="3"/>
      <c r="R250" s="45"/>
      <c r="S250" s="45"/>
    </row>
  </sheetData>
  <sheetProtection algorithmName="SHA-512" hashValue="XfzEikynFBAJXgZHc9Sf9YyNNi8QycnwHJxRiluUJINBo6aEaFPNy70LSdrSlbrcI7u1kWnx00HDj7kh4lX4Rw==" saltValue="Ij1r4k3DA8XJHGYTypNSHA==" spinCount="100000" sheet="1" selectLockedCells="1"/>
  <mergeCells count="228">
    <mergeCell ref="B233:D233"/>
    <mergeCell ref="D238:F239"/>
    <mergeCell ref="B178:C178"/>
    <mergeCell ref="E180:F180"/>
    <mergeCell ref="A187:B187"/>
    <mergeCell ref="B190:C190"/>
    <mergeCell ref="B192:C192"/>
    <mergeCell ref="B194:C194"/>
    <mergeCell ref="A199:B200"/>
    <mergeCell ref="C199:C200"/>
    <mergeCell ref="D199:D200"/>
    <mergeCell ref="E199:F199"/>
    <mergeCell ref="B195:C195"/>
    <mergeCell ref="B196:C196"/>
    <mergeCell ref="B179:C179"/>
    <mergeCell ref="B180:C180"/>
    <mergeCell ref="A213:B214"/>
    <mergeCell ref="C213:C214"/>
    <mergeCell ref="D213:D214"/>
    <mergeCell ref="E213:F213"/>
    <mergeCell ref="B226:D226"/>
    <mergeCell ref="A167:A168"/>
    <mergeCell ref="D167:D168"/>
    <mergeCell ref="E167:E168"/>
    <mergeCell ref="F167:F168"/>
    <mergeCell ref="G167:G168"/>
    <mergeCell ref="H167:H168"/>
    <mergeCell ref="B170:C170"/>
    <mergeCell ref="A175:B176"/>
    <mergeCell ref="C175:C176"/>
    <mergeCell ref="D175:D176"/>
    <mergeCell ref="E175:F175"/>
    <mergeCell ref="G175:G176"/>
    <mergeCell ref="H175:H176"/>
    <mergeCell ref="B167:C167"/>
    <mergeCell ref="A158:A159"/>
    <mergeCell ref="B158:C159"/>
    <mergeCell ref="B162:C162"/>
    <mergeCell ref="A165:A166"/>
    <mergeCell ref="B165:C165"/>
    <mergeCell ref="D165:D166"/>
    <mergeCell ref="E165:E166"/>
    <mergeCell ref="F165:F166"/>
    <mergeCell ref="G165:G166"/>
    <mergeCell ref="B163:C163"/>
    <mergeCell ref="B160:C160"/>
    <mergeCell ref="B166:C166"/>
    <mergeCell ref="B129:C129"/>
    <mergeCell ref="B133:C133"/>
    <mergeCell ref="A140:B140"/>
    <mergeCell ref="F140:G140"/>
    <mergeCell ref="D142:D143"/>
    <mergeCell ref="E142:E143"/>
    <mergeCell ref="F142:G142"/>
    <mergeCell ref="A146:B147"/>
    <mergeCell ref="C146:C147"/>
    <mergeCell ref="D146:D147"/>
    <mergeCell ref="E146:F146"/>
    <mergeCell ref="G146:G147"/>
    <mergeCell ref="B130:C130"/>
    <mergeCell ref="B137:C137"/>
    <mergeCell ref="F143:G143"/>
    <mergeCell ref="B134:C134"/>
    <mergeCell ref="B135:C135"/>
    <mergeCell ref="B136:C136"/>
    <mergeCell ref="A126:A127"/>
    <mergeCell ref="B126:C126"/>
    <mergeCell ref="D126:D127"/>
    <mergeCell ref="E126:E127"/>
    <mergeCell ref="F126:F127"/>
    <mergeCell ref="G126:G127"/>
    <mergeCell ref="H126:H127"/>
    <mergeCell ref="B127:C127"/>
    <mergeCell ref="A122:A123"/>
    <mergeCell ref="B124:C124"/>
    <mergeCell ref="B101:D101"/>
    <mergeCell ref="R101:R102"/>
    <mergeCell ref="B108:D108"/>
    <mergeCell ref="B122:C122"/>
    <mergeCell ref="D122:D123"/>
    <mergeCell ref="E122:E123"/>
    <mergeCell ref="F122:F123"/>
    <mergeCell ref="G122:G123"/>
    <mergeCell ref="H122:H123"/>
    <mergeCell ref="B105:D105"/>
    <mergeCell ref="B110:D110"/>
    <mergeCell ref="B114:D114"/>
    <mergeCell ref="B102:D102"/>
    <mergeCell ref="B123:C123"/>
    <mergeCell ref="B103:D103"/>
    <mergeCell ref="B104:D104"/>
    <mergeCell ref="B113:D113"/>
    <mergeCell ref="B109:D109"/>
    <mergeCell ref="B112:D112"/>
    <mergeCell ref="B120:C120"/>
    <mergeCell ref="E58:F58"/>
    <mergeCell ref="G58:G59"/>
    <mergeCell ref="H58:H59"/>
    <mergeCell ref="B64:C64"/>
    <mergeCell ref="D66:D69"/>
    <mergeCell ref="B74:C74"/>
    <mergeCell ref="B94:D94"/>
    <mergeCell ref="B95:D95"/>
    <mergeCell ref="B65:C65"/>
    <mergeCell ref="E71:F71"/>
    <mergeCell ref="B75:C75"/>
    <mergeCell ref="B80:C80"/>
    <mergeCell ref="B70:C70"/>
    <mergeCell ref="B71:C71"/>
    <mergeCell ref="B73:C73"/>
    <mergeCell ref="B77:C77"/>
    <mergeCell ref="B79:C79"/>
    <mergeCell ref="B91:D91"/>
    <mergeCell ref="B93:D93"/>
    <mergeCell ref="E93:E94"/>
    <mergeCell ref="B81:C81"/>
    <mergeCell ref="H29:H30"/>
    <mergeCell ref="B30:D30"/>
    <mergeCell ref="B32:D32"/>
    <mergeCell ref="B34:D34"/>
    <mergeCell ref="A35:A36"/>
    <mergeCell ref="B35:D36"/>
    <mergeCell ref="E35:E36"/>
    <mergeCell ref="H35:H36"/>
    <mergeCell ref="E37:E42"/>
    <mergeCell ref="H37:H42"/>
    <mergeCell ref="B42:D42"/>
    <mergeCell ref="B41:D41"/>
    <mergeCell ref="B38:D38"/>
    <mergeCell ref="B46:D46"/>
    <mergeCell ref="B54:D54"/>
    <mergeCell ref="B44:D44"/>
    <mergeCell ref="B45:D45"/>
    <mergeCell ref="B53:D53"/>
    <mergeCell ref="B39:D39"/>
    <mergeCell ref="B37:D37"/>
    <mergeCell ref="B40:D40"/>
    <mergeCell ref="B69:C69"/>
    <mergeCell ref="B61:C61"/>
    <mergeCell ref="B67:C67"/>
    <mergeCell ref="B62:C62"/>
    <mergeCell ref="B66:C66"/>
    <mergeCell ref="B68:C68"/>
    <mergeCell ref="B63:C63"/>
    <mergeCell ref="B55:D55"/>
    <mergeCell ref="A58:B59"/>
    <mergeCell ref="D58:D59"/>
    <mergeCell ref="B47:D47"/>
    <mergeCell ref="B51:D51"/>
    <mergeCell ref="B50:D50"/>
    <mergeCell ref="A4:B4"/>
    <mergeCell ref="D7:G7"/>
    <mergeCell ref="A7:B7"/>
    <mergeCell ref="B29:D29"/>
    <mergeCell ref="B20:C20"/>
    <mergeCell ref="B21:C21"/>
    <mergeCell ref="B22:C22"/>
    <mergeCell ref="D11:D12"/>
    <mergeCell ref="E11:E12"/>
    <mergeCell ref="F11:F12"/>
    <mergeCell ref="B14:C14"/>
    <mergeCell ref="B15:C15"/>
    <mergeCell ref="A29:A30"/>
    <mergeCell ref="E29:E30"/>
    <mergeCell ref="F29:F30"/>
    <mergeCell ref="G29:G30"/>
    <mergeCell ref="A11:B12"/>
    <mergeCell ref="B17:C17"/>
    <mergeCell ref="B19:C19"/>
    <mergeCell ref="B16:C16"/>
    <mergeCell ref="B96:D96"/>
    <mergeCell ref="B99:D99"/>
    <mergeCell ref="F93:F94"/>
    <mergeCell ref="G93:G94"/>
    <mergeCell ref="H93:H94"/>
    <mergeCell ref="A95:A96"/>
    <mergeCell ref="E95:E96"/>
    <mergeCell ref="F95:F96"/>
    <mergeCell ref="G95:G96"/>
    <mergeCell ref="H95:H96"/>
    <mergeCell ref="A93:A94"/>
    <mergeCell ref="A98:A99"/>
    <mergeCell ref="B98:D98"/>
    <mergeCell ref="E98:E99"/>
    <mergeCell ref="F98:F99"/>
    <mergeCell ref="G98:G99"/>
    <mergeCell ref="H98:H99"/>
    <mergeCell ref="B151:C151"/>
    <mergeCell ref="E153:F153"/>
    <mergeCell ref="E154:F154"/>
    <mergeCell ref="H146:H147"/>
    <mergeCell ref="B150:C150"/>
    <mergeCell ref="A152:A153"/>
    <mergeCell ref="B152:C153"/>
    <mergeCell ref="E152:F152"/>
    <mergeCell ref="G152:G153"/>
    <mergeCell ref="H152:H153"/>
    <mergeCell ref="A154:A157"/>
    <mergeCell ref="B154:C157"/>
    <mergeCell ref="G154:G157"/>
    <mergeCell ref="E156:F156"/>
    <mergeCell ref="E157:F157"/>
    <mergeCell ref="E155:F155"/>
    <mergeCell ref="H154:H157"/>
    <mergeCell ref="G213:G214"/>
    <mergeCell ref="H213:H214"/>
    <mergeCell ref="B217:C217"/>
    <mergeCell ref="B228:D228"/>
    <mergeCell ref="B230:D230"/>
    <mergeCell ref="B231:D231"/>
    <mergeCell ref="B229:D229"/>
    <mergeCell ref="I154:I158"/>
    <mergeCell ref="B171:C171"/>
    <mergeCell ref="B172:C172"/>
    <mergeCell ref="B168:C168"/>
    <mergeCell ref="B209:C209"/>
    <mergeCell ref="B210:C210"/>
    <mergeCell ref="B205:C205"/>
    <mergeCell ref="B206:C206"/>
    <mergeCell ref="B204:C204"/>
    <mergeCell ref="H199:H200"/>
    <mergeCell ref="B203:C203"/>
    <mergeCell ref="B208:C208"/>
    <mergeCell ref="G199:G200"/>
    <mergeCell ref="H165:H166"/>
    <mergeCell ref="B216:C216"/>
    <mergeCell ref="A224:B224"/>
    <mergeCell ref="B227:D227"/>
  </mergeCells>
  <dataValidations count="3">
    <dataValidation type="list" allowBlank="1" showInputMessage="1" showErrorMessage="1" sqref="A7" xr:uid="{5ED6EAE7-031E-4ABE-B11A-9BDB49D57706}">
      <formula1>$K$1:$K$7</formula1>
    </dataValidation>
    <dataValidation type="list" allowBlank="1" showInputMessage="1" showErrorMessage="1" sqref="E233" xr:uid="{DCD69A52-C6A2-4F10-8274-CCB1366CC8CF}">
      <formula1>$K$233:$K$237</formula1>
    </dataValidation>
    <dataValidation type="list" allowBlank="1" showInputMessage="1" showErrorMessage="1" sqref="F143:G143" xr:uid="{3BC6CFBF-44D0-4F46-9C27-D870EA8B8DDF}">
      <formula1>$L$140:$Q$140</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73"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77" t="s">
        <v>90</v>
      </c>
      <c r="B1" s="378"/>
      <c r="C1" s="378"/>
      <c r="D1" s="378"/>
      <c r="E1" s="378"/>
      <c r="F1" s="378"/>
      <c r="G1" s="378"/>
      <c r="H1" s="379"/>
      <c r="K1" s="3" t="s">
        <v>41</v>
      </c>
    </row>
    <row r="2" spans="1:16">
      <c r="A2" s="380"/>
      <c r="B2" s="281"/>
      <c r="C2" s="281"/>
      <c r="D2" s="281"/>
      <c r="E2" s="281"/>
      <c r="F2" s="281"/>
      <c r="G2" s="282"/>
      <c r="H2" s="283"/>
      <c r="J2" s="6"/>
      <c r="K2" s="6" t="s">
        <v>428</v>
      </c>
    </row>
    <row r="3" spans="1:16" ht="15.6">
      <c r="A3" s="381" t="s">
        <v>378</v>
      </c>
      <c r="B3" s="281"/>
      <c r="C3" s="281"/>
      <c r="D3" s="349" t="s">
        <v>143</v>
      </c>
      <c r="E3" s="349" t="s">
        <v>144</v>
      </c>
      <c r="F3" s="349" t="s">
        <v>145</v>
      </c>
      <c r="G3" s="306" t="s">
        <v>105</v>
      </c>
      <c r="H3" s="292" t="s">
        <v>63</v>
      </c>
      <c r="J3" s="6"/>
      <c r="K3" s="6" t="s">
        <v>45</v>
      </c>
    </row>
    <row r="4" spans="1:16" ht="15.6">
      <c r="A4" s="862">
        <f>Summary!A6</f>
        <v>0</v>
      </c>
      <c r="B4" s="863"/>
      <c r="C4" s="281"/>
      <c r="D4" s="78">
        <f>H84</f>
        <v>0</v>
      </c>
      <c r="E4" s="166">
        <f>H183</f>
        <v>0</v>
      </c>
      <c r="F4" s="133">
        <f>H220</f>
        <v>0</v>
      </c>
      <c r="G4" s="143">
        <f>H234</f>
        <v>0</v>
      </c>
      <c r="H4" s="382">
        <f>H236</f>
        <v>0</v>
      </c>
      <c r="J4" s="6"/>
      <c r="K4" s="6" t="s">
        <v>15</v>
      </c>
    </row>
    <row r="5" spans="1:16">
      <c r="A5" s="380"/>
      <c r="B5" s="281"/>
      <c r="C5" s="281"/>
      <c r="D5" s="281"/>
      <c r="E5" s="281"/>
      <c r="F5" s="281"/>
      <c r="G5" s="282"/>
      <c r="H5" s="283"/>
      <c r="J5" s="6"/>
      <c r="K5" s="6" t="s">
        <v>16</v>
      </c>
    </row>
    <row r="6" spans="1:16" s="4" customFormat="1" ht="15.6">
      <c r="A6" s="381" t="s">
        <v>91</v>
      </c>
      <c r="B6" s="313"/>
      <c r="C6" s="313"/>
      <c r="D6" s="314" t="s">
        <v>35</v>
      </c>
      <c r="E6" s="281"/>
      <c r="F6" s="281"/>
      <c r="G6" s="282"/>
      <c r="H6" s="283"/>
      <c r="J6" s="6"/>
      <c r="K6" s="6" t="s">
        <v>427</v>
      </c>
      <c r="L6" s="3"/>
      <c r="M6" s="3"/>
      <c r="N6" s="3"/>
    </row>
    <row r="7" spans="1:16" ht="15.75" customHeight="1">
      <c r="A7" s="842" t="s">
        <v>428</v>
      </c>
      <c r="B7" s="843"/>
      <c r="D7" s="835">
        <f>Summary!A80</f>
        <v>0</v>
      </c>
      <c r="E7" s="785"/>
      <c r="F7" s="785"/>
      <c r="G7" s="786"/>
      <c r="H7" s="383"/>
      <c r="J7" s="29"/>
      <c r="K7" s="29" t="s">
        <v>426</v>
      </c>
    </row>
    <row r="8" spans="1:16" ht="15.6" thickBot="1">
      <c r="A8" s="380"/>
      <c r="B8" s="315"/>
      <c r="C8" s="281"/>
      <c r="D8" s="281"/>
      <c r="E8" s="281"/>
      <c r="F8" s="281"/>
      <c r="G8" s="282"/>
      <c r="H8" s="283"/>
    </row>
    <row r="9" spans="1:16" ht="16.2" thickBot="1">
      <c r="A9" s="384" t="s">
        <v>126</v>
      </c>
      <c r="B9" s="145"/>
      <c r="C9" s="145"/>
      <c r="D9" s="145"/>
      <c r="E9" s="145"/>
      <c r="F9" s="146"/>
      <c r="G9" s="16"/>
      <c r="H9" s="385"/>
    </row>
    <row r="10" spans="1:16">
      <c r="A10" s="380"/>
      <c r="B10" s="316"/>
      <c r="C10" s="281"/>
      <c r="D10" s="281"/>
      <c r="E10" s="281"/>
      <c r="F10" s="281"/>
      <c r="G10" s="282"/>
      <c r="H10" s="283"/>
    </row>
    <row r="11" spans="1:16" ht="15.75" customHeight="1">
      <c r="A11" s="963" t="s">
        <v>0</v>
      </c>
      <c r="B11" s="964"/>
      <c r="C11" s="153"/>
      <c r="D11" s="985" t="s">
        <v>4</v>
      </c>
      <c r="E11" s="984" t="s">
        <v>81</v>
      </c>
      <c r="F11" s="984" t="s">
        <v>21</v>
      </c>
      <c r="G11" s="317"/>
      <c r="H11" s="386"/>
    </row>
    <row r="12" spans="1:16" ht="15.75" customHeight="1">
      <c r="A12" s="965"/>
      <c r="B12" s="966"/>
      <c r="C12" s="154"/>
      <c r="D12" s="986"/>
      <c r="E12" s="984"/>
      <c r="F12" s="984"/>
      <c r="G12" s="317"/>
      <c r="H12" s="386"/>
    </row>
    <row r="13" spans="1:16" s="29" customFormat="1" ht="15.6">
      <c r="A13" s="387" t="s">
        <v>128</v>
      </c>
      <c r="B13" s="180"/>
      <c r="C13" s="180"/>
      <c r="D13" s="180"/>
      <c r="E13" s="183"/>
      <c r="F13" s="183"/>
      <c r="G13" s="318"/>
      <c r="H13" s="388"/>
      <c r="O13" s="45"/>
      <c r="P13" s="45"/>
    </row>
    <row r="14" spans="1:16">
      <c r="A14" s="389">
        <v>1</v>
      </c>
      <c r="B14" s="987" t="s">
        <v>287</v>
      </c>
      <c r="C14" s="851"/>
      <c r="D14" s="149" t="s">
        <v>2</v>
      </c>
      <c r="E14" s="54" t="s">
        <v>50</v>
      </c>
      <c r="F14" s="30"/>
      <c r="G14" s="278"/>
      <c r="H14" s="304"/>
      <c r="I14" s="148" t="s">
        <v>143</v>
      </c>
      <c r="K14" s="152" t="str">
        <f>IF(F14&lt;65%,"Min. 65% coverage"," ")</f>
        <v>Min. 65% coverage</v>
      </c>
    </row>
    <row r="15" spans="1:16" ht="30.75" customHeight="1">
      <c r="A15" s="389">
        <v>2</v>
      </c>
      <c r="B15" s="987" t="s">
        <v>376</v>
      </c>
      <c r="C15" s="851"/>
      <c r="D15" s="150" t="s">
        <v>51</v>
      </c>
      <c r="E15" s="31" t="s">
        <v>50</v>
      </c>
      <c r="F15" s="547"/>
      <c r="G15" s="278"/>
      <c r="H15" s="283"/>
      <c r="I15" s="148" t="s">
        <v>144</v>
      </c>
      <c r="K15" s="152" t="str">
        <f>IF(F15&lt;65%,"Min. 80% coverage"," ")</f>
        <v>Min. 80% coverage</v>
      </c>
    </row>
    <row r="16" spans="1:16" ht="15" customHeight="1">
      <c r="A16" s="389">
        <v>3</v>
      </c>
      <c r="B16" s="987" t="s">
        <v>375</v>
      </c>
      <c r="C16" s="851"/>
      <c r="D16" s="150" t="s">
        <v>51</v>
      </c>
      <c r="E16" s="31" t="s">
        <v>50</v>
      </c>
      <c r="F16" s="547"/>
      <c r="G16" s="278"/>
      <c r="H16" s="386"/>
      <c r="I16" s="3" t="s">
        <v>143</v>
      </c>
      <c r="K16" s="152" t="str">
        <f>IF(F16&lt;65%,"Min. 65% coverage"," ")</f>
        <v>Min. 65% coverage</v>
      </c>
    </row>
    <row r="17" spans="1:19">
      <c r="A17" s="389">
        <v>4</v>
      </c>
      <c r="B17" s="886" t="s">
        <v>191</v>
      </c>
      <c r="C17" s="884"/>
      <c r="D17" s="147" t="s">
        <v>3</v>
      </c>
      <c r="E17" s="31" t="s">
        <v>50</v>
      </c>
      <c r="F17" s="547"/>
      <c r="G17" s="278"/>
      <c r="H17" s="386"/>
      <c r="I17" s="3" t="s">
        <v>145</v>
      </c>
      <c r="K17" s="152" t="str">
        <f>IF(F17&lt;65%,"Min. 65% coverage"," ")</f>
        <v>Min. 65% coverage</v>
      </c>
    </row>
    <row r="18" spans="1:19" s="29" customFormat="1" ht="15.6">
      <c r="A18" s="390" t="s">
        <v>127</v>
      </c>
      <c r="B18" s="180"/>
      <c r="C18" s="180"/>
      <c r="D18" s="180"/>
      <c r="E18" s="181"/>
      <c r="F18" s="182"/>
      <c r="G18" s="319"/>
      <c r="H18" s="388"/>
      <c r="K18" s="10"/>
      <c r="O18" s="45"/>
      <c r="P18" s="45"/>
    </row>
    <row r="19" spans="1:19" ht="32.25" customHeight="1">
      <c r="A19" s="391">
        <v>5</v>
      </c>
      <c r="B19" s="873" t="s">
        <v>288</v>
      </c>
      <c r="C19" s="989"/>
      <c r="D19" s="151" t="s">
        <v>3</v>
      </c>
      <c r="E19" s="536"/>
      <c r="F19" s="31">
        <f>IFERROR(E19/$F$115,0)</f>
        <v>0</v>
      </c>
      <c r="G19" s="278"/>
      <c r="H19" s="386"/>
      <c r="I19" s="3" t="s">
        <v>144</v>
      </c>
      <c r="K19" s="152" t="str">
        <f>IF($A$7=$K$2,IF(E19=0,"Please input wall length"," ")," ")</f>
        <v>Please input wall length</v>
      </c>
    </row>
    <row r="20" spans="1:19">
      <c r="A20" s="391">
        <v>6</v>
      </c>
      <c r="B20" s="987" t="s">
        <v>289</v>
      </c>
      <c r="C20" s="851"/>
      <c r="D20" s="190" t="s">
        <v>51</v>
      </c>
      <c r="E20" s="31" t="s">
        <v>50</v>
      </c>
      <c r="F20" s="30"/>
      <c r="G20" s="278"/>
      <c r="H20" s="386"/>
      <c r="I20" s="3" t="s">
        <v>144</v>
      </c>
      <c r="K20" s="152" t="str">
        <f>IF($A$7=$K$2,IF(F20&lt;65%,"Min. 65% coverage"," ")," ")</f>
        <v>Min. 65% coverage</v>
      </c>
    </row>
    <row r="21" spans="1:19">
      <c r="A21" s="391">
        <v>7</v>
      </c>
      <c r="B21" s="886" t="s">
        <v>306</v>
      </c>
      <c r="C21" s="884"/>
      <c r="D21" s="150" t="s">
        <v>51</v>
      </c>
      <c r="E21" s="31" t="s">
        <v>50</v>
      </c>
      <c r="F21" s="547"/>
      <c r="G21" s="278"/>
      <c r="H21" s="386"/>
      <c r="I21" s="3" t="s">
        <v>143</v>
      </c>
      <c r="K21" s="152" t="str">
        <f>IF($A$7=$K$2,IF(F21&lt;65%,"Min. 65% coverage"," ")," ")</f>
        <v>Min. 65% coverage</v>
      </c>
    </row>
    <row r="22" spans="1:19">
      <c r="A22" s="391" t="s">
        <v>308</v>
      </c>
      <c r="B22" s="886" t="s">
        <v>307</v>
      </c>
      <c r="C22" s="884"/>
      <c r="D22" s="150" t="s">
        <v>51</v>
      </c>
      <c r="E22" s="31" t="s">
        <v>50</v>
      </c>
      <c r="F22" s="547"/>
      <c r="G22" s="278"/>
      <c r="H22" s="386"/>
      <c r="K22" s="152"/>
    </row>
    <row r="23" spans="1:19">
      <c r="A23" s="380"/>
      <c r="B23" s="281"/>
      <c r="C23" s="281"/>
      <c r="D23" s="281"/>
      <c r="E23" s="281"/>
      <c r="F23" s="281"/>
      <c r="G23" s="282"/>
      <c r="H23" s="283"/>
      <c r="K23" s="6"/>
    </row>
    <row r="24" spans="1:19" ht="15.6">
      <c r="A24" s="392" t="s">
        <v>44</v>
      </c>
      <c r="B24" s="169"/>
      <c r="C24" s="169"/>
      <c r="D24" s="169"/>
      <c r="E24" s="169"/>
      <c r="F24" s="170" t="s">
        <v>43</v>
      </c>
      <c r="G24" s="171">
        <f>VLOOKUP($A$7,'Manpower allocation'!A4:D11,2,FALSE)*100</f>
        <v>45</v>
      </c>
      <c r="H24" s="393" t="s">
        <v>42</v>
      </c>
      <c r="J24" s="497">
        <f>VLOOKUP($A$7,'Manpower allocation'!A4:D11,2,FALSE)*100</f>
        <v>45</v>
      </c>
      <c r="K24" s="6"/>
    </row>
    <row r="25" spans="1:19" ht="15.6">
      <c r="A25" s="380"/>
      <c r="B25" s="320"/>
      <c r="C25" s="321"/>
      <c r="D25" s="281"/>
      <c r="E25" s="281"/>
      <c r="F25" s="281"/>
      <c r="G25" s="282"/>
      <c r="H25" s="283"/>
      <c r="K25" s="6"/>
    </row>
    <row r="26" spans="1:19" s="29" customFormat="1" ht="46.8">
      <c r="A26" s="394" t="s">
        <v>0</v>
      </c>
      <c r="B26" s="41"/>
      <c r="C26" s="41"/>
      <c r="D26" s="42"/>
      <c r="E26" s="43" t="s">
        <v>17</v>
      </c>
      <c r="F26" s="43" t="s">
        <v>114</v>
      </c>
      <c r="G26" s="43" t="s">
        <v>18</v>
      </c>
      <c r="H26" s="395" t="s">
        <v>53</v>
      </c>
      <c r="K26" s="44"/>
      <c r="R26" s="45"/>
      <c r="S26" s="45"/>
    </row>
    <row r="27" spans="1:19" s="29" customFormat="1" ht="15.6">
      <c r="A27" s="396" t="s">
        <v>198</v>
      </c>
      <c r="B27" s="46" t="s">
        <v>214</v>
      </c>
      <c r="C27" s="47"/>
      <c r="D27" s="47"/>
      <c r="E27" s="48"/>
      <c r="F27" s="48"/>
      <c r="G27" s="48"/>
      <c r="H27" s="397"/>
      <c r="R27" s="45"/>
      <c r="S27" s="45"/>
    </row>
    <row r="28" spans="1:19" s="29" customFormat="1" ht="15.6">
      <c r="A28" s="398">
        <v>1</v>
      </c>
      <c r="B28" s="40" t="s">
        <v>338</v>
      </c>
      <c r="C28" s="41"/>
      <c r="D28" s="49"/>
      <c r="E28" s="41"/>
      <c r="F28" s="50"/>
      <c r="G28" s="50"/>
      <c r="H28" s="399"/>
      <c r="R28" s="45"/>
      <c r="S28" s="45"/>
    </row>
    <row r="29" spans="1:19" s="29" customFormat="1">
      <c r="A29" s="980">
        <v>1.1000000000000001</v>
      </c>
      <c r="B29" s="852" t="s">
        <v>290</v>
      </c>
      <c r="C29" s="988"/>
      <c r="D29" s="988"/>
      <c r="E29" s="904">
        <f>VLOOKUP(A29,'Point Allocation'!$A$5:$J$15,MATCH(A7,'Point Allocation'!$A$5:$J$5,0),0)</f>
        <v>45</v>
      </c>
      <c r="F29" s="1014"/>
      <c r="G29" s="1015">
        <f>IFERROR(F29/$F$56,0)</f>
        <v>0</v>
      </c>
      <c r="H29" s="909">
        <f>E29*G29</f>
        <v>0</v>
      </c>
      <c r="R29" s="45"/>
      <c r="S29" s="45"/>
    </row>
    <row r="30" spans="1:19" s="29" customFormat="1" ht="15.6">
      <c r="A30" s="981"/>
      <c r="B30" s="998" t="s">
        <v>401</v>
      </c>
      <c r="C30" s="998"/>
      <c r="D30" s="998"/>
      <c r="E30" s="904"/>
      <c r="F30" s="1014"/>
      <c r="G30" s="1015">
        <f t="shared" ref="G30" si="0">IFERROR(F30/$F$56,0)</f>
        <v>0</v>
      </c>
      <c r="H30" s="909"/>
      <c r="R30" s="45"/>
      <c r="S30" s="45"/>
    </row>
    <row r="31" spans="1:19" s="29" customFormat="1" ht="15.6">
      <c r="A31" s="398">
        <v>2</v>
      </c>
      <c r="B31" s="40" t="s">
        <v>339</v>
      </c>
      <c r="C31" s="51"/>
      <c r="D31" s="49"/>
      <c r="E31" s="52"/>
      <c r="F31" s="8"/>
      <c r="G31" s="22"/>
      <c r="H31" s="400"/>
      <c r="R31" s="53"/>
      <c r="S31" s="45"/>
    </row>
    <row r="32" spans="1:19" s="29" customFormat="1">
      <c r="A32" s="401">
        <v>2.1</v>
      </c>
      <c r="B32" s="885" t="s">
        <v>203</v>
      </c>
      <c r="C32" s="886"/>
      <c r="D32" s="884"/>
      <c r="E32" s="20">
        <f>VLOOKUP(A32,'Point Allocation'!$A$5:$J$15,MATCH(A7,'Point Allocation'!$A$5:$J$5,0),0)</f>
        <v>42</v>
      </c>
      <c r="F32" s="536"/>
      <c r="G32" s="31">
        <f>IFERROR(F32/$F$56,0)</f>
        <v>0</v>
      </c>
      <c r="H32" s="405">
        <f>E32*G32</f>
        <v>0</v>
      </c>
      <c r="R32" s="53"/>
      <c r="S32" s="45"/>
    </row>
    <row r="33" spans="1:19" s="29" customFormat="1" ht="15.6">
      <c r="A33" s="398">
        <v>3</v>
      </c>
      <c r="B33" s="40" t="s">
        <v>340</v>
      </c>
      <c r="C33" s="51"/>
      <c r="D33" s="49"/>
      <c r="E33" s="52"/>
      <c r="F33" s="8"/>
      <c r="G33" s="22"/>
      <c r="H33" s="400"/>
      <c r="R33" s="53"/>
      <c r="S33" s="45"/>
    </row>
    <row r="34" spans="1:19" s="29" customFormat="1" ht="15" customHeight="1">
      <c r="A34" s="401">
        <v>3.1</v>
      </c>
      <c r="B34" s="885" t="s">
        <v>587</v>
      </c>
      <c r="C34" s="886"/>
      <c r="D34" s="884"/>
      <c r="E34" s="20">
        <f>VLOOKUP(A34,'Point Allocation'!$A$5:$J$15,MATCH(A7,'Point Allocation'!$A$5:$J$5,0),0)</f>
        <v>39</v>
      </c>
      <c r="F34" s="37"/>
      <c r="G34" s="31">
        <f>IFERROR(F34/$F$56,0)</f>
        <v>0</v>
      </c>
      <c r="H34" s="419">
        <f>E34*G34</f>
        <v>0</v>
      </c>
      <c r="R34" s="53"/>
      <c r="S34" s="45"/>
    </row>
    <row r="35" spans="1:19" s="29" customFormat="1" ht="31.5" customHeight="1">
      <c r="A35" s="967">
        <v>3.2</v>
      </c>
      <c r="B35" s="969" t="s">
        <v>330</v>
      </c>
      <c r="C35" s="970"/>
      <c r="D35" s="971"/>
      <c r="E35" s="910">
        <f>VLOOKUP(A35,'Point Allocation'!$A$5:$J$15,MATCH(A7,'Point Allocation'!$A$5:$J$5,0),0)</f>
        <v>39</v>
      </c>
      <c r="F35" s="37"/>
      <c r="G35" s="31">
        <f>IFERROR(F35/$F$56,0)</f>
        <v>0</v>
      </c>
      <c r="H35" s="945">
        <f>IF(SUM(J37:J42)&gt;=4,E35*G35,0)</f>
        <v>0</v>
      </c>
      <c r="R35" s="53"/>
      <c r="S35" s="45"/>
    </row>
    <row r="36" spans="1:19" s="29" customFormat="1" ht="31.5" customHeight="1">
      <c r="A36" s="968"/>
      <c r="B36" s="972"/>
      <c r="C36" s="973"/>
      <c r="D36" s="974"/>
      <c r="E36" s="911"/>
      <c r="F36" s="9" t="s">
        <v>130</v>
      </c>
      <c r="G36" s="54" t="s">
        <v>117</v>
      </c>
      <c r="H36" s="947"/>
      <c r="R36" s="53"/>
      <c r="S36" s="45"/>
    </row>
    <row r="37" spans="1:19" s="29" customFormat="1" ht="89.25" customHeight="1">
      <c r="A37" s="402" t="s">
        <v>192</v>
      </c>
      <c r="B37" s="1016" t="s">
        <v>359</v>
      </c>
      <c r="C37" s="1017"/>
      <c r="D37" s="1018"/>
      <c r="E37" s="958"/>
      <c r="F37" s="187" t="s">
        <v>131</v>
      </c>
      <c r="G37" s="546"/>
      <c r="H37" s="946"/>
      <c r="J37" s="55">
        <f t="shared" ref="J37:J42" si="1">IF(G37&gt;=65%,1,0)</f>
        <v>0</v>
      </c>
      <c r="R37" s="53"/>
      <c r="S37" s="45"/>
    </row>
    <row r="38" spans="1:19" s="29" customFormat="1" ht="33.75" customHeight="1">
      <c r="A38" s="402" t="s">
        <v>193</v>
      </c>
      <c r="B38" s="871" t="s">
        <v>215</v>
      </c>
      <c r="C38" s="872"/>
      <c r="D38" s="873"/>
      <c r="E38" s="958"/>
      <c r="F38" s="39" t="s">
        <v>132</v>
      </c>
      <c r="G38" s="547"/>
      <c r="H38" s="946"/>
      <c r="J38" s="55">
        <f t="shared" si="1"/>
        <v>0</v>
      </c>
      <c r="R38" s="53"/>
      <c r="S38" s="45"/>
    </row>
    <row r="39" spans="1:19" s="29" customFormat="1" ht="48.75" customHeight="1">
      <c r="A39" s="402" t="s">
        <v>201</v>
      </c>
      <c r="B39" s="871" t="s">
        <v>216</v>
      </c>
      <c r="C39" s="872"/>
      <c r="D39" s="873"/>
      <c r="E39" s="958"/>
      <c r="F39" s="39" t="s">
        <v>133</v>
      </c>
      <c r="G39" s="547"/>
      <c r="H39" s="946"/>
      <c r="J39" s="55">
        <f t="shared" si="1"/>
        <v>0</v>
      </c>
      <c r="R39" s="53"/>
      <c r="S39" s="45"/>
    </row>
    <row r="40" spans="1:19" s="29" customFormat="1" ht="45">
      <c r="A40" s="402" t="s">
        <v>194</v>
      </c>
      <c r="B40" s="871" t="s">
        <v>217</v>
      </c>
      <c r="C40" s="872"/>
      <c r="D40" s="873"/>
      <c r="E40" s="958"/>
      <c r="F40" s="39" t="s">
        <v>134</v>
      </c>
      <c r="G40" s="547"/>
      <c r="H40" s="946"/>
      <c r="J40" s="55">
        <f t="shared" si="1"/>
        <v>0</v>
      </c>
      <c r="R40" s="53"/>
      <c r="S40" s="45"/>
    </row>
    <row r="41" spans="1:19" s="29" customFormat="1" ht="48.75" customHeight="1">
      <c r="A41" s="402" t="s">
        <v>202</v>
      </c>
      <c r="B41" s="871" t="s">
        <v>218</v>
      </c>
      <c r="C41" s="872"/>
      <c r="D41" s="873"/>
      <c r="E41" s="958"/>
      <c r="F41" s="39" t="s">
        <v>135</v>
      </c>
      <c r="G41" s="547"/>
      <c r="H41" s="946"/>
      <c r="J41" s="55">
        <f t="shared" si="1"/>
        <v>0</v>
      </c>
      <c r="R41" s="53"/>
      <c r="S41" s="45"/>
    </row>
    <row r="42" spans="1:19" s="29" customFormat="1" ht="31.5" customHeight="1">
      <c r="A42" s="402" t="s">
        <v>195</v>
      </c>
      <c r="B42" s="975" t="s">
        <v>345</v>
      </c>
      <c r="C42" s="976"/>
      <c r="D42" s="977"/>
      <c r="E42" s="959"/>
      <c r="F42" s="39" t="s">
        <v>136</v>
      </c>
      <c r="G42" s="547"/>
      <c r="H42" s="947"/>
      <c r="J42" s="55">
        <f t="shared" si="1"/>
        <v>0</v>
      </c>
      <c r="R42" s="53"/>
      <c r="S42" s="45"/>
    </row>
    <row r="43" spans="1:19" s="29" customFormat="1" ht="15.6">
      <c r="A43" s="398" t="s">
        <v>196</v>
      </c>
      <c r="B43" s="40" t="s">
        <v>341</v>
      </c>
      <c r="C43" s="56"/>
      <c r="D43" s="49"/>
      <c r="E43" s="52"/>
      <c r="F43" s="36"/>
      <c r="G43" s="23"/>
      <c r="H43" s="403"/>
      <c r="R43" s="53"/>
      <c r="S43" s="45"/>
    </row>
    <row r="44" spans="1:19" s="29" customFormat="1" ht="31.5" customHeight="1">
      <c r="A44" s="404">
        <v>4.0999999999999996</v>
      </c>
      <c r="B44" s="885" t="s">
        <v>331</v>
      </c>
      <c r="C44" s="886"/>
      <c r="D44" s="884"/>
      <c r="E44" s="20">
        <f>VLOOKUP(A44,'Point Allocation'!$A$5:$J$15,MATCH(A7,'Point Allocation'!$A$5:$J$5,0),0)</f>
        <v>35</v>
      </c>
      <c r="F44" s="536"/>
      <c r="G44" s="31">
        <f>IFERROR(F44/$F$56,0)</f>
        <v>0</v>
      </c>
      <c r="H44" s="405">
        <f>E44*G44</f>
        <v>0</v>
      </c>
      <c r="R44" s="53"/>
      <c r="S44" s="45"/>
    </row>
    <row r="45" spans="1:19" s="29" customFormat="1">
      <c r="A45" s="406">
        <v>4.2</v>
      </c>
      <c r="B45" s="928" t="s">
        <v>348</v>
      </c>
      <c r="C45" s="990"/>
      <c r="D45" s="929"/>
      <c r="E45" s="20">
        <f>VLOOKUP(A45,'Point Allocation'!$A$5:$J$15,MATCH(A7,'Point Allocation'!$A$5:$J$5,0),0)</f>
        <v>35</v>
      </c>
      <c r="F45" s="536"/>
      <c r="G45" s="31">
        <f>IFERROR(F45/$F$56,0)</f>
        <v>0</v>
      </c>
      <c r="H45" s="405">
        <f>E45*G45</f>
        <v>0</v>
      </c>
      <c r="R45" s="53"/>
      <c r="S45" s="45"/>
    </row>
    <row r="46" spans="1:19" s="29" customFormat="1">
      <c r="A46" s="406">
        <v>4.3</v>
      </c>
      <c r="B46" s="960" t="s">
        <v>346</v>
      </c>
      <c r="C46" s="961"/>
      <c r="D46" s="962"/>
      <c r="E46" s="20">
        <f>VLOOKUP(A46,'Point Allocation'!$A$5:$J$15,MATCH(A7,'Point Allocation'!$A$5:$J$5,0),0)</f>
        <v>28</v>
      </c>
      <c r="F46" s="536"/>
      <c r="G46" s="31">
        <f>IFERROR(F46/$F$56,0)</f>
        <v>0</v>
      </c>
      <c r="H46" s="405">
        <f>E46*G46</f>
        <v>0</v>
      </c>
      <c r="R46" s="53"/>
      <c r="S46" s="45"/>
    </row>
    <row r="47" spans="1:19" s="29" customFormat="1">
      <c r="A47" s="404">
        <v>4.4000000000000004</v>
      </c>
      <c r="B47" s="885" t="s">
        <v>347</v>
      </c>
      <c r="C47" s="886"/>
      <c r="D47" s="884"/>
      <c r="E47" s="20">
        <f>VLOOKUP(A47,'Point Allocation'!$A$5:$J$15,MATCH(A7,'Point Allocation'!$A$5:$J$5,0),0)</f>
        <v>28</v>
      </c>
      <c r="F47" s="536"/>
      <c r="G47" s="31">
        <f>IFERROR(F47/$F$56,0)</f>
        <v>0</v>
      </c>
      <c r="H47" s="405">
        <f>E47*G47</f>
        <v>0</v>
      </c>
      <c r="R47" s="53"/>
      <c r="S47" s="45"/>
    </row>
    <row r="48" spans="1:19" s="59" customFormat="1" ht="15.6">
      <c r="A48" s="396" t="s">
        <v>197</v>
      </c>
      <c r="B48" s="46" t="s">
        <v>211</v>
      </c>
      <c r="C48" s="57"/>
      <c r="D48" s="58"/>
      <c r="E48" s="7"/>
      <c r="F48" s="7"/>
      <c r="G48" s="24"/>
      <c r="H48" s="407"/>
      <c r="J48" s="29"/>
      <c r="K48" s="29"/>
      <c r="L48" s="29"/>
      <c r="M48" s="29"/>
      <c r="N48" s="29"/>
      <c r="R48" s="60"/>
    </row>
    <row r="49" spans="1:19" s="59" customFormat="1" ht="15.6">
      <c r="A49" s="408">
        <v>5</v>
      </c>
      <c r="B49" s="40" t="s">
        <v>212</v>
      </c>
      <c r="C49" s="49"/>
      <c r="D49" s="49"/>
      <c r="E49" s="8"/>
      <c r="F49" s="8"/>
      <c r="G49" s="22"/>
      <c r="H49" s="403"/>
      <c r="J49" s="29"/>
      <c r="K49" s="29"/>
      <c r="L49" s="29"/>
      <c r="M49" s="29"/>
      <c r="N49" s="29"/>
      <c r="R49" s="60"/>
    </row>
    <row r="50" spans="1:19" s="29" customFormat="1">
      <c r="A50" s="409">
        <v>5.0999999999999996</v>
      </c>
      <c r="B50" s="844" t="s">
        <v>204</v>
      </c>
      <c r="C50" s="846"/>
      <c r="D50" s="845"/>
      <c r="E50" s="20">
        <f>VLOOKUP(A50,'Point Allocation'!$A$5:$J$15,MATCH(A7,'Point Allocation'!$A$5:$J$5,0),0)</f>
        <v>22</v>
      </c>
      <c r="F50" s="536"/>
      <c r="G50" s="31">
        <f>IFERROR(F50/$F$56,0)</f>
        <v>0</v>
      </c>
      <c r="H50" s="405">
        <f>E50*G50</f>
        <v>0</v>
      </c>
      <c r="R50" s="53"/>
      <c r="S50" s="45"/>
    </row>
    <row r="51" spans="1:19" s="29" customFormat="1">
      <c r="A51" s="409">
        <v>5.2</v>
      </c>
      <c r="B51" s="844" t="s">
        <v>151</v>
      </c>
      <c r="C51" s="846"/>
      <c r="D51" s="845"/>
      <c r="E51" s="20">
        <f>VLOOKUP(A51,'Point Allocation'!$A$5:$J$15,MATCH(A7,'Point Allocation'!$A$5:$J$5,0),0)</f>
        <v>10</v>
      </c>
      <c r="F51" s="536"/>
      <c r="G51" s="31">
        <f>IFERROR(F51/$F$56,0)</f>
        <v>0</v>
      </c>
      <c r="H51" s="405">
        <f>E51*G51</f>
        <v>0</v>
      </c>
      <c r="R51" s="53"/>
      <c r="S51" s="45"/>
    </row>
    <row r="52" spans="1:19" s="29" customFormat="1" ht="15.6">
      <c r="A52" s="410">
        <v>6</v>
      </c>
      <c r="B52" s="61" t="s">
        <v>213</v>
      </c>
      <c r="C52" s="49"/>
      <c r="D52" s="49"/>
      <c r="E52" s="8"/>
      <c r="F52" s="8"/>
      <c r="G52" s="22"/>
      <c r="H52" s="403"/>
      <c r="R52" s="53"/>
      <c r="S52" s="45"/>
    </row>
    <row r="53" spans="1:19" s="29" customFormat="1">
      <c r="A53" s="411">
        <v>6.1</v>
      </c>
      <c r="B53" s="826"/>
      <c r="C53" s="821"/>
      <c r="D53" s="847"/>
      <c r="E53" s="536"/>
      <c r="F53" s="536"/>
      <c r="G53" s="31">
        <f>IFERROR(F53/$F$56,0)</f>
        <v>0</v>
      </c>
      <c r="H53" s="405">
        <f>E53*G53</f>
        <v>0</v>
      </c>
      <c r="R53" s="53"/>
      <c r="S53" s="45"/>
    </row>
    <row r="54" spans="1:19" s="29" customFormat="1">
      <c r="A54" s="411">
        <v>6.2</v>
      </c>
      <c r="B54" s="826"/>
      <c r="C54" s="821"/>
      <c r="D54" s="847"/>
      <c r="E54" s="536"/>
      <c r="F54" s="536"/>
      <c r="G54" s="31">
        <f>IFERROR(F54/$F$56,0)</f>
        <v>0</v>
      </c>
      <c r="H54" s="405">
        <f>E54*G54</f>
        <v>0</v>
      </c>
      <c r="R54" s="53"/>
      <c r="S54" s="45"/>
    </row>
    <row r="55" spans="1:19" s="29" customFormat="1">
      <c r="A55" s="411">
        <v>6.3</v>
      </c>
      <c r="B55" s="826"/>
      <c r="C55" s="821"/>
      <c r="D55" s="847"/>
      <c r="E55" s="536"/>
      <c r="F55" s="536"/>
      <c r="G55" s="31">
        <f>IFERROR(F55/$F$56,0)</f>
        <v>0</v>
      </c>
      <c r="H55" s="405">
        <f>E55*G55</f>
        <v>0</v>
      </c>
      <c r="R55" s="53"/>
      <c r="S55" s="45"/>
    </row>
    <row r="56" spans="1:19" s="29" customFormat="1" ht="15.6">
      <c r="A56" s="412"/>
      <c r="B56" s="322"/>
      <c r="C56" s="323"/>
      <c r="D56" s="323"/>
      <c r="E56" s="324" t="s">
        <v>61</v>
      </c>
      <c r="F56" s="26">
        <f>SUM(F29,F32,F34,F35,F44,F45,F46,F47,F50,F51,F53,F54,F55)</f>
        <v>0</v>
      </c>
      <c r="G56" s="25">
        <f>SUM(G29,G32:G32,G34:G35,G44:G47,G50:G51,G53:G55)</f>
        <v>0</v>
      </c>
      <c r="H56" s="413">
        <f>IFERROR(SUM(H29:H55),0)</f>
        <v>0</v>
      </c>
      <c r="N56" s="62"/>
      <c r="R56" s="53"/>
      <c r="S56" s="45"/>
    </row>
    <row r="57" spans="1:19" s="29" customFormat="1" ht="15.6" thickBot="1">
      <c r="A57" s="491"/>
      <c r="B57" s="492"/>
      <c r="C57" s="493"/>
      <c r="D57" s="493"/>
      <c r="E57" s="493"/>
      <c r="F57" s="493"/>
      <c r="G57" s="480"/>
      <c r="H57" s="639"/>
      <c r="R57" s="53"/>
      <c r="S57" s="45"/>
    </row>
    <row r="58" spans="1:19" s="29" customFormat="1" ht="15.6">
      <c r="A58" s="954" t="s">
        <v>0</v>
      </c>
      <c r="B58" s="955"/>
      <c r="C58" s="646"/>
      <c r="D58" s="978" t="s">
        <v>4</v>
      </c>
      <c r="E58" s="952" t="s">
        <v>1</v>
      </c>
      <c r="F58" s="953"/>
      <c r="G58" s="948" t="s">
        <v>21</v>
      </c>
      <c r="H58" s="950" t="s">
        <v>63</v>
      </c>
      <c r="R58" s="53"/>
      <c r="S58" s="45"/>
    </row>
    <row r="59" spans="1:19" s="29" customFormat="1" ht="31.2">
      <c r="A59" s="956"/>
      <c r="B59" s="957"/>
      <c r="C59" s="63"/>
      <c r="D59" s="979"/>
      <c r="E59" s="43" t="s">
        <v>118</v>
      </c>
      <c r="F59" s="43" t="s">
        <v>119</v>
      </c>
      <c r="G59" s="949"/>
      <c r="H59" s="951"/>
      <c r="J59" s="64"/>
      <c r="R59" s="53"/>
      <c r="S59" s="45"/>
    </row>
    <row r="60" spans="1:19" s="29" customFormat="1" ht="15.6">
      <c r="A60" s="415" t="s">
        <v>219</v>
      </c>
      <c r="B60" s="46" t="s">
        <v>148</v>
      </c>
      <c r="C60" s="58"/>
      <c r="D60" s="65"/>
      <c r="E60" s="48"/>
      <c r="F60" s="48"/>
      <c r="G60" s="48"/>
      <c r="H60" s="416"/>
      <c r="J60" s="62"/>
      <c r="K60" s="62"/>
      <c r="L60" s="62"/>
      <c r="M60" s="62"/>
      <c r="R60" s="53"/>
      <c r="S60" s="45"/>
    </row>
    <row r="61" spans="1:19" s="29" customFormat="1" ht="15" customHeight="1">
      <c r="A61" s="417" t="s">
        <v>349</v>
      </c>
      <c r="B61" s="850" t="s">
        <v>595</v>
      </c>
      <c r="C61" s="851"/>
      <c r="D61" s="5" t="s">
        <v>51</v>
      </c>
      <c r="E61" s="9">
        <v>3</v>
      </c>
      <c r="F61" s="9">
        <v>4</v>
      </c>
      <c r="G61" s="66"/>
      <c r="H61" s="405">
        <f>IF(G61&gt;=80%,F61,IF(G61&lt;65%,0,E61))</f>
        <v>0</v>
      </c>
      <c r="R61" s="53"/>
      <c r="S61" s="45"/>
    </row>
    <row r="62" spans="1:19" s="29" customFormat="1">
      <c r="A62" s="417" t="s">
        <v>350</v>
      </c>
      <c r="B62" s="850" t="s">
        <v>596</v>
      </c>
      <c r="C62" s="851"/>
      <c r="D62" s="5" t="s">
        <v>51</v>
      </c>
      <c r="E62" s="9">
        <v>3</v>
      </c>
      <c r="F62" s="9">
        <v>4</v>
      </c>
      <c r="G62" s="66"/>
      <c r="H62" s="405">
        <f>IF(G62&gt;=80%,F62,IF(G62&lt;65%,0,E62))</f>
        <v>0</v>
      </c>
      <c r="R62" s="53"/>
      <c r="S62" s="45"/>
    </row>
    <row r="63" spans="1:19" s="29" customFormat="1">
      <c r="A63" s="418" t="s">
        <v>351</v>
      </c>
      <c r="B63" s="850" t="s">
        <v>588</v>
      </c>
      <c r="C63" s="851"/>
      <c r="D63" s="5" t="s">
        <v>51</v>
      </c>
      <c r="E63" s="9">
        <v>3</v>
      </c>
      <c r="F63" s="9">
        <v>4</v>
      </c>
      <c r="G63" s="66"/>
      <c r="H63" s="405">
        <f>IF(G63&gt;=80%,F63,IF(G63&lt;65%,0,E63))</f>
        <v>0</v>
      </c>
      <c r="R63" s="53"/>
      <c r="S63" s="45"/>
    </row>
    <row r="64" spans="1:19" s="29" customFormat="1" ht="51" customHeight="1">
      <c r="A64" s="417">
        <v>7.2</v>
      </c>
      <c r="B64" s="1019" t="s">
        <v>354</v>
      </c>
      <c r="C64" s="1019"/>
      <c r="D64" s="518" t="s">
        <v>51</v>
      </c>
      <c r="E64" s="540">
        <v>2</v>
      </c>
      <c r="F64" s="540">
        <v>2.5</v>
      </c>
      <c r="G64" s="516"/>
      <c r="H64" s="419">
        <f>IF(H35&gt;0,0,IF(G64&gt;=80%,F64,IF(G64&lt;65%,0,E64)))</f>
        <v>0</v>
      </c>
      <c r="J64" s="11"/>
      <c r="K64" s="11"/>
      <c r="L64" s="11"/>
      <c r="R64" s="53"/>
      <c r="S64" s="45"/>
    </row>
    <row r="65" spans="1:19" s="29" customFormat="1" ht="15" customHeight="1">
      <c r="A65" s="417">
        <v>7.3</v>
      </c>
      <c r="B65" s="885" t="s">
        <v>226</v>
      </c>
      <c r="C65" s="886"/>
      <c r="D65" s="375"/>
      <c r="E65" s="375"/>
      <c r="F65" s="375"/>
      <c r="G65" s="375"/>
      <c r="H65" s="420"/>
      <c r="J65" s="11"/>
      <c r="K65" s="11"/>
      <c r="L65" s="11"/>
      <c r="R65" s="53"/>
      <c r="S65" s="45"/>
    </row>
    <row r="66" spans="1:19" s="29" customFormat="1" ht="32.25" customHeight="1">
      <c r="A66" s="418" t="s">
        <v>220</v>
      </c>
      <c r="B66" s="883" t="s">
        <v>227</v>
      </c>
      <c r="C66" s="884"/>
      <c r="D66" s="856" t="s">
        <v>51</v>
      </c>
      <c r="E66" s="296">
        <v>1</v>
      </c>
      <c r="F66" s="296">
        <v>1.5</v>
      </c>
      <c r="G66" s="67"/>
      <c r="H66" s="298">
        <f>IF(H29+H35&gt;0,0.5,IF(G66&gt;=80%,F66,IF(G66&lt;65%,0,E66)))</f>
        <v>0</v>
      </c>
      <c r="K66" s="11"/>
      <c r="L66" s="11"/>
      <c r="R66" s="53"/>
      <c r="S66" s="45"/>
    </row>
    <row r="67" spans="1:19" s="29" customFormat="1" ht="47.25" customHeight="1">
      <c r="A67" s="418" t="s">
        <v>221</v>
      </c>
      <c r="B67" s="883" t="s">
        <v>228</v>
      </c>
      <c r="C67" s="884"/>
      <c r="D67" s="857"/>
      <c r="E67" s="296">
        <v>1</v>
      </c>
      <c r="F67" s="296">
        <v>1.5</v>
      </c>
      <c r="G67" s="67"/>
      <c r="H67" s="298">
        <f>IF(H29+H35&gt;0,0.5,IF(G67&gt;=80%,F67,IF(G67&lt;65%,0,E67)))</f>
        <v>0</v>
      </c>
      <c r="R67" s="53"/>
      <c r="S67" s="45"/>
    </row>
    <row r="68" spans="1:19" s="29" customFormat="1">
      <c r="A68" s="418" t="s">
        <v>235</v>
      </c>
      <c r="B68" s="883" t="s">
        <v>229</v>
      </c>
      <c r="C68" s="884"/>
      <c r="D68" s="857"/>
      <c r="E68" s="296">
        <v>1</v>
      </c>
      <c r="F68" s="296">
        <v>1.5</v>
      </c>
      <c r="G68" s="67"/>
      <c r="H68" s="298">
        <f>IF(H29+H35&gt;0,0.5,IF(G68&gt;=80%,F68,IF(G68&lt;65%,0,E68)))</f>
        <v>0</v>
      </c>
      <c r="R68" s="53"/>
      <c r="S68" s="45"/>
    </row>
    <row r="69" spans="1:19" s="29" customFormat="1" ht="46.5" customHeight="1">
      <c r="A69" s="418" t="s">
        <v>222</v>
      </c>
      <c r="B69" s="883" t="s">
        <v>230</v>
      </c>
      <c r="C69" s="884"/>
      <c r="D69" s="858"/>
      <c r="E69" s="296">
        <v>1</v>
      </c>
      <c r="F69" s="296">
        <v>1.5</v>
      </c>
      <c r="G69" s="67"/>
      <c r="H69" s="298">
        <f>IF(H29+H35&gt;0,0.5,IF(G69&gt;=80%,F69,IF(G69&lt;65%,0,E69)))</f>
        <v>0</v>
      </c>
      <c r="R69" s="53"/>
      <c r="S69" s="45"/>
    </row>
    <row r="70" spans="1:19" s="29" customFormat="1">
      <c r="A70" s="417">
        <v>7.4</v>
      </c>
      <c r="B70" s="930" t="s">
        <v>441</v>
      </c>
      <c r="C70" s="930"/>
      <c r="D70" s="350" t="s">
        <v>2</v>
      </c>
      <c r="E70" s="296">
        <v>1</v>
      </c>
      <c r="F70" s="296">
        <v>1.5</v>
      </c>
      <c r="G70" s="67"/>
      <c r="H70" s="298">
        <f>IF(G70&gt;=80%,F70,IF(G70&lt;65%,0,E70))</f>
        <v>0</v>
      </c>
      <c r="R70" s="53"/>
      <c r="S70" s="45"/>
    </row>
    <row r="71" spans="1:19" s="29" customFormat="1" ht="15" customHeight="1">
      <c r="A71" s="526">
        <v>7.5</v>
      </c>
      <c r="B71" s="932" t="s">
        <v>422</v>
      </c>
      <c r="C71" s="932"/>
      <c r="D71" s="561" t="s">
        <v>420</v>
      </c>
      <c r="E71" s="855">
        <v>2</v>
      </c>
      <c r="F71" s="855"/>
      <c r="G71" s="546"/>
      <c r="H71" s="519">
        <f>IF(G71&gt;=5%,E71,0)</f>
        <v>0</v>
      </c>
      <c r="R71" s="53"/>
      <c r="S71" s="45"/>
    </row>
    <row r="72" spans="1:19" s="29" customFormat="1" ht="15.6">
      <c r="A72" s="421" t="s">
        <v>223</v>
      </c>
      <c r="B72" s="68" t="s">
        <v>231</v>
      </c>
      <c r="C72" s="69"/>
      <c r="D72" s="70"/>
      <c r="E72" s="71"/>
      <c r="F72" s="71"/>
      <c r="G72" s="71"/>
      <c r="H72" s="422"/>
      <c r="R72" s="53"/>
      <c r="S72" s="45"/>
    </row>
    <row r="73" spans="1:19" s="29" customFormat="1">
      <c r="A73" s="417">
        <v>8.1</v>
      </c>
      <c r="B73" s="852" t="s">
        <v>232</v>
      </c>
      <c r="C73" s="852"/>
      <c r="D73" s="5" t="s">
        <v>51</v>
      </c>
      <c r="E73" s="20">
        <v>2</v>
      </c>
      <c r="F73" s="20">
        <v>2.5</v>
      </c>
      <c r="G73" s="72"/>
      <c r="H73" s="405">
        <f>IF(G73&gt;=80%,F73,IF(G73&lt;65%,0,E73))</f>
        <v>0</v>
      </c>
      <c r="J73" s="73"/>
      <c r="R73" s="53"/>
      <c r="S73" s="45"/>
    </row>
    <row r="74" spans="1:19" s="29" customFormat="1">
      <c r="A74" s="417">
        <v>8.1999999999999993</v>
      </c>
      <c r="B74" s="852" t="s">
        <v>233</v>
      </c>
      <c r="C74" s="852"/>
      <c r="D74" s="5" t="s">
        <v>51</v>
      </c>
      <c r="E74" s="20">
        <v>2</v>
      </c>
      <c r="F74" s="20">
        <v>2.5</v>
      </c>
      <c r="G74" s="72"/>
      <c r="H74" s="405">
        <f>IF(G74&gt;=80%,F74,IF(G74&lt;65%,0,E74))</f>
        <v>0</v>
      </c>
      <c r="J74" s="11"/>
      <c r="K74" s="11"/>
      <c r="L74" s="11"/>
      <c r="R74" s="53"/>
      <c r="S74" s="45"/>
    </row>
    <row r="75" spans="1:19" s="29" customFormat="1">
      <c r="A75" s="417">
        <v>8.3000000000000007</v>
      </c>
      <c r="B75" s="874" t="s">
        <v>147</v>
      </c>
      <c r="C75" s="875"/>
      <c r="D75" s="5" t="s">
        <v>2</v>
      </c>
      <c r="E75" s="20">
        <v>2</v>
      </c>
      <c r="F75" s="20">
        <v>2.5</v>
      </c>
      <c r="G75" s="66"/>
      <c r="H75" s="405">
        <f>IF(G75&gt;=80%,F75,IF(G75&lt;65%,0,E75))</f>
        <v>0</v>
      </c>
      <c r="R75" s="53"/>
      <c r="S75" s="45"/>
    </row>
    <row r="76" spans="1:19" s="29" customFormat="1" ht="15.6">
      <c r="A76" s="421" t="s">
        <v>224</v>
      </c>
      <c r="B76" s="68" t="s">
        <v>234</v>
      </c>
      <c r="C76" s="69"/>
      <c r="D76" s="70"/>
      <c r="E76" s="71"/>
      <c r="F76" s="71"/>
      <c r="G76" s="71"/>
      <c r="H76" s="422"/>
      <c r="R76" s="53"/>
      <c r="S76" s="45"/>
    </row>
    <row r="77" spans="1:19" s="29" customFormat="1" ht="31.5" customHeight="1">
      <c r="A77" s="417">
        <v>9.1</v>
      </c>
      <c r="B77" s="852" t="s">
        <v>371</v>
      </c>
      <c r="C77" s="852"/>
      <c r="D77" s="5" t="s">
        <v>51</v>
      </c>
      <c r="E77" s="20">
        <v>2</v>
      </c>
      <c r="F77" s="20">
        <v>2.5</v>
      </c>
      <c r="G77" s="72"/>
      <c r="H77" s="405">
        <f>IF(G77&gt;=80%,F77,IF(G77&lt;65%,0,E77))</f>
        <v>0</v>
      </c>
      <c r="R77" s="53"/>
      <c r="S77" s="45"/>
    </row>
    <row r="78" spans="1:19" s="29" customFormat="1" ht="15.6">
      <c r="A78" s="423" t="s">
        <v>225</v>
      </c>
      <c r="B78" s="74" t="s">
        <v>213</v>
      </c>
      <c r="C78" s="58"/>
      <c r="D78" s="58"/>
      <c r="E78" s="75"/>
      <c r="F78" s="75"/>
      <c r="G78" s="76"/>
      <c r="H78" s="424"/>
      <c r="R78" s="53"/>
      <c r="S78" s="45"/>
    </row>
    <row r="79" spans="1:19" s="29" customFormat="1">
      <c r="A79" s="417">
        <v>10.1</v>
      </c>
      <c r="B79" s="848"/>
      <c r="C79" s="848"/>
      <c r="D79" s="77"/>
      <c r="E79" s="536"/>
      <c r="F79" s="536"/>
      <c r="G79" s="547"/>
      <c r="H79" s="405">
        <f>IF(G79&gt;=80%,F79,IF(G79&lt;65%,0,E79))</f>
        <v>0</v>
      </c>
      <c r="R79" s="53"/>
      <c r="S79" s="45"/>
    </row>
    <row r="80" spans="1:19" s="29" customFormat="1">
      <c r="A80" s="417">
        <v>10.199999999999999</v>
      </c>
      <c r="B80" s="848"/>
      <c r="C80" s="848"/>
      <c r="D80" s="77"/>
      <c r="E80" s="536"/>
      <c r="F80" s="536"/>
      <c r="G80" s="547"/>
      <c r="H80" s="405">
        <f>IF(G80&gt;=80%,F80,IF(G80&lt;65%,0,E80))</f>
        <v>0</v>
      </c>
      <c r="R80" s="53"/>
      <c r="S80" s="45"/>
    </row>
    <row r="81" spans="1:19" s="29" customFormat="1">
      <c r="A81" s="417">
        <v>10.3</v>
      </c>
      <c r="B81" s="848"/>
      <c r="C81" s="848"/>
      <c r="D81" s="77"/>
      <c r="E81" s="536"/>
      <c r="F81" s="536"/>
      <c r="G81" s="547"/>
      <c r="H81" s="405">
        <f>IF(G81&gt;=80%,F81,IF(G81&lt;65%,0,E81))</f>
        <v>0</v>
      </c>
      <c r="R81" s="53"/>
      <c r="S81" s="45"/>
    </row>
    <row r="82" spans="1:19" s="29" customFormat="1" ht="15.6">
      <c r="A82" s="425"/>
      <c r="B82" s="325"/>
      <c r="C82" s="323"/>
      <c r="D82" s="323"/>
      <c r="E82" s="326"/>
      <c r="F82" s="327"/>
      <c r="G82" s="328" t="s">
        <v>418</v>
      </c>
      <c r="H82" s="426">
        <f>IFERROR((SUM(H61:H81)),0)</f>
        <v>0</v>
      </c>
      <c r="R82" s="53"/>
      <c r="S82" s="45"/>
    </row>
    <row r="83" spans="1:19" s="29" customFormat="1">
      <c r="A83" s="412"/>
      <c r="B83" s="325"/>
      <c r="C83" s="323"/>
      <c r="D83" s="323"/>
      <c r="E83" s="323"/>
      <c r="F83" s="323"/>
      <c r="G83" s="329"/>
      <c r="H83" s="388"/>
      <c r="R83" s="53"/>
      <c r="S83" s="45"/>
    </row>
    <row r="84" spans="1:19" s="29" customFormat="1" ht="15.6">
      <c r="A84" s="412"/>
      <c r="B84" s="325"/>
      <c r="C84" s="323"/>
      <c r="D84" s="323"/>
      <c r="E84" s="323"/>
      <c r="F84" s="323"/>
      <c r="G84" s="330" t="s">
        <v>129</v>
      </c>
      <c r="H84" s="427">
        <f>IFERROR(MIN(G24,H56+H82),0)</f>
        <v>0</v>
      </c>
      <c r="R84" s="53"/>
      <c r="S84" s="45"/>
    </row>
    <row r="85" spans="1:19" s="29" customFormat="1" ht="16.2" thickBot="1">
      <c r="A85" s="491"/>
      <c r="B85" s="492"/>
      <c r="C85" s="493"/>
      <c r="D85" s="493"/>
      <c r="E85" s="493"/>
      <c r="F85" s="493"/>
      <c r="G85" s="496"/>
      <c r="H85" s="495"/>
      <c r="R85" s="53"/>
      <c r="S85" s="45"/>
    </row>
    <row r="86" spans="1:19" s="29" customFormat="1" ht="15.6">
      <c r="A86" s="486" t="s">
        <v>52</v>
      </c>
      <c r="B86" s="487"/>
      <c r="C86" s="487"/>
      <c r="D86" s="487"/>
      <c r="E86" s="487"/>
      <c r="F86" s="488" t="s">
        <v>43</v>
      </c>
      <c r="G86" s="489">
        <f>VLOOKUP($A$7,'Manpower allocation'!A4:D11,3,FALSE)*100</f>
        <v>40</v>
      </c>
      <c r="H86" s="490" t="s">
        <v>42</v>
      </c>
      <c r="J86" s="79">
        <f>VLOOKUP($A$7,'Manpower allocation'!A4:D11,3,FALSE)*100</f>
        <v>40</v>
      </c>
      <c r="R86" s="53"/>
      <c r="S86" s="45"/>
    </row>
    <row r="87" spans="1:19" s="29" customFormat="1" ht="15.6">
      <c r="A87" s="412"/>
      <c r="B87" s="331"/>
      <c r="C87" s="326"/>
      <c r="D87" s="323"/>
      <c r="E87" s="323"/>
      <c r="F87" s="323"/>
      <c r="G87" s="332"/>
      <c r="H87" s="388"/>
      <c r="R87" s="53"/>
      <c r="S87" s="45"/>
    </row>
    <row r="88" spans="1:19" s="29" customFormat="1" ht="46.8">
      <c r="A88" s="549" t="s">
        <v>0</v>
      </c>
      <c r="B88" s="550"/>
      <c r="C88" s="168"/>
      <c r="D88" s="80"/>
      <c r="E88" s="81" t="s">
        <v>17</v>
      </c>
      <c r="F88" s="82" t="s">
        <v>81</v>
      </c>
      <c r="G88" s="82" t="s">
        <v>20</v>
      </c>
      <c r="H88" s="428" t="s">
        <v>53</v>
      </c>
      <c r="R88" s="53"/>
      <c r="S88" s="45"/>
    </row>
    <row r="89" spans="1:19" s="29" customFormat="1" ht="15.6">
      <c r="A89" s="429" t="s">
        <v>303</v>
      </c>
      <c r="B89" s="83" t="s">
        <v>332</v>
      </c>
      <c r="C89" s="84"/>
      <c r="D89" s="84"/>
      <c r="E89" s="85"/>
      <c r="F89" s="85"/>
      <c r="G89" s="85"/>
      <c r="H89" s="430"/>
      <c r="R89" s="53"/>
      <c r="S89" s="45"/>
    </row>
    <row r="90" spans="1:19" s="29" customFormat="1" ht="15.6">
      <c r="A90" s="431">
        <v>1</v>
      </c>
      <c r="B90" s="86" t="s">
        <v>338</v>
      </c>
      <c r="C90" s="87"/>
      <c r="D90" s="87"/>
      <c r="E90" s="88"/>
      <c r="F90" s="88"/>
      <c r="G90" s="88"/>
      <c r="H90" s="432"/>
      <c r="R90" s="53"/>
      <c r="S90" s="45"/>
    </row>
    <row r="91" spans="1:19" s="29" customFormat="1">
      <c r="A91" s="417">
        <v>1.1000000000000001</v>
      </c>
      <c r="B91" s="885" t="s">
        <v>290</v>
      </c>
      <c r="C91" s="846"/>
      <c r="D91" s="845"/>
      <c r="E91" s="89">
        <f>VLOOKUP(A91,'Point Allocation'!$A$20:$J$40,MATCH(A7,'Point Allocation'!$A$20:$J$20,0),0)</f>
        <v>30</v>
      </c>
      <c r="F91" s="90"/>
      <c r="G91" s="91">
        <f>IFERROR(F91/$F$115,0)</f>
        <v>0</v>
      </c>
      <c r="H91" s="433">
        <f>E91*G91</f>
        <v>0</v>
      </c>
      <c r="R91" s="45"/>
      <c r="S91" s="45"/>
    </row>
    <row r="92" spans="1:19" s="29" customFormat="1" ht="15.6">
      <c r="A92" s="434">
        <v>2</v>
      </c>
      <c r="B92" s="92" t="s">
        <v>339</v>
      </c>
      <c r="C92" s="93"/>
      <c r="D92" s="94"/>
      <c r="E92" s="94"/>
      <c r="F92" s="95"/>
      <c r="G92" s="96"/>
      <c r="H92" s="435"/>
      <c r="R92" s="53"/>
      <c r="S92" s="45"/>
    </row>
    <row r="93" spans="1:19" s="29" customFormat="1">
      <c r="A93" s="849">
        <v>2.1</v>
      </c>
      <c r="B93" s="844" t="s">
        <v>207</v>
      </c>
      <c r="C93" s="846"/>
      <c r="D93" s="845"/>
      <c r="E93" s="853">
        <f>VLOOKUP(A93,'Point Allocation'!$A$20:$J$40,MATCH(A7,'Point Allocation'!$A$20:$J$20,0),0)</f>
        <v>28</v>
      </c>
      <c r="F93" s="854"/>
      <c r="G93" s="914">
        <f>IFERROR(F93/$F$115,0)</f>
        <v>0</v>
      </c>
      <c r="H93" s="921">
        <f>E93*G93</f>
        <v>0</v>
      </c>
      <c r="R93" s="53"/>
      <c r="S93" s="45"/>
    </row>
    <row r="94" spans="1:19" s="29" customFormat="1" ht="15.6">
      <c r="A94" s="841"/>
      <c r="B94" s="836" t="s">
        <v>120</v>
      </c>
      <c r="C94" s="837"/>
      <c r="D94" s="838"/>
      <c r="E94" s="853"/>
      <c r="F94" s="854"/>
      <c r="G94" s="914"/>
      <c r="H94" s="921"/>
      <c r="R94" s="53"/>
      <c r="S94" s="45"/>
    </row>
    <row r="95" spans="1:19" s="29" customFormat="1">
      <c r="A95" s="849">
        <v>2.2000000000000002</v>
      </c>
      <c r="B95" s="885" t="s">
        <v>178</v>
      </c>
      <c r="C95" s="886"/>
      <c r="D95" s="884"/>
      <c r="E95" s="853">
        <f>VLOOKUP(A95,'Point Allocation'!$A$20:$J$40,MATCH(A7,'Point Allocation'!$A$20:$J$20,0),0)</f>
        <v>28</v>
      </c>
      <c r="F95" s="854"/>
      <c r="G95" s="914">
        <f>IFERROR(F95/$F$115,0)</f>
        <v>0</v>
      </c>
      <c r="H95" s="921">
        <f>E95*G95</f>
        <v>0</v>
      </c>
      <c r="R95" s="53"/>
      <c r="S95" s="45"/>
    </row>
    <row r="96" spans="1:19" s="29" customFormat="1" ht="15.6">
      <c r="A96" s="882"/>
      <c r="B96" s="836" t="s">
        <v>120</v>
      </c>
      <c r="C96" s="837"/>
      <c r="D96" s="838"/>
      <c r="E96" s="853"/>
      <c r="F96" s="854"/>
      <c r="G96" s="914"/>
      <c r="H96" s="921"/>
      <c r="R96" s="53"/>
      <c r="S96" s="45"/>
    </row>
    <row r="97" spans="1:19" s="29" customFormat="1" ht="15.6">
      <c r="A97" s="431">
        <v>3</v>
      </c>
      <c r="B97" s="86" t="s">
        <v>340</v>
      </c>
      <c r="C97" s="93"/>
      <c r="D97" s="93"/>
      <c r="E97" s="95"/>
      <c r="F97" s="95"/>
      <c r="G97" s="96"/>
      <c r="H97" s="436"/>
      <c r="R97" s="53"/>
      <c r="S97" s="45"/>
    </row>
    <row r="98" spans="1:19" s="29" customFormat="1">
      <c r="A98" s="849">
        <v>3.1</v>
      </c>
      <c r="B98" s="844" t="s">
        <v>208</v>
      </c>
      <c r="C98" s="846"/>
      <c r="D98" s="845"/>
      <c r="E98" s="853">
        <f>VLOOKUP(A98,'Point Allocation'!$A$20:$J$40,MATCH(A7,'Point Allocation'!$A$20:$J$20,0),0)</f>
        <v>27</v>
      </c>
      <c r="F98" s="854"/>
      <c r="G98" s="914">
        <f>IFERROR(F98/$F$115,0)</f>
        <v>0</v>
      </c>
      <c r="H98" s="921">
        <f>E98*G98</f>
        <v>0</v>
      </c>
      <c r="R98" s="53"/>
      <c r="S98" s="45"/>
    </row>
    <row r="99" spans="1:19" s="29" customFormat="1" ht="15.6">
      <c r="A99" s="841"/>
      <c r="B99" s="836" t="s">
        <v>286</v>
      </c>
      <c r="C99" s="837"/>
      <c r="D99" s="838"/>
      <c r="E99" s="853"/>
      <c r="F99" s="854"/>
      <c r="G99" s="914"/>
      <c r="H99" s="921"/>
      <c r="R99" s="53"/>
      <c r="S99" s="45"/>
    </row>
    <row r="100" spans="1:19" s="29" customFormat="1" ht="15.6">
      <c r="A100" s="431">
        <v>4</v>
      </c>
      <c r="B100" s="86" t="s">
        <v>341</v>
      </c>
      <c r="C100" s="93"/>
      <c r="D100" s="93"/>
      <c r="E100" s="95"/>
      <c r="F100" s="95"/>
      <c r="G100" s="96"/>
      <c r="H100" s="436"/>
      <c r="R100" s="53"/>
      <c r="S100" s="45"/>
    </row>
    <row r="101" spans="1:19" s="29" customFormat="1" ht="30" customHeight="1">
      <c r="A101" s="418" t="s">
        <v>205</v>
      </c>
      <c r="B101" s="871" t="s">
        <v>292</v>
      </c>
      <c r="C101" s="872"/>
      <c r="D101" s="873"/>
      <c r="E101" s="97">
        <f>VLOOKUP(A101,'Point Allocation'!$A$20:$J$40,MATCH(A7,'Point Allocation'!$A$20:$J$20,0),0)</f>
        <v>25</v>
      </c>
      <c r="F101" s="537"/>
      <c r="G101" s="538">
        <f>IFERROR(F101/$F$115,0)</f>
        <v>0</v>
      </c>
      <c r="H101" s="437">
        <f>E101*G101</f>
        <v>0</v>
      </c>
      <c r="R101" s="912"/>
      <c r="S101" s="45"/>
    </row>
    <row r="102" spans="1:19" s="29" customFormat="1">
      <c r="A102" s="418" t="s">
        <v>206</v>
      </c>
      <c r="B102" s="871" t="s">
        <v>293</v>
      </c>
      <c r="C102" s="872"/>
      <c r="D102" s="873"/>
      <c r="E102" s="97">
        <f>VLOOKUP(A102,'Point Allocation'!$A$20:$J$40,MATCH(A7,'Point Allocation'!$A$20:$J$20,0),0)</f>
        <v>25</v>
      </c>
      <c r="F102" s="537"/>
      <c r="G102" s="538">
        <f>IFERROR(F102/$F$115,0)</f>
        <v>0</v>
      </c>
      <c r="H102" s="437">
        <f>E102*G102</f>
        <v>0</v>
      </c>
      <c r="R102" s="912"/>
      <c r="S102" s="45"/>
    </row>
    <row r="103" spans="1:19" s="29" customFormat="1">
      <c r="A103" s="417">
        <v>4.2</v>
      </c>
      <c r="B103" s="874" t="s">
        <v>209</v>
      </c>
      <c r="C103" s="931"/>
      <c r="D103" s="875"/>
      <c r="E103" s="97">
        <f>VLOOKUP(A103,'Point Allocation'!$A$20:$J$40,MATCH(A7,'Point Allocation'!$A$20:$J$20,0),0)</f>
        <v>25</v>
      </c>
      <c r="F103" s="537"/>
      <c r="G103" s="538">
        <f>IFERROR(F103/$F$115,0)</f>
        <v>0</v>
      </c>
      <c r="H103" s="437">
        <f>E103*G103</f>
        <v>0</v>
      </c>
      <c r="R103" s="53"/>
      <c r="S103" s="45"/>
    </row>
    <row r="104" spans="1:19" s="29" customFormat="1">
      <c r="A104" s="417">
        <v>4.3</v>
      </c>
      <c r="B104" s="922" t="s">
        <v>159</v>
      </c>
      <c r="C104" s="923"/>
      <c r="D104" s="924"/>
      <c r="E104" s="97">
        <f>VLOOKUP(A104,'Point Allocation'!$A$20:$J$40,MATCH(A7,'Point Allocation'!$A$20:$J$20,0),0)</f>
        <v>25</v>
      </c>
      <c r="F104" s="537"/>
      <c r="G104" s="538">
        <f>IFERROR(F104/$F$115,0)</f>
        <v>0</v>
      </c>
      <c r="H104" s="438">
        <f>E104*G104</f>
        <v>0</v>
      </c>
      <c r="R104" s="53"/>
      <c r="S104" s="45"/>
    </row>
    <row r="105" spans="1:19" s="29" customFormat="1">
      <c r="A105" s="417">
        <v>4.4000000000000004</v>
      </c>
      <c r="B105" s="922" t="s">
        <v>355</v>
      </c>
      <c r="C105" s="923"/>
      <c r="D105" s="924"/>
      <c r="E105" s="97">
        <f>VLOOKUP(A105,'Point Allocation'!$A$20:$J$40,MATCH(A7,'Point Allocation'!$A$20:$J$20,0),0)</f>
        <v>22</v>
      </c>
      <c r="F105" s="537"/>
      <c r="G105" s="538">
        <f>IFERROR(F105/$F$115,0)</f>
        <v>0</v>
      </c>
      <c r="H105" s="438">
        <f>E105*G105</f>
        <v>0</v>
      </c>
      <c r="R105" s="53"/>
      <c r="S105" s="45"/>
    </row>
    <row r="106" spans="1:19" s="29" customFormat="1" ht="15.6">
      <c r="A106" s="439" t="s">
        <v>304</v>
      </c>
      <c r="B106" s="99" t="s">
        <v>236</v>
      </c>
      <c r="C106" s="100"/>
      <c r="D106" s="101"/>
      <c r="E106" s="102"/>
      <c r="F106" s="103"/>
      <c r="G106" s="104"/>
      <c r="H106" s="440"/>
      <c r="R106" s="53"/>
      <c r="S106" s="45"/>
    </row>
    <row r="107" spans="1:19" s="29" customFormat="1" ht="15.6">
      <c r="A107" s="431">
        <v>5</v>
      </c>
      <c r="B107" s="86" t="s">
        <v>237</v>
      </c>
      <c r="C107" s="93"/>
      <c r="D107" s="93"/>
      <c r="E107" s="95"/>
      <c r="F107" s="95"/>
      <c r="G107" s="96"/>
      <c r="H107" s="436"/>
      <c r="R107" s="53"/>
      <c r="S107" s="45"/>
    </row>
    <row r="108" spans="1:19" s="29" customFormat="1">
      <c r="A108" s="417">
        <v>5.0999999999999996</v>
      </c>
      <c r="B108" s="844" t="s">
        <v>210</v>
      </c>
      <c r="C108" s="846"/>
      <c r="D108" s="845"/>
      <c r="E108" s="105">
        <f>VLOOKUP(A108,'Point Allocation'!$A$20:$J$40,MATCH(A7,'Point Allocation'!$A$20:$J$20,0),0)</f>
        <v>16</v>
      </c>
      <c r="F108" s="156"/>
      <c r="G108" s="538">
        <f>IFERROR(F108/$F$115,0)</f>
        <v>0</v>
      </c>
      <c r="H108" s="441">
        <f>E108*G108</f>
        <v>0</v>
      </c>
      <c r="R108" s="53"/>
      <c r="S108" s="45"/>
    </row>
    <row r="109" spans="1:19" s="29" customFormat="1">
      <c r="A109" s="417">
        <v>5.2</v>
      </c>
      <c r="B109" s="844" t="s">
        <v>356</v>
      </c>
      <c r="C109" s="846"/>
      <c r="D109" s="845"/>
      <c r="E109" s="105">
        <f>VLOOKUP(A109,'Point Allocation'!$A$20:$J$40,MATCH(A7,'Point Allocation'!$A$20:$J$20,0),0)</f>
        <v>5</v>
      </c>
      <c r="F109" s="90"/>
      <c r="G109" s="538">
        <f>IFERROR(F109/$F$115,0)</f>
        <v>0</v>
      </c>
      <c r="H109" s="441">
        <f>E109*G109</f>
        <v>0</v>
      </c>
      <c r="R109" s="53"/>
      <c r="S109" s="45"/>
    </row>
    <row r="110" spans="1:19" s="29" customFormat="1">
      <c r="A110" s="417">
        <v>5.3</v>
      </c>
      <c r="B110" s="844" t="s">
        <v>357</v>
      </c>
      <c r="C110" s="846"/>
      <c r="D110" s="845"/>
      <c r="E110" s="105">
        <f>VLOOKUP(A110,'Point Allocation'!$A$20:$J$40,MATCH(A7,'Point Allocation'!$A$20:$J$20,0),0)</f>
        <v>0</v>
      </c>
      <c r="F110" s="155"/>
      <c r="G110" s="538">
        <f>IFERROR(F110/$F$115,0)</f>
        <v>0</v>
      </c>
      <c r="H110" s="442">
        <f>E110*G110</f>
        <v>0</v>
      </c>
      <c r="R110" s="53"/>
      <c r="S110" s="45"/>
    </row>
    <row r="111" spans="1:19" s="29" customFormat="1" ht="15.6">
      <c r="A111" s="443">
        <v>6</v>
      </c>
      <c r="B111" s="106" t="s">
        <v>213</v>
      </c>
      <c r="C111" s="93"/>
      <c r="D111" s="93"/>
      <c r="E111" s="95"/>
      <c r="F111" s="95"/>
      <c r="G111" s="96"/>
      <c r="H111" s="436"/>
      <c r="R111" s="53"/>
      <c r="S111" s="45"/>
    </row>
    <row r="112" spans="1:19" s="29" customFormat="1">
      <c r="A112" s="444">
        <v>6.1</v>
      </c>
      <c r="B112" s="826"/>
      <c r="C112" s="821"/>
      <c r="D112" s="847"/>
      <c r="E112" s="537"/>
      <c r="F112" s="537"/>
      <c r="G112" s="538">
        <f>IFERROR(F112/$F$115,0)</f>
        <v>0</v>
      </c>
      <c r="H112" s="442">
        <f>E112*G112</f>
        <v>0</v>
      </c>
      <c r="R112" s="53"/>
      <c r="S112" s="45"/>
    </row>
    <row r="113" spans="1:19" s="29" customFormat="1">
      <c r="A113" s="444">
        <v>6.2</v>
      </c>
      <c r="B113" s="826"/>
      <c r="C113" s="821"/>
      <c r="D113" s="847"/>
      <c r="E113" s="537"/>
      <c r="F113" s="537"/>
      <c r="G113" s="538">
        <f>IFERROR(F113/$F$115,0)</f>
        <v>0</v>
      </c>
      <c r="H113" s="442">
        <f>E113*G113</f>
        <v>0</v>
      </c>
      <c r="R113" s="53"/>
      <c r="S113" s="45"/>
    </row>
    <row r="114" spans="1:19" s="29" customFormat="1">
      <c r="A114" s="444">
        <v>6.3</v>
      </c>
      <c r="B114" s="848"/>
      <c r="C114" s="848"/>
      <c r="D114" s="848"/>
      <c r="E114" s="537"/>
      <c r="F114" s="537"/>
      <c r="G114" s="538">
        <f>IFERROR(F114/$F$115,0)</f>
        <v>0</v>
      </c>
      <c r="H114" s="442">
        <f>E114*G114</f>
        <v>0</v>
      </c>
      <c r="R114" s="53"/>
      <c r="S114" s="45"/>
    </row>
    <row r="115" spans="1:19" s="29" customFormat="1" ht="15.6">
      <c r="A115" s="425"/>
      <c r="B115" s="325"/>
      <c r="C115" s="323"/>
      <c r="D115" s="323"/>
      <c r="E115" s="330" t="s">
        <v>62</v>
      </c>
      <c r="F115" s="333">
        <f>SUM(F91:F114)+E19</f>
        <v>0</v>
      </c>
      <c r="G115" s="334">
        <f>SUM(G91:G114)+F19</f>
        <v>0</v>
      </c>
      <c r="H115" s="445">
        <f>IFERROR(SUM(H91:H114),0)</f>
        <v>0</v>
      </c>
      <c r="R115" s="53"/>
      <c r="S115" s="45"/>
    </row>
    <row r="116" spans="1:19" s="29" customFormat="1" ht="15.6" thickBot="1">
      <c r="A116" s="491"/>
      <c r="B116" s="492"/>
      <c r="C116" s="493"/>
      <c r="D116" s="493"/>
      <c r="E116" s="493"/>
      <c r="F116" s="493"/>
      <c r="G116" s="480"/>
      <c r="H116" s="639"/>
      <c r="R116" s="53"/>
      <c r="S116" s="45"/>
    </row>
    <row r="117" spans="1:19" s="29" customFormat="1" ht="31.2">
      <c r="A117" s="640" t="s">
        <v>0</v>
      </c>
      <c r="B117" s="641"/>
      <c r="C117" s="641"/>
      <c r="D117" s="642" t="s">
        <v>17</v>
      </c>
      <c r="E117" s="643" t="s">
        <v>81</v>
      </c>
      <c r="F117" s="644" t="s">
        <v>335</v>
      </c>
      <c r="G117" s="644" t="s">
        <v>336</v>
      </c>
      <c r="H117" s="645" t="s">
        <v>53</v>
      </c>
      <c r="R117" s="53"/>
      <c r="S117" s="45"/>
    </row>
    <row r="118" spans="1:19" s="29" customFormat="1" ht="15.6">
      <c r="A118" s="429" t="s">
        <v>238</v>
      </c>
      <c r="B118" s="83" t="s">
        <v>333</v>
      </c>
      <c r="C118" s="84"/>
      <c r="D118" s="85"/>
      <c r="E118" s="85"/>
      <c r="F118" s="85"/>
      <c r="G118" s="85"/>
      <c r="H118" s="430"/>
      <c r="R118" s="53"/>
      <c r="S118" s="45"/>
    </row>
    <row r="119" spans="1:19" s="29" customFormat="1" ht="15.6">
      <c r="A119" s="431">
        <v>7</v>
      </c>
      <c r="B119" s="86" t="s">
        <v>338</v>
      </c>
      <c r="C119" s="87"/>
      <c r="D119" s="88"/>
      <c r="E119" s="88"/>
      <c r="F119" s="88"/>
      <c r="G119" s="88"/>
      <c r="H119" s="432"/>
      <c r="R119" s="53"/>
      <c r="S119" s="45"/>
    </row>
    <row r="120" spans="1:19" s="29" customFormat="1" ht="15" customHeight="1">
      <c r="A120" s="404">
        <v>7.1</v>
      </c>
      <c r="B120" s="885" t="s">
        <v>290</v>
      </c>
      <c r="C120" s="884"/>
      <c r="D120" s="98">
        <f>VLOOKUP(A120,'Point Allocation'!$A$20:$J$41,MATCH(A7,'Point Allocation'!$A$20:$J$20,0),0)</f>
        <v>10</v>
      </c>
      <c r="E120" s="89">
        <f>F91</f>
        <v>0</v>
      </c>
      <c r="F120" s="89">
        <f>F29</f>
        <v>0</v>
      </c>
      <c r="G120" s="91">
        <f>IFERROR(SUM(E120:F120)/SUM($E$138:$F$138),0)</f>
        <v>0</v>
      </c>
      <c r="H120" s="433">
        <f>D120*G120</f>
        <v>0</v>
      </c>
      <c r="R120" s="53"/>
      <c r="S120" s="45"/>
    </row>
    <row r="121" spans="1:19" s="29" customFormat="1" ht="15.6">
      <c r="A121" s="434">
        <v>8</v>
      </c>
      <c r="B121" s="92" t="s">
        <v>339</v>
      </c>
      <c r="C121" s="93"/>
      <c r="D121" s="94"/>
      <c r="E121" s="95"/>
      <c r="F121" s="95"/>
      <c r="G121" s="96"/>
      <c r="H121" s="435"/>
      <c r="R121" s="53"/>
      <c r="S121" s="45"/>
    </row>
    <row r="122" spans="1:19" s="29" customFormat="1">
      <c r="A122" s="849">
        <v>8.1</v>
      </c>
      <c r="B122" s="844" t="s">
        <v>337</v>
      </c>
      <c r="C122" s="845"/>
      <c r="D122" s="925">
        <f>VLOOKUP(A122,'Point Allocation'!$A$20:$J$41,MATCH(A7,'Point Allocation'!$A$20:$J$20,0),0)</f>
        <v>8</v>
      </c>
      <c r="E122" s="927">
        <f>F93</f>
        <v>0</v>
      </c>
      <c r="F122" s="859"/>
      <c r="G122" s="860">
        <f>IFERROR(SUM(E122:F123)/SUM($E$138:$F$138),0)</f>
        <v>0</v>
      </c>
      <c r="H122" s="921">
        <f>D122*G122</f>
        <v>0</v>
      </c>
      <c r="R122" s="53"/>
      <c r="S122" s="45"/>
    </row>
    <row r="123" spans="1:19" s="29" customFormat="1" ht="15.6">
      <c r="A123" s="882"/>
      <c r="B123" s="836" t="s">
        <v>120</v>
      </c>
      <c r="C123" s="838"/>
      <c r="D123" s="926"/>
      <c r="E123" s="927"/>
      <c r="F123" s="859"/>
      <c r="G123" s="861"/>
      <c r="H123" s="921"/>
      <c r="R123" s="53"/>
      <c r="S123" s="45"/>
    </row>
    <row r="124" spans="1:19" s="29" customFormat="1">
      <c r="A124" s="404">
        <v>8.1999999999999993</v>
      </c>
      <c r="B124" s="885" t="s">
        <v>178</v>
      </c>
      <c r="C124" s="884"/>
      <c r="D124" s="98">
        <f>VLOOKUP(A124,'Point Allocation'!$A$20:$J$41,MATCH(A7,'Point Allocation'!$A$20:$J$20,0),0)</f>
        <v>8</v>
      </c>
      <c r="E124" s="189">
        <f>F95</f>
        <v>0</v>
      </c>
      <c r="F124" s="548"/>
      <c r="G124" s="91">
        <f>IFERROR(SUM(E124:F124)/SUM($E$138:$F$138),0)</f>
        <v>0</v>
      </c>
      <c r="H124" s="437">
        <f>D124*G124</f>
        <v>0</v>
      </c>
      <c r="R124" s="53"/>
      <c r="S124" s="45"/>
    </row>
    <row r="125" spans="1:19" s="29" customFormat="1" ht="15.6">
      <c r="A125" s="431">
        <v>9</v>
      </c>
      <c r="B125" s="86" t="s">
        <v>340</v>
      </c>
      <c r="C125" s="93"/>
      <c r="D125" s="95"/>
      <c r="E125" s="95"/>
      <c r="F125" s="95"/>
      <c r="G125" s="96"/>
      <c r="H125" s="436"/>
      <c r="R125" s="53"/>
      <c r="S125" s="45"/>
    </row>
    <row r="126" spans="1:19" s="29" customFormat="1">
      <c r="A126" s="849">
        <v>9.1</v>
      </c>
      <c r="B126" s="844" t="s">
        <v>381</v>
      </c>
      <c r="C126" s="845"/>
      <c r="D126" s="925">
        <f>VLOOKUP(A126,'Point Allocation'!$A$20:$J$41,MATCH(A7,'Point Allocation'!$A$20:$J$20,0),0)</f>
        <v>6</v>
      </c>
      <c r="E126" s="859"/>
      <c r="F126" s="859"/>
      <c r="G126" s="914">
        <f>IFERROR(SUM(E126:F127)/SUM($E$138:$F$138),0)</f>
        <v>0</v>
      </c>
      <c r="H126" s="921">
        <f>D126*G126</f>
        <v>0</v>
      </c>
      <c r="R126" s="53"/>
      <c r="S126" s="45"/>
    </row>
    <row r="127" spans="1:19" s="29" customFormat="1" ht="15.6">
      <c r="A127" s="882"/>
      <c r="B127" s="836" t="s">
        <v>5</v>
      </c>
      <c r="C127" s="838"/>
      <c r="D127" s="926"/>
      <c r="E127" s="859"/>
      <c r="F127" s="859"/>
      <c r="G127" s="914"/>
      <c r="H127" s="921"/>
      <c r="R127" s="53"/>
      <c r="S127" s="45"/>
    </row>
    <row r="128" spans="1:19" s="29" customFormat="1" ht="15.6">
      <c r="A128" s="431">
        <v>10</v>
      </c>
      <c r="B128" s="86" t="s">
        <v>342</v>
      </c>
      <c r="C128" s="93"/>
      <c r="D128" s="95"/>
      <c r="E128" s="95"/>
      <c r="F128" s="95"/>
      <c r="G128" s="96"/>
      <c r="H128" s="436"/>
      <c r="R128" s="53"/>
      <c r="S128" s="45"/>
    </row>
    <row r="129" spans="1:19" s="29" customFormat="1" ht="15" customHeight="1">
      <c r="A129" s="409">
        <v>10.1</v>
      </c>
      <c r="B129" s="844" t="s">
        <v>382</v>
      </c>
      <c r="C129" s="845"/>
      <c r="D129" s="98">
        <f>VLOOKUP(A129,'Point Allocation'!$A$20:$J$41,MATCH(A7,'Point Allocation'!$A$20:$J$20,0),0)</f>
        <v>4</v>
      </c>
      <c r="E129" s="548"/>
      <c r="F129" s="548"/>
      <c r="G129" s="91">
        <f>IFERROR(SUM(E129:F129)/SUM($E$138:$F$138),0)</f>
        <v>0</v>
      </c>
      <c r="H129" s="437">
        <f>D129*G129</f>
        <v>0</v>
      </c>
      <c r="R129" s="53"/>
      <c r="S129" s="45"/>
    </row>
    <row r="130" spans="1:19" s="29" customFormat="1" ht="32.25" customHeight="1">
      <c r="A130" s="406">
        <v>10.199999999999999</v>
      </c>
      <c r="B130" s="928" t="s">
        <v>353</v>
      </c>
      <c r="C130" s="929"/>
      <c r="D130" s="98">
        <f>VLOOKUP(A130,'Point Allocation'!$A$20:$J$41,MATCH(A7,'Point Allocation'!$A$20:$J$20,0),0)</f>
        <v>4</v>
      </c>
      <c r="E130" s="188"/>
      <c r="F130" s="548"/>
      <c r="G130" s="538">
        <f>IFERROR(SUM(E130:F130)/SUM($E$138:$F$138),0)</f>
        <v>0</v>
      </c>
      <c r="H130" s="437">
        <f>D130*G130</f>
        <v>0</v>
      </c>
      <c r="R130" s="53"/>
      <c r="S130" s="45"/>
    </row>
    <row r="131" spans="1:19" s="29" customFormat="1" ht="15.6">
      <c r="A131" s="439" t="s">
        <v>239</v>
      </c>
      <c r="B131" s="99" t="s">
        <v>262</v>
      </c>
      <c r="C131" s="100"/>
      <c r="D131" s="102"/>
      <c r="E131" s="103"/>
      <c r="F131" s="103"/>
      <c r="G131" s="104"/>
      <c r="H131" s="440"/>
      <c r="R131" s="53"/>
      <c r="S131" s="45"/>
    </row>
    <row r="132" spans="1:19" s="29" customFormat="1" ht="15.6">
      <c r="A132" s="431">
        <v>11</v>
      </c>
      <c r="B132" s="86" t="s">
        <v>263</v>
      </c>
      <c r="C132" s="93"/>
      <c r="D132" s="95"/>
      <c r="E132" s="95"/>
      <c r="F132" s="95"/>
      <c r="G132" s="96"/>
      <c r="H132" s="436"/>
      <c r="R132" s="53"/>
      <c r="S132" s="45"/>
    </row>
    <row r="133" spans="1:19" s="29" customFormat="1">
      <c r="A133" s="409">
        <v>11.1</v>
      </c>
      <c r="B133" s="844" t="s">
        <v>593</v>
      </c>
      <c r="C133" s="845"/>
      <c r="D133" s="98">
        <f>VLOOKUP(A133,'Point Allocation'!$A$20:$J$41,MATCH(A7,'Point Allocation'!$A$20:$J$20,0),0)</f>
        <v>2</v>
      </c>
      <c r="E133" s="548"/>
      <c r="F133" s="548"/>
      <c r="G133" s="538">
        <f>IFERROR(SUM(E133:F133)/SUM($E$138:$F$138),0)</f>
        <v>0</v>
      </c>
      <c r="H133" s="437">
        <f t="shared" ref="H133:H137" si="2">D133*G133</f>
        <v>0</v>
      </c>
      <c r="R133" s="53"/>
      <c r="S133" s="45"/>
    </row>
    <row r="134" spans="1:19" s="29" customFormat="1">
      <c r="A134" s="446">
        <v>11.2</v>
      </c>
      <c r="B134" s="874" t="s">
        <v>344</v>
      </c>
      <c r="C134" s="875"/>
      <c r="D134" s="189">
        <f>VLOOKUP(A133,'Point Allocation'!$A$20:$J$41,MATCH(A7,'Point Allocation'!$A$20:$J$20,0),0)</f>
        <v>2</v>
      </c>
      <c r="E134" s="548"/>
      <c r="F134" s="548"/>
      <c r="G134" s="538">
        <f>IFERROR(SUM(E134:F134)/SUM($E$138:$F$138),0)</f>
        <v>0</v>
      </c>
      <c r="H134" s="437">
        <f t="shared" si="2"/>
        <v>0</v>
      </c>
      <c r="R134" s="53"/>
      <c r="S134" s="45"/>
    </row>
    <row r="135" spans="1:19" s="29" customFormat="1">
      <c r="A135" s="409">
        <v>11.3</v>
      </c>
      <c r="B135" s="874" t="s">
        <v>352</v>
      </c>
      <c r="C135" s="875"/>
      <c r="D135" s="98">
        <f>VLOOKUP(A135,'Point Allocation'!$A$20:$J$41,MATCH(A7,'Point Allocation'!$A$20:$J$20,0),0)</f>
        <v>0</v>
      </c>
      <c r="E135" s="548"/>
      <c r="F135" s="548"/>
      <c r="G135" s="538">
        <f>IFERROR(SUM(E135:F135)/SUM($E$138:$F$138),0)</f>
        <v>0</v>
      </c>
      <c r="H135" s="437">
        <f t="shared" si="2"/>
        <v>0</v>
      </c>
      <c r="R135" s="53"/>
      <c r="S135" s="45"/>
    </row>
    <row r="136" spans="1:19" s="29" customFormat="1">
      <c r="A136" s="447">
        <v>11.4</v>
      </c>
      <c r="B136" s="866"/>
      <c r="C136" s="867"/>
      <c r="D136" s="537"/>
      <c r="E136" s="548"/>
      <c r="F136" s="548"/>
      <c r="G136" s="538">
        <f>IFERROR(SUM(E136:F136)/SUM($E$138:$F$138),0)</f>
        <v>0</v>
      </c>
      <c r="H136" s="437">
        <f t="shared" si="2"/>
        <v>0</v>
      </c>
      <c r="R136" s="53"/>
      <c r="S136" s="45"/>
    </row>
    <row r="137" spans="1:19" s="29" customFormat="1">
      <c r="A137" s="447">
        <v>11.5</v>
      </c>
      <c r="B137" s="866"/>
      <c r="C137" s="867"/>
      <c r="D137" s="537"/>
      <c r="E137" s="548"/>
      <c r="F137" s="548"/>
      <c r="G137" s="538">
        <f>IFERROR(SUM(E137:F137)/SUM($E$138:$F$138),0)</f>
        <v>0</v>
      </c>
      <c r="H137" s="437">
        <f t="shared" si="2"/>
        <v>0</v>
      </c>
      <c r="R137" s="53"/>
      <c r="S137" s="45"/>
    </row>
    <row r="138" spans="1:19" s="29" customFormat="1" ht="15.6">
      <c r="A138" s="412"/>
      <c r="B138" s="325"/>
      <c r="C138" s="323"/>
      <c r="D138" s="330" t="s">
        <v>140</v>
      </c>
      <c r="E138" s="333">
        <f>SUM(E120:E137)</f>
        <v>0</v>
      </c>
      <c r="F138" s="335">
        <f>SUM(F120:F137)</f>
        <v>0</v>
      </c>
      <c r="G138" s="336">
        <f>SUM(G120:G137)</f>
        <v>0</v>
      </c>
      <c r="H138" s="448">
        <f>IFERROR(SUM(H120:H137),0)</f>
        <v>0</v>
      </c>
      <c r="R138" s="53"/>
      <c r="S138" s="45"/>
    </row>
    <row r="139" spans="1:19" s="29" customFormat="1">
      <c r="A139" s="414"/>
      <c r="B139" s="325"/>
      <c r="C139" s="323"/>
      <c r="D139" s="323"/>
      <c r="E139" s="323"/>
      <c r="F139" s="323"/>
      <c r="G139" s="332"/>
      <c r="H139" s="388"/>
      <c r="R139" s="53"/>
      <c r="S139" s="45"/>
    </row>
    <row r="140" spans="1:19" s="29" customFormat="1" ht="46.8">
      <c r="A140" s="868" t="s">
        <v>0</v>
      </c>
      <c r="B140" s="869"/>
      <c r="C140" s="176"/>
      <c r="D140" s="545" t="s">
        <v>58</v>
      </c>
      <c r="E140" s="545" t="s">
        <v>59</v>
      </c>
      <c r="F140" s="870" t="s">
        <v>60</v>
      </c>
      <c r="G140" s="870"/>
      <c r="H140" s="449" t="s">
        <v>63</v>
      </c>
      <c r="K140" s="107" t="s">
        <v>72</v>
      </c>
      <c r="L140" s="107">
        <v>1</v>
      </c>
      <c r="M140" s="107">
        <v>2</v>
      </c>
      <c r="N140" s="107">
        <v>3</v>
      </c>
      <c r="O140" s="107">
        <v>4</v>
      </c>
      <c r="P140" s="107">
        <v>5</v>
      </c>
      <c r="Q140" s="107">
        <v>6</v>
      </c>
      <c r="R140" s="53"/>
      <c r="S140" s="45"/>
    </row>
    <row r="141" spans="1:19" s="29" customFormat="1" ht="15.6">
      <c r="A141" s="450" t="s">
        <v>240</v>
      </c>
      <c r="B141" s="130" t="s">
        <v>148</v>
      </c>
      <c r="C141" s="175"/>
      <c r="D141" s="57"/>
      <c r="E141" s="57"/>
      <c r="F141" s="58"/>
      <c r="G141" s="108"/>
      <c r="H141" s="451"/>
      <c r="K141" s="107" t="s">
        <v>74</v>
      </c>
      <c r="L141" s="107" t="s">
        <v>73</v>
      </c>
      <c r="M141" s="107">
        <v>1</v>
      </c>
      <c r="N141" s="107">
        <v>2</v>
      </c>
      <c r="O141" s="107">
        <v>3</v>
      </c>
      <c r="P141" s="107">
        <v>4</v>
      </c>
      <c r="Q141" s="107">
        <v>4</v>
      </c>
      <c r="R141" s="53"/>
      <c r="S141" s="45"/>
    </row>
    <row r="142" spans="1:19" s="29" customFormat="1">
      <c r="A142" s="391" t="s">
        <v>241</v>
      </c>
      <c r="B142" s="520" t="s">
        <v>442</v>
      </c>
      <c r="C142" s="177" t="s">
        <v>56</v>
      </c>
      <c r="D142" s="854"/>
      <c r="E142" s="854"/>
      <c r="F142" s="892" t="str">
        <f>IF(D142&gt;9,D142/E142," ")</f>
        <v xml:space="preserve"> </v>
      </c>
      <c r="G142" s="892"/>
      <c r="H142" s="437">
        <f>IF(D142="",0,IF(D142&lt;9,2,IF((D142/E142)=0,2,IF((D142/E142)&lt;10%,1.5,IF((D142/E142)&lt;15%,1,IF((D142/E142)&lt;20%,0.5,0))))))</f>
        <v>0</v>
      </c>
      <c r="K142" s="107" t="s">
        <v>75</v>
      </c>
      <c r="L142" s="107" t="s">
        <v>73</v>
      </c>
      <c r="M142" s="107">
        <v>5</v>
      </c>
      <c r="N142" s="107">
        <v>15</v>
      </c>
      <c r="O142" s="107">
        <v>25</v>
      </c>
      <c r="P142" s="107">
        <v>35</v>
      </c>
      <c r="Q142" s="107">
        <v>35</v>
      </c>
      <c r="R142" s="53"/>
      <c r="S142" s="45"/>
    </row>
    <row r="143" spans="1:19" s="29" customFormat="1">
      <c r="A143" s="391" t="s">
        <v>242</v>
      </c>
      <c r="B143" s="520" t="s">
        <v>443</v>
      </c>
      <c r="C143" s="177" t="s">
        <v>57</v>
      </c>
      <c r="D143" s="854"/>
      <c r="E143" s="854"/>
      <c r="F143" s="893"/>
      <c r="G143" s="893"/>
      <c r="H143" s="437">
        <f>IF(E142="",0,IF(E142&lt;15,HLOOKUP(F143,K140:Q147,4,FALSE),IF(E142&lt;45,HLOOKUP(F143,K140:Q147,5,FALSE),IF(E142&lt;90,HLOOKUP(F143,K140:Q147,6,FALSE),IF(E142&lt;135,HLOOKUP(F143,K140:Q147,7,FALSE),IF(E142&gt;=135,HLOOKUP(F143,K140:Q147,8,FALSE),3))))))</f>
        <v>0</v>
      </c>
      <c r="J143" s="55"/>
      <c r="K143" s="107" t="s">
        <v>76</v>
      </c>
      <c r="L143" s="107">
        <v>3</v>
      </c>
      <c r="M143" s="107">
        <v>3</v>
      </c>
      <c r="N143" s="107">
        <v>3</v>
      </c>
      <c r="O143" s="107">
        <v>2.5</v>
      </c>
      <c r="P143" s="107">
        <v>1.5</v>
      </c>
      <c r="Q143" s="107">
        <v>0</v>
      </c>
      <c r="R143" s="53"/>
      <c r="S143" s="45"/>
    </row>
    <row r="144" spans="1:19" s="29" customFormat="1">
      <c r="A144" s="412"/>
      <c r="B144" s="325"/>
      <c r="C144" s="332"/>
      <c r="D144" s="337"/>
      <c r="E144" s="337"/>
      <c r="F144" s="337"/>
      <c r="G144" s="337"/>
      <c r="H144" s="452"/>
      <c r="J144" s="55"/>
      <c r="K144" s="107" t="s">
        <v>77</v>
      </c>
      <c r="L144" s="107">
        <v>3</v>
      </c>
      <c r="M144" s="107">
        <v>3</v>
      </c>
      <c r="N144" s="107">
        <v>2.5</v>
      </c>
      <c r="O144" s="107">
        <v>1.5</v>
      </c>
      <c r="P144" s="107">
        <v>1</v>
      </c>
      <c r="Q144" s="107">
        <v>0</v>
      </c>
      <c r="R144" s="53"/>
      <c r="S144" s="45"/>
    </row>
    <row r="145" spans="1:19" s="29" customFormat="1" ht="15.6">
      <c r="A145" s="412"/>
      <c r="B145" s="338"/>
      <c r="C145" s="332"/>
      <c r="D145" s="332"/>
      <c r="E145" s="332"/>
      <c r="F145" s="323"/>
      <c r="G145" s="339"/>
      <c r="H145" s="453"/>
      <c r="J145" s="55"/>
      <c r="K145" s="107" t="s">
        <v>78</v>
      </c>
      <c r="L145" s="107">
        <v>3</v>
      </c>
      <c r="M145" s="107">
        <v>2.5</v>
      </c>
      <c r="N145" s="107">
        <v>1.5</v>
      </c>
      <c r="O145" s="107">
        <v>1</v>
      </c>
      <c r="P145" s="107">
        <v>0</v>
      </c>
      <c r="Q145" s="107">
        <v>0</v>
      </c>
      <c r="R145" s="53"/>
      <c r="S145" s="45"/>
    </row>
    <row r="146" spans="1:19" s="29" customFormat="1" ht="15.75" customHeight="1">
      <c r="A146" s="876" t="s">
        <v>0</v>
      </c>
      <c r="B146" s="877"/>
      <c r="C146" s="991"/>
      <c r="D146" s="880" t="s">
        <v>4</v>
      </c>
      <c r="E146" s="895" t="s">
        <v>1</v>
      </c>
      <c r="F146" s="881"/>
      <c r="G146" s="896" t="s">
        <v>21</v>
      </c>
      <c r="H146" s="890" t="s">
        <v>63</v>
      </c>
      <c r="J146" s="55"/>
      <c r="K146" s="107" t="s">
        <v>79</v>
      </c>
      <c r="L146" s="107">
        <v>3</v>
      </c>
      <c r="M146" s="107">
        <v>1.5</v>
      </c>
      <c r="N146" s="107">
        <v>1</v>
      </c>
      <c r="O146" s="107">
        <v>0</v>
      </c>
      <c r="P146" s="107">
        <v>0</v>
      </c>
      <c r="Q146" s="107">
        <v>0</v>
      </c>
      <c r="R146" s="53"/>
      <c r="S146" s="45"/>
    </row>
    <row r="147" spans="1:19" s="29" customFormat="1" ht="30" customHeight="1">
      <c r="A147" s="878"/>
      <c r="B147" s="879"/>
      <c r="C147" s="992"/>
      <c r="D147" s="881"/>
      <c r="E147" s="545" t="s">
        <v>65</v>
      </c>
      <c r="F147" s="545" t="s">
        <v>66</v>
      </c>
      <c r="G147" s="897"/>
      <c r="H147" s="891"/>
      <c r="J147" s="55"/>
      <c r="K147" s="107" t="s">
        <v>80</v>
      </c>
      <c r="L147" s="107">
        <v>3</v>
      </c>
      <c r="M147" s="107">
        <v>1</v>
      </c>
      <c r="N147" s="107">
        <v>0</v>
      </c>
      <c r="O147" s="107">
        <v>0</v>
      </c>
      <c r="P147" s="107">
        <v>0</v>
      </c>
      <c r="Q147" s="107">
        <v>0</v>
      </c>
      <c r="R147" s="53"/>
      <c r="S147" s="45"/>
    </row>
    <row r="148" spans="1:19" s="29" customFormat="1" ht="15.6">
      <c r="A148" s="454" t="s">
        <v>243</v>
      </c>
      <c r="B148" s="109" t="s">
        <v>264</v>
      </c>
      <c r="C148" s="110"/>
      <c r="D148" s="110"/>
      <c r="E148" s="110"/>
      <c r="F148" s="114"/>
      <c r="G148" s="115"/>
      <c r="H148" s="455"/>
      <c r="K148" s="107" t="s">
        <v>74</v>
      </c>
      <c r="L148" s="107" t="s">
        <v>73</v>
      </c>
      <c r="M148" s="107">
        <v>1</v>
      </c>
      <c r="N148" s="107">
        <v>2</v>
      </c>
      <c r="O148" s="107">
        <v>3</v>
      </c>
      <c r="P148" s="107">
        <v>4</v>
      </c>
      <c r="Q148" s="107">
        <v>4</v>
      </c>
      <c r="R148" s="53"/>
      <c r="S148" s="45"/>
    </row>
    <row r="149" spans="1:19" s="29" customFormat="1" ht="15.6">
      <c r="A149" s="456" t="s">
        <v>244</v>
      </c>
      <c r="B149" s="158" t="s">
        <v>231</v>
      </c>
      <c r="C149" s="159"/>
      <c r="D149" s="160"/>
      <c r="E149" s="161"/>
      <c r="F149" s="161"/>
      <c r="G149" s="162"/>
      <c r="H149" s="457"/>
      <c r="J149" s="55"/>
      <c r="R149" s="53"/>
      <c r="S149" s="45"/>
    </row>
    <row r="150" spans="1:19" s="29" customFormat="1">
      <c r="A150" s="418" t="s">
        <v>245</v>
      </c>
      <c r="B150" s="885" t="s">
        <v>424</v>
      </c>
      <c r="C150" s="884"/>
      <c r="D150" s="163" t="s">
        <v>51</v>
      </c>
      <c r="E150" s="541">
        <v>2</v>
      </c>
      <c r="F150" s="541">
        <v>3</v>
      </c>
      <c r="G150" s="27"/>
      <c r="H150" s="405">
        <f t="shared" ref="H150:H159" si="3">IF(G150&gt;=80%,F150,IF(G150&lt;65%,0,E150))</f>
        <v>0</v>
      </c>
      <c r="R150" s="53"/>
      <c r="S150" s="45"/>
    </row>
    <row r="151" spans="1:19" s="29" customFormat="1">
      <c r="A151" s="418" t="s">
        <v>246</v>
      </c>
      <c r="B151" s="844" t="s">
        <v>423</v>
      </c>
      <c r="C151" s="845"/>
      <c r="D151" s="164" t="s">
        <v>51</v>
      </c>
      <c r="E151" s="20">
        <v>2</v>
      </c>
      <c r="F151" s="20">
        <v>3</v>
      </c>
      <c r="G151" s="547"/>
      <c r="H151" s="405">
        <f>IF(G151&gt;=80%,F151,IF(G151&lt;65%,0,E151))</f>
        <v>0</v>
      </c>
      <c r="R151" s="53"/>
      <c r="S151" s="45"/>
    </row>
    <row r="152" spans="1:19" s="29" customFormat="1" ht="30">
      <c r="A152" s="839" t="s">
        <v>247</v>
      </c>
      <c r="B152" s="915" t="s">
        <v>448</v>
      </c>
      <c r="C152" s="916"/>
      <c r="D152" s="521" t="s">
        <v>446</v>
      </c>
      <c r="E152" s="907">
        <v>2.5</v>
      </c>
      <c r="F152" s="908"/>
      <c r="G152" s="940"/>
      <c r="H152" s="938">
        <f>IF(G152&gt;=35,E153,IF(G152&gt;=30,E152,0))</f>
        <v>0</v>
      </c>
      <c r="R152" s="53"/>
      <c r="S152" s="45"/>
    </row>
    <row r="153" spans="1:19" s="29" customFormat="1" ht="30">
      <c r="A153" s="841"/>
      <c r="B153" s="917"/>
      <c r="C153" s="918"/>
      <c r="D153" s="521" t="s">
        <v>447</v>
      </c>
      <c r="E153" s="907">
        <v>3</v>
      </c>
      <c r="F153" s="908"/>
      <c r="G153" s="941"/>
      <c r="H153" s="939"/>
      <c r="R153" s="53"/>
      <c r="S153" s="45"/>
    </row>
    <row r="154" spans="1:19" s="29" customFormat="1" ht="31.5" customHeight="1">
      <c r="A154" s="839" t="s">
        <v>248</v>
      </c>
      <c r="B154" s="915" t="s">
        <v>449</v>
      </c>
      <c r="C154" s="933"/>
      <c r="D154" s="165" t="s">
        <v>372</v>
      </c>
      <c r="E154" s="864">
        <v>4</v>
      </c>
      <c r="F154" s="865"/>
      <c r="G154" s="942"/>
      <c r="H154" s="945">
        <f>IF(G154&gt;=80,E154,IF(G154&gt;=70,E155,IF(G154&gt;=60,E156,IF(G154&gt;=50,E157,0))))</f>
        <v>0</v>
      </c>
      <c r="I154" s="913"/>
      <c r="R154" s="53"/>
      <c r="S154" s="45"/>
    </row>
    <row r="155" spans="1:19" s="29" customFormat="1" ht="31.5" customHeight="1">
      <c r="A155" s="840"/>
      <c r="B155" s="934"/>
      <c r="C155" s="935"/>
      <c r="D155" s="165" t="s">
        <v>373</v>
      </c>
      <c r="E155" s="864">
        <v>3</v>
      </c>
      <c r="F155" s="865"/>
      <c r="G155" s="943"/>
      <c r="H155" s="946"/>
      <c r="I155" s="913"/>
      <c r="R155" s="53"/>
      <c r="S155" s="45"/>
    </row>
    <row r="156" spans="1:19" s="29" customFormat="1" ht="31.5" customHeight="1">
      <c r="A156" s="840"/>
      <c r="B156" s="934"/>
      <c r="C156" s="935"/>
      <c r="D156" s="165" t="s">
        <v>411</v>
      </c>
      <c r="E156" s="864">
        <v>2</v>
      </c>
      <c r="F156" s="865"/>
      <c r="G156" s="943"/>
      <c r="H156" s="946"/>
      <c r="I156" s="913"/>
      <c r="R156" s="53"/>
      <c r="S156" s="45"/>
    </row>
    <row r="157" spans="1:19" s="29" customFormat="1" ht="31.5" customHeight="1">
      <c r="A157" s="841"/>
      <c r="B157" s="936"/>
      <c r="C157" s="937"/>
      <c r="D157" s="165" t="s">
        <v>412</v>
      </c>
      <c r="E157" s="864">
        <v>1</v>
      </c>
      <c r="F157" s="865"/>
      <c r="G157" s="944"/>
      <c r="H157" s="947"/>
      <c r="I157" s="913"/>
      <c r="R157" s="53"/>
      <c r="S157" s="45"/>
    </row>
    <row r="158" spans="1:19" s="29" customFormat="1" ht="31.5" customHeight="1">
      <c r="A158" s="839" t="s">
        <v>414</v>
      </c>
      <c r="B158" s="915" t="s">
        <v>444</v>
      </c>
      <c r="C158" s="933"/>
      <c r="D158" s="165" t="s">
        <v>67</v>
      </c>
      <c r="E158" s="376">
        <v>3.5</v>
      </c>
      <c r="F158" s="376">
        <v>4</v>
      </c>
      <c r="G158" s="27"/>
      <c r="H158" s="405">
        <f t="shared" si="3"/>
        <v>0</v>
      </c>
      <c r="I158" s="913"/>
      <c r="R158" s="53"/>
      <c r="S158" s="45"/>
    </row>
    <row r="159" spans="1:19" s="29" customFormat="1" ht="30">
      <c r="A159" s="841"/>
      <c r="B159" s="936"/>
      <c r="C159" s="937"/>
      <c r="D159" s="165" t="s">
        <v>68</v>
      </c>
      <c r="E159" s="376">
        <v>2.5</v>
      </c>
      <c r="F159" s="376">
        <v>3</v>
      </c>
      <c r="G159" s="27"/>
      <c r="H159" s="405">
        <f t="shared" si="3"/>
        <v>0</v>
      </c>
      <c r="R159" s="53"/>
      <c r="S159" s="45"/>
    </row>
    <row r="160" spans="1:19" s="29" customFormat="1">
      <c r="A160" s="522" t="s">
        <v>594</v>
      </c>
      <c r="B160" s="999" t="s">
        <v>421</v>
      </c>
      <c r="C160" s="1000"/>
      <c r="D160" s="523" t="s">
        <v>51</v>
      </c>
      <c r="E160" s="551">
        <v>2</v>
      </c>
      <c r="F160" s="551">
        <v>2.5</v>
      </c>
      <c r="G160" s="27"/>
      <c r="H160" s="298">
        <f>IF(G160&gt;=80%,F160,IF(G160&lt;65%,0,E160))</f>
        <v>0</v>
      </c>
      <c r="R160" s="53"/>
      <c r="S160" s="45"/>
    </row>
    <row r="161" spans="1:19" s="29" customFormat="1" ht="15.6">
      <c r="A161" s="431" t="s">
        <v>249</v>
      </c>
      <c r="B161" s="86" t="s">
        <v>299</v>
      </c>
      <c r="C161" s="93"/>
      <c r="D161" s="160"/>
      <c r="E161" s="161"/>
      <c r="F161" s="161"/>
      <c r="G161" s="162"/>
      <c r="H161" s="457"/>
      <c r="I161" s="172"/>
      <c r="R161" s="53"/>
      <c r="S161" s="45"/>
    </row>
    <row r="162" spans="1:19" s="29" customFormat="1" ht="32.25" customHeight="1">
      <c r="A162" s="418" t="s">
        <v>250</v>
      </c>
      <c r="B162" s="936" t="s">
        <v>597</v>
      </c>
      <c r="C162" s="937"/>
      <c r="D162" s="543" t="s">
        <v>51</v>
      </c>
      <c r="E162" s="541">
        <v>2</v>
      </c>
      <c r="F162" s="541">
        <v>2.5</v>
      </c>
      <c r="G162" s="27"/>
      <c r="H162" s="405">
        <f>IF(G162&gt;=80%,F162,IF(G162&lt;65%,0,E162))</f>
        <v>0</v>
      </c>
      <c r="R162" s="53"/>
      <c r="S162" s="45"/>
    </row>
    <row r="163" spans="1:19" s="29" customFormat="1" ht="29.25" customHeight="1">
      <c r="A163" s="418" t="s">
        <v>251</v>
      </c>
      <c r="B163" s="999" t="s">
        <v>445</v>
      </c>
      <c r="C163" s="1000"/>
      <c r="D163" s="543" t="s">
        <v>51</v>
      </c>
      <c r="E163" s="541">
        <v>2</v>
      </c>
      <c r="F163" s="541">
        <v>2.5</v>
      </c>
      <c r="G163" s="27"/>
      <c r="H163" s="405">
        <f>IF(G163&gt;=80%,F163,IF(G163&lt;65%,0,E163))</f>
        <v>0</v>
      </c>
      <c r="R163" s="53"/>
      <c r="S163" s="45"/>
    </row>
    <row r="164" spans="1:19" s="29" customFormat="1" ht="15.6">
      <c r="A164" s="431">
        <v>15</v>
      </c>
      <c r="B164" s="86" t="s">
        <v>278</v>
      </c>
      <c r="C164" s="93"/>
      <c r="D164" s="160"/>
      <c r="E164" s="161"/>
      <c r="F164" s="161"/>
      <c r="G164" s="162"/>
      <c r="H164" s="457"/>
      <c r="I164" s="172"/>
      <c r="R164" s="53"/>
      <c r="S164" s="45"/>
    </row>
    <row r="165" spans="1:19" s="29" customFormat="1">
      <c r="A165" s="839" t="s">
        <v>252</v>
      </c>
      <c r="B165" s="936" t="s">
        <v>297</v>
      </c>
      <c r="C165" s="937"/>
      <c r="D165" s="919" t="s">
        <v>51</v>
      </c>
      <c r="E165" s="910">
        <v>2.5</v>
      </c>
      <c r="F165" s="910">
        <v>4</v>
      </c>
      <c r="G165" s="899"/>
      <c r="H165" s="945">
        <f>IF(G165&gt;=80%,F165,IF(G165&lt;65%,0,E165))</f>
        <v>0</v>
      </c>
      <c r="I165" s="172"/>
      <c r="R165" s="53"/>
      <c r="S165" s="45"/>
    </row>
    <row r="166" spans="1:19" s="29" customFormat="1" ht="15.6">
      <c r="A166" s="841"/>
      <c r="B166" s="998" t="s">
        <v>298</v>
      </c>
      <c r="C166" s="998"/>
      <c r="D166" s="920"/>
      <c r="E166" s="911"/>
      <c r="F166" s="911"/>
      <c r="G166" s="900"/>
      <c r="H166" s="947"/>
      <c r="I166" s="172"/>
      <c r="R166" s="53"/>
      <c r="S166" s="45"/>
    </row>
    <row r="167" spans="1:19" s="29" customFormat="1">
      <c r="A167" s="839" t="s">
        <v>253</v>
      </c>
      <c r="B167" s="885" t="s">
        <v>146</v>
      </c>
      <c r="C167" s="884"/>
      <c r="D167" s="769" t="s">
        <v>51</v>
      </c>
      <c r="E167" s="906">
        <v>2.5</v>
      </c>
      <c r="F167" s="906">
        <v>4</v>
      </c>
      <c r="G167" s="905"/>
      <c r="H167" s="909">
        <f>IF(G167&gt;=80%,F167,IF(G167&lt;65%,0,E167))</f>
        <v>0</v>
      </c>
      <c r="I167" s="172"/>
      <c r="R167" s="53"/>
      <c r="S167" s="45"/>
    </row>
    <row r="168" spans="1:19" s="29" customFormat="1" ht="15.6">
      <c r="A168" s="841"/>
      <c r="B168" s="998" t="s">
        <v>120</v>
      </c>
      <c r="C168" s="998"/>
      <c r="D168" s="769"/>
      <c r="E168" s="906"/>
      <c r="F168" s="906"/>
      <c r="G168" s="905"/>
      <c r="H168" s="909"/>
      <c r="I168" s="172"/>
      <c r="R168" s="53"/>
      <c r="S168" s="45"/>
    </row>
    <row r="169" spans="1:19" s="29" customFormat="1" ht="15.6">
      <c r="A169" s="443">
        <v>16</v>
      </c>
      <c r="B169" s="106" t="s">
        <v>213</v>
      </c>
      <c r="C169" s="93"/>
      <c r="D169" s="93"/>
      <c r="E169" s="95"/>
      <c r="F169" s="95"/>
      <c r="G169" s="96"/>
      <c r="H169" s="436"/>
      <c r="R169" s="60"/>
      <c r="S169" s="45"/>
    </row>
    <row r="170" spans="1:19" s="29" customFormat="1">
      <c r="A170" s="418" t="s">
        <v>255</v>
      </c>
      <c r="B170" s="826"/>
      <c r="C170" s="821"/>
      <c r="D170" s="111"/>
      <c r="E170" s="537"/>
      <c r="F170" s="537"/>
      <c r="G170" s="67"/>
      <c r="H170" s="542">
        <f>IF(G170&gt;=80%,F170,IF(G170&lt;65%,0,E170))</f>
        <v>0</v>
      </c>
      <c r="R170" s="53"/>
      <c r="S170" s="45"/>
    </row>
    <row r="171" spans="1:19" s="29" customFormat="1">
      <c r="A171" s="418" t="s">
        <v>256</v>
      </c>
      <c r="B171" s="826"/>
      <c r="C171" s="821"/>
      <c r="D171" s="111"/>
      <c r="E171" s="537"/>
      <c r="F171" s="537"/>
      <c r="G171" s="67"/>
      <c r="H171" s="542">
        <f>IF(G171&gt;=80%,F171,IF(G171&lt;65%,0,E171))</f>
        <v>0</v>
      </c>
      <c r="R171" s="53"/>
      <c r="S171" s="45"/>
    </row>
    <row r="172" spans="1:19" s="29" customFormat="1">
      <c r="A172" s="418" t="s">
        <v>257</v>
      </c>
      <c r="B172" s="826"/>
      <c r="C172" s="821"/>
      <c r="D172" s="111"/>
      <c r="E172" s="537"/>
      <c r="F172" s="537"/>
      <c r="G172" s="67"/>
      <c r="H172" s="542">
        <f>IF(G172&gt;=80%,F172,IF(G172&lt;65%,0,E172))</f>
        <v>0</v>
      </c>
      <c r="R172" s="53"/>
      <c r="S172" s="45"/>
    </row>
    <row r="173" spans="1:19" s="29" customFormat="1" ht="15.6">
      <c r="A173" s="425"/>
      <c r="B173" s="325"/>
      <c r="C173" s="323"/>
      <c r="D173" s="323"/>
      <c r="E173" s="323"/>
      <c r="F173" s="327"/>
      <c r="G173" s="328" t="s">
        <v>419</v>
      </c>
      <c r="H173" s="458">
        <f>IFERROR((SUM(H142:H172)),0)</f>
        <v>0</v>
      </c>
      <c r="R173" s="53"/>
      <c r="S173" s="45"/>
    </row>
    <row r="174" spans="1:19" s="29" customFormat="1" ht="15.6" thickBot="1">
      <c r="A174" s="491"/>
      <c r="B174" s="492"/>
      <c r="C174" s="493"/>
      <c r="D174" s="493"/>
      <c r="E174" s="493"/>
      <c r="F174" s="493"/>
      <c r="G174" s="480"/>
      <c r="H174" s="639"/>
      <c r="R174" s="53"/>
      <c r="S174" s="45"/>
    </row>
    <row r="175" spans="1:19" s="29" customFormat="1" ht="30.75" customHeight="1">
      <c r="A175" s="995" t="s">
        <v>0</v>
      </c>
      <c r="B175" s="996"/>
      <c r="C175" s="997"/>
      <c r="D175" s="1011" t="s">
        <v>4</v>
      </c>
      <c r="E175" s="902" t="s">
        <v>1</v>
      </c>
      <c r="F175" s="903"/>
      <c r="G175" s="898" t="s">
        <v>21</v>
      </c>
      <c r="H175" s="888" t="s">
        <v>63</v>
      </c>
      <c r="R175" s="53"/>
      <c r="S175" s="45"/>
    </row>
    <row r="176" spans="1:19" s="29" customFormat="1" ht="15.6">
      <c r="A176" s="878"/>
      <c r="B176" s="879"/>
      <c r="C176" s="992"/>
      <c r="D176" s="1012"/>
      <c r="E176" s="545" t="s">
        <v>121</v>
      </c>
      <c r="F176" s="545" t="s">
        <v>122</v>
      </c>
      <c r="G176" s="870"/>
      <c r="H176" s="889"/>
      <c r="R176" s="53"/>
      <c r="S176" s="45"/>
    </row>
    <row r="177" spans="1:19" s="29" customFormat="1" ht="15.6">
      <c r="A177" s="450" t="s">
        <v>254</v>
      </c>
      <c r="B177" s="109" t="s">
        <v>258</v>
      </c>
      <c r="C177" s="110"/>
      <c r="D177" s="110"/>
      <c r="E177" s="110"/>
      <c r="F177" s="114"/>
      <c r="G177" s="115"/>
      <c r="H177" s="455"/>
      <c r="R177" s="53"/>
      <c r="S177" s="45"/>
    </row>
    <row r="178" spans="1:19" s="29" customFormat="1">
      <c r="A178" s="391" t="s">
        <v>300</v>
      </c>
      <c r="B178" s="885" t="s">
        <v>259</v>
      </c>
      <c r="C178" s="886"/>
      <c r="D178" s="5" t="s">
        <v>51</v>
      </c>
      <c r="E178" s="20">
        <v>-1</v>
      </c>
      <c r="F178" s="20">
        <v>-2</v>
      </c>
      <c r="G178" s="28"/>
      <c r="H178" s="405">
        <f>IF(G178&gt;=30%,F178,IF(G178=0%,0,E178))</f>
        <v>0</v>
      </c>
      <c r="R178" s="53"/>
      <c r="S178" s="45"/>
    </row>
    <row r="179" spans="1:19" s="29" customFormat="1">
      <c r="A179" s="391" t="s">
        <v>301</v>
      </c>
      <c r="B179" s="885" t="s">
        <v>260</v>
      </c>
      <c r="C179" s="886"/>
      <c r="D179" s="5" t="s">
        <v>51</v>
      </c>
      <c r="E179" s="20">
        <v>-1</v>
      </c>
      <c r="F179" s="20">
        <v>-1.5</v>
      </c>
      <c r="G179" s="28"/>
      <c r="H179" s="405">
        <f>IF(G179&gt;=30%,F179,IF(G179=0%,0,E179))</f>
        <v>0</v>
      </c>
      <c r="R179" s="53"/>
      <c r="S179" s="45"/>
    </row>
    <row r="180" spans="1:19" s="29" customFormat="1">
      <c r="A180" s="391" t="s">
        <v>302</v>
      </c>
      <c r="B180" s="885" t="s">
        <v>261</v>
      </c>
      <c r="C180" s="886"/>
      <c r="D180" s="5" t="s">
        <v>51</v>
      </c>
      <c r="E180" s="904">
        <v>-1</v>
      </c>
      <c r="F180" s="904"/>
      <c r="G180" s="547"/>
      <c r="H180" s="405">
        <f>IF(G180&gt;0%,E180,0)</f>
        <v>0</v>
      </c>
      <c r="R180" s="53"/>
      <c r="S180" s="45"/>
    </row>
    <row r="181" spans="1:19" s="29" customFormat="1" ht="15.6">
      <c r="A181" s="425"/>
      <c r="B181" s="325"/>
      <c r="C181" s="323"/>
      <c r="D181" s="323"/>
      <c r="E181" s="323"/>
      <c r="F181" s="327"/>
      <c r="G181" s="328" t="s">
        <v>142</v>
      </c>
      <c r="H181" s="458">
        <f>IFERROR(MAX(SUM(H178:H180),-4),0)</f>
        <v>0</v>
      </c>
      <c r="R181" s="45"/>
      <c r="S181" s="45"/>
    </row>
    <row r="182" spans="1:19" s="29" customFormat="1">
      <c r="A182" s="412"/>
      <c r="B182" s="325"/>
      <c r="C182" s="323"/>
      <c r="D182" s="323"/>
      <c r="E182" s="323"/>
      <c r="F182" s="323"/>
      <c r="G182" s="332"/>
      <c r="H182" s="388"/>
      <c r="R182" s="53"/>
      <c r="S182" s="45"/>
    </row>
    <row r="183" spans="1:19" s="29" customFormat="1" ht="15.6">
      <c r="A183" s="412"/>
      <c r="B183" s="325"/>
      <c r="C183" s="323"/>
      <c r="D183" s="323"/>
      <c r="E183" s="323"/>
      <c r="F183" s="323"/>
      <c r="G183" s="330" t="s">
        <v>141</v>
      </c>
      <c r="H183" s="459">
        <f>IFERROR(MIN(SUM(H115+H138+H173+H181),G86),0)</f>
        <v>0</v>
      </c>
      <c r="R183" s="53"/>
      <c r="S183" s="45"/>
    </row>
    <row r="184" spans="1:19" s="29" customFormat="1" ht="16.2" thickBot="1">
      <c r="A184" s="491"/>
      <c r="B184" s="492"/>
      <c r="C184" s="493"/>
      <c r="D184" s="493"/>
      <c r="E184" s="493"/>
      <c r="F184" s="493"/>
      <c r="G184" s="494"/>
      <c r="H184" s="495"/>
      <c r="R184" s="53"/>
      <c r="S184" s="45"/>
    </row>
    <row r="185" spans="1:19" s="29" customFormat="1" ht="15.6">
      <c r="A185" s="481" t="s">
        <v>64</v>
      </c>
      <c r="B185" s="482"/>
      <c r="C185" s="482"/>
      <c r="D185" s="482"/>
      <c r="E185" s="482"/>
      <c r="F185" s="483" t="s">
        <v>43</v>
      </c>
      <c r="G185" s="484">
        <f>VLOOKUP($A$7,'Manpower allocation'!A4:D11,4,FALSE)*100</f>
        <v>15</v>
      </c>
      <c r="H185" s="485" t="s">
        <v>42</v>
      </c>
      <c r="J185" s="112">
        <f>VLOOKUP($A$7,'Manpower allocation'!A4:D11,4,FALSE)*100</f>
        <v>15</v>
      </c>
      <c r="R185" s="53"/>
      <c r="S185" s="45"/>
    </row>
    <row r="186" spans="1:19" s="29" customFormat="1" ht="15.6">
      <c r="A186" s="412"/>
      <c r="B186" s="331"/>
      <c r="C186" s="323"/>
      <c r="D186" s="323"/>
      <c r="E186" s="323"/>
      <c r="F186" s="323"/>
      <c r="G186" s="332"/>
      <c r="H186" s="388"/>
      <c r="R186" s="53"/>
      <c r="S186" s="45"/>
    </row>
    <row r="187" spans="1:19" s="29" customFormat="1" ht="46.8">
      <c r="A187" s="993" t="s">
        <v>0</v>
      </c>
      <c r="B187" s="994"/>
      <c r="C187" s="113"/>
      <c r="D187" s="539" t="s">
        <v>17</v>
      </c>
      <c r="E187" s="539" t="s">
        <v>125</v>
      </c>
      <c r="F187" s="539" t="s">
        <v>109</v>
      </c>
      <c r="G187" s="539" t="s">
        <v>18</v>
      </c>
      <c r="H187" s="544" t="s">
        <v>63</v>
      </c>
      <c r="R187" s="53"/>
      <c r="S187" s="45"/>
    </row>
    <row r="188" spans="1:19" s="29" customFormat="1" ht="15.6">
      <c r="A188" s="454" t="s">
        <v>265</v>
      </c>
      <c r="B188" s="109" t="s">
        <v>358</v>
      </c>
      <c r="C188" s="110"/>
      <c r="D188" s="110"/>
      <c r="E188" s="110"/>
      <c r="F188" s="114"/>
      <c r="G188" s="115"/>
      <c r="H188" s="455"/>
      <c r="R188" s="53"/>
      <c r="S188" s="45"/>
    </row>
    <row r="189" spans="1:19" s="29" customFormat="1" ht="15.6">
      <c r="A189" s="460">
        <v>1</v>
      </c>
      <c r="B189" s="116" t="s">
        <v>338</v>
      </c>
      <c r="C189" s="117"/>
      <c r="D189" s="118"/>
      <c r="E189" s="118"/>
      <c r="F189" s="118"/>
      <c r="G189" s="118"/>
      <c r="H189" s="461"/>
      <c r="R189" s="53"/>
      <c r="S189" s="45"/>
    </row>
    <row r="190" spans="1:19" s="29" customFormat="1">
      <c r="A190" s="409">
        <v>1.1000000000000001</v>
      </c>
      <c r="B190" s="844" t="s">
        <v>290</v>
      </c>
      <c r="C190" s="845"/>
      <c r="D190" s="20">
        <f>VLOOKUP(A190,'Point Allocation'!$A$46:$J$55,MATCH(A7,'Point Allocation'!$A$46:$J$46,0),0)</f>
        <v>15</v>
      </c>
      <c r="E190" s="38"/>
      <c r="F190" s="38"/>
      <c r="G190" s="31">
        <f>MIN(IFERROR(F190/E190,0),100%)</f>
        <v>0</v>
      </c>
      <c r="H190" s="405">
        <f>D190*G190</f>
        <v>0</v>
      </c>
      <c r="R190" s="53"/>
      <c r="S190" s="45"/>
    </row>
    <row r="191" spans="1:19" s="29" customFormat="1" ht="15.6">
      <c r="A191" s="462">
        <v>2</v>
      </c>
      <c r="B191" s="119" t="s">
        <v>339</v>
      </c>
      <c r="C191" s="120"/>
      <c r="D191" s="32"/>
      <c r="E191" s="33"/>
      <c r="F191" s="33"/>
      <c r="G191" s="34"/>
      <c r="H191" s="463"/>
      <c r="R191" s="53"/>
      <c r="S191" s="45"/>
    </row>
    <row r="192" spans="1:19" s="29" customFormat="1" ht="33" customHeight="1">
      <c r="A192" s="464">
        <v>2.1</v>
      </c>
      <c r="B192" s="969" t="s">
        <v>266</v>
      </c>
      <c r="C192" s="971"/>
      <c r="D192" s="20">
        <f>VLOOKUP(A192,'Point Allocation'!$A$46:$J$55,MATCH(A7,'Point Allocation'!$A$46:$J$46,0),0)</f>
        <v>12</v>
      </c>
      <c r="E192" s="38"/>
      <c r="F192" s="38"/>
      <c r="G192" s="31">
        <f>MIN(IFERROR(F192/E192,0),100%)</f>
        <v>0</v>
      </c>
      <c r="H192" s="405">
        <f>D192*G192</f>
        <v>0</v>
      </c>
      <c r="R192" s="53"/>
      <c r="S192" s="45"/>
    </row>
    <row r="193" spans="1:19" s="29" customFormat="1" ht="15.6">
      <c r="A193" s="460">
        <v>3</v>
      </c>
      <c r="B193" s="116" t="s">
        <v>343</v>
      </c>
      <c r="C193" s="121"/>
      <c r="D193" s="35"/>
      <c r="E193" s="35"/>
      <c r="F193" s="35"/>
      <c r="G193" s="34"/>
      <c r="H193" s="465"/>
      <c r="R193" s="53"/>
      <c r="S193" s="45"/>
    </row>
    <row r="194" spans="1:19" s="29" customFormat="1">
      <c r="A194" s="466">
        <v>3.1</v>
      </c>
      <c r="B194" s="850" t="s">
        <v>451</v>
      </c>
      <c r="C194" s="851"/>
      <c r="D194" s="20">
        <f>VLOOKUP(A194,'Point Allocation'!$A$46:$J$55,MATCH(A7,'Point Allocation'!$A$46:$J$46,0),0)</f>
        <v>4</v>
      </c>
      <c r="E194" s="38"/>
      <c r="F194" s="38"/>
      <c r="G194" s="31">
        <f>MIN(IFERROR(F194/E194,0),100%)</f>
        <v>0</v>
      </c>
      <c r="H194" s="405">
        <f>D194*G194</f>
        <v>0</v>
      </c>
      <c r="R194" s="53"/>
      <c r="S194" s="45"/>
    </row>
    <row r="195" spans="1:19" s="29" customFormat="1" ht="32.25" customHeight="1">
      <c r="A195" s="466">
        <v>3.2</v>
      </c>
      <c r="B195" s="850" t="s">
        <v>452</v>
      </c>
      <c r="C195" s="851"/>
      <c r="D195" s="20">
        <f>VLOOKUP(A195,'Point Allocation'!$A$46:$J$55,MATCH(A7,'Point Allocation'!$A$46:$J$46,0),0)</f>
        <v>4</v>
      </c>
      <c r="E195" s="178"/>
      <c r="F195" s="38"/>
      <c r="G195" s="31">
        <f>MIN(IFERROR(F195/E195,0),100%)</f>
        <v>0</v>
      </c>
      <c r="H195" s="405">
        <f>D195*G195</f>
        <v>0</v>
      </c>
      <c r="R195" s="53"/>
      <c r="S195" s="45"/>
    </row>
    <row r="196" spans="1:19" s="29" customFormat="1" ht="32.25" customHeight="1">
      <c r="A196" s="404">
        <v>3.3</v>
      </c>
      <c r="B196" s="885" t="s">
        <v>170</v>
      </c>
      <c r="C196" s="886"/>
      <c r="D196" s="20">
        <f>VLOOKUP(A196,'Point Allocation'!$A$46:$J$55,MATCH(A7,'Point Allocation'!$A$46:$J$46,0),0)</f>
        <v>4</v>
      </c>
      <c r="E196" s="179"/>
      <c r="F196" s="536"/>
      <c r="G196" s="31">
        <f>MIN(IFERROR(F196/E196,0),100%)</f>
        <v>0</v>
      </c>
      <c r="H196" s="405">
        <f>D196*G196</f>
        <v>0</v>
      </c>
      <c r="R196" s="53"/>
      <c r="S196" s="45"/>
    </row>
    <row r="197" spans="1:19" s="29" customFormat="1" ht="15.6">
      <c r="A197" s="412"/>
      <c r="B197" s="325"/>
      <c r="C197" s="323"/>
      <c r="D197" s="324" t="s">
        <v>6</v>
      </c>
      <c r="E197" s="300">
        <f>MAX(SUM(E190:E196),F197)</f>
        <v>0</v>
      </c>
      <c r="F197" s="300">
        <f>SUM(F190:F196)</f>
        <v>0</v>
      </c>
      <c r="G197" s="340">
        <f>IFERROR(MIN(F197/E197,100%),0)</f>
        <v>0</v>
      </c>
      <c r="H197" s="413">
        <f>IFERROR(SUM(H190:H196),0)</f>
        <v>0</v>
      </c>
      <c r="R197" s="53"/>
      <c r="S197" s="45"/>
    </row>
    <row r="198" spans="1:19" s="29" customFormat="1" ht="15.6">
      <c r="A198" s="412"/>
      <c r="B198" s="338"/>
      <c r="C198" s="341"/>
      <c r="D198" s="342"/>
      <c r="E198" s="341"/>
      <c r="F198" s="341"/>
      <c r="G198" s="343"/>
      <c r="H198" s="467"/>
      <c r="R198" s="53"/>
      <c r="S198" s="45"/>
    </row>
    <row r="199" spans="1:19" s="29" customFormat="1" ht="15.6">
      <c r="A199" s="993" t="s">
        <v>0</v>
      </c>
      <c r="B199" s="994"/>
      <c r="C199" s="982"/>
      <c r="D199" s="901" t="s">
        <v>4</v>
      </c>
      <c r="E199" s="901" t="s">
        <v>1</v>
      </c>
      <c r="F199" s="901"/>
      <c r="G199" s="894" t="s">
        <v>21</v>
      </c>
      <c r="H199" s="887" t="s">
        <v>63</v>
      </c>
      <c r="R199" s="53"/>
      <c r="S199" s="45"/>
    </row>
    <row r="200" spans="1:19" s="29" customFormat="1" ht="30.75" customHeight="1">
      <c r="A200" s="1007"/>
      <c r="B200" s="1008"/>
      <c r="C200" s="983"/>
      <c r="D200" s="901"/>
      <c r="E200" s="539" t="s">
        <v>65</v>
      </c>
      <c r="F200" s="539" t="s">
        <v>66</v>
      </c>
      <c r="G200" s="894"/>
      <c r="H200" s="887"/>
      <c r="R200" s="53"/>
      <c r="S200" s="45"/>
    </row>
    <row r="201" spans="1:19" s="29" customFormat="1" ht="15.6">
      <c r="A201" s="415" t="s">
        <v>271</v>
      </c>
      <c r="B201" s="46" t="s">
        <v>272</v>
      </c>
      <c r="C201" s="57"/>
      <c r="D201" s="57"/>
      <c r="E201" s="57"/>
      <c r="F201" s="58"/>
      <c r="G201" s="108"/>
      <c r="H201" s="451"/>
      <c r="R201" s="53"/>
      <c r="S201" s="45"/>
    </row>
    <row r="202" spans="1:19" s="29" customFormat="1" ht="15.6">
      <c r="A202" s="468">
        <v>4</v>
      </c>
      <c r="B202" s="122" t="s">
        <v>341</v>
      </c>
      <c r="C202" s="120"/>
      <c r="D202" s="123"/>
      <c r="E202" s="124"/>
      <c r="F202" s="124"/>
      <c r="G202" s="125"/>
      <c r="H202" s="469"/>
      <c r="R202" s="53"/>
      <c r="S202" s="45"/>
    </row>
    <row r="203" spans="1:19" s="29" customFormat="1">
      <c r="A203" s="409">
        <v>4.0999999999999996</v>
      </c>
      <c r="B203" s="844" t="s">
        <v>164</v>
      </c>
      <c r="C203" s="845"/>
      <c r="D203" s="5" t="s">
        <v>51</v>
      </c>
      <c r="E203" s="20" t="s">
        <v>50</v>
      </c>
      <c r="F203" s="20">
        <f>VLOOKUP(A203,'Point Allocation'!$A$46:$J$55,MATCH(A7,'Point Allocation'!$A$46:$J$46,0),0)</f>
        <v>1.5</v>
      </c>
      <c r="G203" s="547"/>
      <c r="H203" s="405">
        <f>IF(G203&gt;=80%,F203,0)</f>
        <v>0</v>
      </c>
      <c r="R203" s="53"/>
      <c r="S203" s="45"/>
    </row>
    <row r="204" spans="1:19" s="29" customFormat="1">
      <c r="A204" s="409">
        <v>4.2</v>
      </c>
      <c r="B204" s="844" t="s">
        <v>161</v>
      </c>
      <c r="C204" s="845"/>
      <c r="D204" s="5" t="s">
        <v>51</v>
      </c>
      <c r="E204" s="20" t="s">
        <v>50</v>
      </c>
      <c r="F204" s="20">
        <f>VLOOKUP(A204,'Point Allocation'!$A$46:$J$55,MATCH(A7,'Point Allocation'!$A$46:$J$46,0),0)</f>
        <v>1.5</v>
      </c>
      <c r="G204" s="547"/>
      <c r="H204" s="405">
        <f>IF(G204&gt;=80%,F204,0)</f>
        <v>0</v>
      </c>
      <c r="R204" s="53"/>
      <c r="S204" s="45"/>
    </row>
    <row r="205" spans="1:19" s="29" customFormat="1">
      <c r="A205" s="409">
        <v>4.3</v>
      </c>
      <c r="B205" s="844" t="s">
        <v>155</v>
      </c>
      <c r="C205" s="845"/>
      <c r="D205" s="5" t="s">
        <v>3</v>
      </c>
      <c r="E205" s="20" t="s">
        <v>50</v>
      </c>
      <c r="F205" s="20">
        <f>VLOOKUP(A205,'Point Allocation'!$A$46:$J$55,MATCH(A7,'Point Allocation'!$A$46:$J$46,0),0)</f>
        <v>1.5</v>
      </c>
      <c r="G205" s="547"/>
      <c r="H205" s="405">
        <f>IF(G205&gt;=80%,F205,0)</f>
        <v>0</v>
      </c>
      <c r="R205" s="53"/>
      <c r="S205" s="45"/>
    </row>
    <row r="206" spans="1:19" s="29" customFormat="1">
      <c r="A206" s="470">
        <v>4.4000000000000004</v>
      </c>
      <c r="B206" s="874" t="s">
        <v>270</v>
      </c>
      <c r="C206" s="875"/>
      <c r="D206" s="5" t="s">
        <v>3</v>
      </c>
      <c r="E206" s="20" t="s">
        <v>50</v>
      </c>
      <c r="F206" s="20">
        <f>VLOOKUP(A206,'Point Allocation'!$A$46:$J$55,MATCH(A7,'Point Allocation'!$A$46:$J$46,0),0)</f>
        <v>1.5</v>
      </c>
      <c r="G206" s="547"/>
      <c r="H206" s="405">
        <f>IF(G206&gt;=80%,F206,0)</f>
        <v>0</v>
      </c>
      <c r="R206" s="53"/>
      <c r="S206" s="45"/>
    </row>
    <row r="207" spans="1:19" s="29" customFormat="1" ht="15.6">
      <c r="A207" s="468">
        <v>5</v>
      </c>
      <c r="B207" s="122" t="s">
        <v>213</v>
      </c>
      <c r="C207" s="120"/>
      <c r="D207" s="126"/>
      <c r="E207" s="127"/>
      <c r="F207" s="127"/>
      <c r="G207" s="128"/>
      <c r="H207" s="471"/>
      <c r="R207" s="53"/>
      <c r="S207" s="45"/>
    </row>
    <row r="208" spans="1:19" s="29" customFormat="1">
      <c r="A208" s="411">
        <v>5.0999999999999996</v>
      </c>
      <c r="B208" s="826"/>
      <c r="C208" s="847"/>
      <c r="D208" s="530"/>
      <c r="E208" s="536"/>
      <c r="F208" s="536"/>
      <c r="G208" s="547"/>
      <c r="H208" s="542">
        <f>IF(G208&gt;=80%,F208,IF(G208&lt;65%,0,E208))</f>
        <v>0</v>
      </c>
      <c r="R208" s="53"/>
      <c r="S208" s="45"/>
    </row>
    <row r="209" spans="1:19" s="29" customFormat="1">
      <c r="A209" s="411">
        <v>5.2</v>
      </c>
      <c r="B209" s="826"/>
      <c r="C209" s="847"/>
      <c r="D209" s="530"/>
      <c r="E209" s="536"/>
      <c r="F209" s="536"/>
      <c r="G209" s="547"/>
      <c r="H209" s="542">
        <f>IF(G209&gt;=80%,F209,IF(G209&lt;65%,0,E209))</f>
        <v>0</v>
      </c>
      <c r="R209" s="53"/>
      <c r="S209" s="45"/>
    </row>
    <row r="210" spans="1:19" s="29" customFormat="1">
      <c r="A210" s="411">
        <v>5.3</v>
      </c>
      <c r="B210" s="826"/>
      <c r="C210" s="847"/>
      <c r="D210" s="530"/>
      <c r="E210" s="536"/>
      <c r="F210" s="536"/>
      <c r="G210" s="547"/>
      <c r="H210" s="542">
        <f>IF(G210&gt;=80%,F210,IF(G210&lt;65%,0,E210))</f>
        <v>0</v>
      </c>
      <c r="R210" s="53"/>
      <c r="S210" s="45"/>
    </row>
    <row r="211" spans="1:19" s="29" customFormat="1" ht="15.6">
      <c r="A211" s="412"/>
      <c r="B211" s="344"/>
      <c r="C211" s="344"/>
      <c r="D211" s="332"/>
      <c r="E211" s="332"/>
      <c r="F211" s="332"/>
      <c r="G211" s="330" t="s">
        <v>7</v>
      </c>
      <c r="H211" s="445">
        <f>IFERROR(SUM(H203:H206,H208:H210),0)</f>
        <v>0</v>
      </c>
      <c r="R211" s="53"/>
      <c r="S211" s="45"/>
    </row>
    <row r="212" spans="1:19" s="29" customFormat="1">
      <c r="A212" s="412"/>
      <c r="B212" s="325"/>
      <c r="C212" s="323"/>
      <c r="D212" s="323"/>
      <c r="E212" s="323"/>
      <c r="F212" s="323"/>
      <c r="G212" s="332"/>
      <c r="H212" s="388"/>
      <c r="R212" s="53"/>
      <c r="S212" s="45"/>
    </row>
    <row r="213" spans="1:19" s="29" customFormat="1" ht="15.6">
      <c r="A213" s="993" t="s">
        <v>0</v>
      </c>
      <c r="B213" s="994"/>
      <c r="C213" s="982"/>
      <c r="D213" s="894" t="s">
        <v>4</v>
      </c>
      <c r="E213" s="901" t="s">
        <v>1</v>
      </c>
      <c r="F213" s="901"/>
      <c r="G213" s="894" t="s">
        <v>21</v>
      </c>
      <c r="H213" s="887" t="s">
        <v>63</v>
      </c>
      <c r="R213" s="53"/>
      <c r="S213" s="45"/>
    </row>
    <row r="214" spans="1:19" s="29" customFormat="1" ht="31.2">
      <c r="A214" s="1007"/>
      <c r="B214" s="1008"/>
      <c r="C214" s="983"/>
      <c r="D214" s="901"/>
      <c r="E214" s="539" t="s">
        <v>65</v>
      </c>
      <c r="F214" s="539" t="s">
        <v>66</v>
      </c>
      <c r="G214" s="894"/>
      <c r="H214" s="887"/>
      <c r="R214" s="53"/>
      <c r="S214" s="45"/>
    </row>
    <row r="215" spans="1:19" s="29" customFormat="1" ht="15.6">
      <c r="A215" s="454" t="s">
        <v>273</v>
      </c>
      <c r="B215" s="109" t="s">
        <v>234</v>
      </c>
      <c r="C215" s="129"/>
      <c r="D215" s="130"/>
      <c r="E215" s="130"/>
      <c r="F215" s="131"/>
      <c r="G215" s="132"/>
      <c r="H215" s="472"/>
      <c r="R215" s="53"/>
      <c r="S215" s="45"/>
    </row>
    <row r="216" spans="1:19" s="29" customFormat="1" ht="15.6">
      <c r="A216" s="391" t="s">
        <v>199</v>
      </c>
      <c r="B216" s="844" t="s">
        <v>274</v>
      </c>
      <c r="C216" s="845"/>
      <c r="D216" s="98" t="s">
        <v>2</v>
      </c>
      <c r="E216" s="98">
        <v>1</v>
      </c>
      <c r="F216" s="98">
        <v>2</v>
      </c>
      <c r="G216" s="67"/>
      <c r="H216" s="437">
        <f>IF(G216&gt;=80%,F216,IF(G216&lt;65%,0,E216))</f>
        <v>0</v>
      </c>
      <c r="K216" s="135"/>
      <c r="R216" s="53"/>
      <c r="S216" s="45"/>
    </row>
    <row r="217" spans="1:19" s="29" customFormat="1" ht="31.5" customHeight="1">
      <c r="A217" s="473" t="s">
        <v>200</v>
      </c>
      <c r="B217" s="960" t="s">
        <v>275</v>
      </c>
      <c r="C217" s="962"/>
      <c r="D217" s="98" t="s">
        <v>51</v>
      </c>
      <c r="E217" s="98">
        <v>0.5</v>
      </c>
      <c r="F217" s="98">
        <v>1</v>
      </c>
      <c r="G217" s="67"/>
      <c r="H217" s="437">
        <f>IF(G217&gt;=80%,F217,IF(G217&lt;65%,0,E217))</f>
        <v>0</v>
      </c>
      <c r="R217" s="53"/>
      <c r="S217" s="45"/>
    </row>
    <row r="218" spans="1:19" s="29" customFormat="1" ht="15.6">
      <c r="A218" s="412"/>
      <c r="B218" s="325"/>
      <c r="C218" s="323"/>
      <c r="D218" s="323"/>
      <c r="E218" s="323"/>
      <c r="F218" s="326"/>
      <c r="G218" s="330" t="s">
        <v>110</v>
      </c>
      <c r="H218" s="474">
        <f>IFERROR(SUM(H216:H217),0)</f>
        <v>0</v>
      </c>
      <c r="R218" s="53"/>
      <c r="S218" s="45"/>
    </row>
    <row r="219" spans="1:19" s="29" customFormat="1">
      <c r="A219" s="412"/>
      <c r="B219" s="325"/>
      <c r="C219" s="323"/>
      <c r="D219" s="323"/>
      <c r="E219" s="323"/>
      <c r="F219" s="323"/>
      <c r="G219" s="332"/>
      <c r="H219" s="388"/>
      <c r="R219" s="53"/>
      <c r="S219" s="45"/>
    </row>
    <row r="220" spans="1:19" s="29" customFormat="1" ht="15.6">
      <c r="A220" s="412"/>
      <c r="B220" s="325"/>
      <c r="C220" s="323"/>
      <c r="D220" s="323"/>
      <c r="E220" s="323"/>
      <c r="F220" s="323"/>
      <c r="G220" s="330" t="s">
        <v>111</v>
      </c>
      <c r="H220" s="474">
        <f>IFERROR(MIN(SUM(H197+H211+H218),G185),0)</f>
        <v>0</v>
      </c>
      <c r="R220" s="53"/>
      <c r="S220" s="45"/>
    </row>
    <row r="221" spans="1:19" s="29" customFormat="1" ht="16.2" thickBot="1">
      <c r="A221" s="491"/>
      <c r="B221" s="492"/>
      <c r="C221" s="493"/>
      <c r="D221" s="493"/>
      <c r="E221" s="493"/>
      <c r="F221" s="493"/>
      <c r="G221" s="496"/>
      <c r="H221" s="495"/>
      <c r="R221" s="53"/>
      <c r="S221" s="45"/>
    </row>
    <row r="222" spans="1:19" s="29" customFormat="1" ht="15.6">
      <c r="A222" s="633" t="s">
        <v>137</v>
      </c>
      <c r="B222" s="634"/>
      <c r="C222" s="634"/>
      <c r="D222" s="634"/>
      <c r="E222" s="634"/>
      <c r="F222" s="635" t="s">
        <v>43</v>
      </c>
      <c r="G222" s="636">
        <v>20</v>
      </c>
      <c r="H222" s="637" t="s">
        <v>42</v>
      </c>
      <c r="R222" s="53"/>
      <c r="S222" s="45"/>
    </row>
    <row r="223" spans="1:19" s="29" customFormat="1" ht="15.6">
      <c r="A223" s="412"/>
      <c r="B223" s="347"/>
      <c r="C223" s="323"/>
      <c r="D223" s="323"/>
      <c r="E223" s="323"/>
      <c r="F223" s="323"/>
      <c r="G223" s="332"/>
      <c r="H223" s="388"/>
      <c r="R223" s="53"/>
      <c r="S223" s="45"/>
    </row>
    <row r="224" spans="1:19" s="29" customFormat="1" ht="33" customHeight="1">
      <c r="A224" s="1009" t="s">
        <v>0</v>
      </c>
      <c r="B224" s="1010"/>
      <c r="C224" s="136"/>
      <c r="D224" s="136"/>
      <c r="E224" s="137" t="s">
        <v>4</v>
      </c>
      <c r="F224" s="137" t="s">
        <v>70</v>
      </c>
      <c r="G224" s="138" t="s">
        <v>21</v>
      </c>
      <c r="H224" s="475" t="s">
        <v>63</v>
      </c>
      <c r="R224" s="53"/>
      <c r="S224" s="45"/>
    </row>
    <row r="225" spans="1:19" s="29" customFormat="1" ht="15.6">
      <c r="A225" s="454" t="s">
        <v>276</v>
      </c>
      <c r="B225" s="109" t="s">
        <v>277</v>
      </c>
      <c r="C225" s="110"/>
      <c r="D225" s="110"/>
      <c r="E225" s="110"/>
      <c r="F225" s="58"/>
      <c r="G225" s="139"/>
      <c r="H225" s="476"/>
      <c r="J225" s="134"/>
      <c r="R225" s="53"/>
      <c r="S225" s="45"/>
    </row>
    <row r="226" spans="1:19" s="29" customFormat="1" ht="15.6">
      <c r="A226" s="411">
        <v>1.1000000000000001</v>
      </c>
      <c r="B226" s="836" t="s">
        <v>123</v>
      </c>
      <c r="C226" s="837"/>
      <c r="D226" s="838"/>
      <c r="E226" s="167"/>
      <c r="F226" s="140"/>
      <c r="G226" s="141"/>
      <c r="H226" s="441">
        <f t="shared" ref="H226:H231" si="4">F226*G226</f>
        <v>0</v>
      </c>
      <c r="R226" s="53"/>
      <c r="S226" s="45"/>
    </row>
    <row r="227" spans="1:19" s="29" customFormat="1" ht="15.6">
      <c r="A227" s="406">
        <v>1.2</v>
      </c>
      <c r="B227" s="1004" t="s">
        <v>124</v>
      </c>
      <c r="C227" s="1005"/>
      <c r="D227" s="1006"/>
      <c r="E227" s="167"/>
      <c r="F227" s="140"/>
      <c r="G227" s="141"/>
      <c r="H227" s="441">
        <f t="shared" si="4"/>
        <v>0</v>
      </c>
      <c r="R227" s="53"/>
      <c r="S227" s="45"/>
    </row>
    <row r="228" spans="1:19" s="29" customFormat="1" ht="15.6">
      <c r="A228" s="411">
        <v>1.3</v>
      </c>
      <c r="B228" s="836" t="s">
        <v>115</v>
      </c>
      <c r="C228" s="837"/>
      <c r="D228" s="838"/>
      <c r="E228" s="167"/>
      <c r="F228" s="140"/>
      <c r="G228" s="141"/>
      <c r="H228" s="441">
        <f t="shared" si="4"/>
        <v>0</v>
      </c>
      <c r="R228" s="53"/>
      <c r="S228" s="45"/>
    </row>
    <row r="229" spans="1:19" s="29" customFormat="1" ht="15.6">
      <c r="A229" s="411">
        <v>1.4</v>
      </c>
      <c r="B229" s="836" t="s">
        <v>305</v>
      </c>
      <c r="C229" s="837"/>
      <c r="D229" s="838"/>
      <c r="E229" s="167"/>
      <c r="F229" s="140"/>
      <c r="G229" s="141"/>
      <c r="H229" s="441">
        <f t="shared" si="4"/>
        <v>0</v>
      </c>
      <c r="R229" s="53"/>
      <c r="S229" s="45"/>
    </row>
    <row r="230" spans="1:19" s="29" customFormat="1" ht="15.6">
      <c r="A230" s="411">
        <v>1.5</v>
      </c>
      <c r="B230" s="836"/>
      <c r="C230" s="837"/>
      <c r="D230" s="838"/>
      <c r="E230" s="167"/>
      <c r="F230" s="140"/>
      <c r="G230" s="141"/>
      <c r="H230" s="441">
        <f t="shared" si="4"/>
        <v>0</v>
      </c>
      <c r="R230" s="53"/>
      <c r="S230" s="45"/>
    </row>
    <row r="231" spans="1:19" s="29" customFormat="1" ht="15.6">
      <c r="A231" s="411">
        <v>1.6</v>
      </c>
      <c r="B231" s="836"/>
      <c r="C231" s="837"/>
      <c r="D231" s="838"/>
      <c r="E231" s="111"/>
      <c r="F231" s="142"/>
      <c r="G231" s="67"/>
      <c r="H231" s="441">
        <f t="shared" si="4"/>
        <v>0</v>
      </c>
      <c r="R231" s="53"/>
      <c r="S231" s="45"/>
    </row>
    <row r="232" spans="1:19" s="29" customFormat="1" ht="15.6">
      <c r="A232" s="454" t="s">
        <v>279</v>
      </c>
      <c r="B232" s="109" t="s">
        <v>278</v>
      </c>
      <c r="C232" s="110"/>
      <c r="D232" s="110"/>
      <c r="E232" s="110"/>
      <c r="F232" s="58"/>
      <c r="G232" s="139"/>
      <c r="H232" s="476"/>
      <c r="R232" s="53"/>
      <c r="S232" s="45"/>
    </row>
    <row r="233" spans="1:19" s="29" customFormat="1">
      <c r="A233" s="411">
        <v>2.1</v>
      </c>
      <c r="B233" s="1001" t="s">
        <v>138</v>
      </c>
      <c r="C233" s="1002"/>
      <c r="D233" s="1003"/>
      <c r="E233" s="157" t="s">
        <v>410</v>
      </c>
      <c r="F233" s="527">
        <v>2</v>
      </c>
      <c r="G233" s="528"/>
      <c r="H233" s="441">
        <f>IFERROR(VLOOKUP(E233,K234:L237,2,FALSE),0)</f>
        <v>0</v>
      </c>
      <c r="K233" s="29" t="s">
        <v>410</v>
      </c>
      <c r="L233" s="29">
        <v>0</v>
      </c>
      <c r="R233" s="53"/>
      <c r="S233" s="45"/>
    </row>
    <row r="234" spans="1:19" s="29" customFormat="1" ht="15.6">
      <c r="A234" s="412"/>
      <c r="B234" s="322"/>
      <c r="C234" s="323"/>
      <c r="D234" s="323"/>
      <c r="E234" s="323"/>
      <c r="F234" s="323"/>
      <c r="G234" s="330" t="s">
        <v>139</v>
      </c>
      <c r="H234" s="477">
        <f>IFERROR(MIN(SUM(H226:H233),G222),0)</f>
        <v>0</v>
      </c>
      <c r="K234" s="29" t="s">
        <v>406</v>
      </c>
      <c r="L234" s="29">
        <v>2</v>
      </c>
      <c r="R234" s="45"/>
      <c r="S234" s="45"/>
    </row>
    <row r="235" spans="1:19" s="29" customFormat="1">
      <c r="A235" s="412"/>
      <c r="B235" s="325"/>
      <c r="C235" s="323"/>
      <c r="D235" s="323"/>
      <c r="E235" s="323"/>
      <c r="F235" s="323"/>
      <c r="G235" s="332"/>
      <c r="H235" s="388"/>
      <c r="K235" s="29" t="s">
        <v>407</v>
      </c>
      <c r="L235" s="29">
        <v>2</v>
      </c>
      <c r="R235" s="45"/>
      <c r="S235" s="45"/>
    </row>
    <row r="236" spans="1:19" s="29" customFormat="1" ht="15.6">
      <c r="A236" s="412"/>
      <c r="B236" s="325"/>
      <c r="C236" s="323"/>
      <c r="D236" s="323"/>
      <c r="E236" s="323"/>
      <c r="F236" s="323"/>
      <c r="G236" s="330" t="s">
        <v>69</v>
      </c>
      <c r="H236" s="445">
        <f>IFERROR(H84+H183+H220+H234,0)</f>
        <v>0</v>
      </c>
      <c r="K236" s="29" t="s">
        <v>408</v>
      </c>
      <c r="L236" s="29">
        <v>2</v>
      </c>
      <c r="R236" s="45"/>
      <c r="S236" s="45"/>
    </row>
    <row r="237" spans="1:19" s="29" customFormat="1">
      <c r="A237" s="412"/>
      <c r="B237" s="325"/>
      <c r="C237" s="323"/>
      <c r="D237" s="323"/>
      <c r="E237" s="323"/>
      <c r="F237" s="323"/>
      <c r="G237" s="332"/>
      <c r="H237" s="388"/>
      <c r="K237" s="29" t="s">
        <v>409</v>
      </c>
      <c r="L237" s="29">
        <v>2</v>
      </c>
      <c r="R237" s="53"/>
      <c r="S237" s="45"/>
    </row>
    <row r="238" spans="1:19" s="29" customFormat="1" ht="15.75" customHeight="1">
      <c r="A238" s="412"/>
      <c r="B238" s="345" t="s">
        <v>37</v>
      </c>
      <c r="C238" s="332"/>
      <c r="D238" s="1013" t="s">
        <v>415</v>
      </c>
      <c r="E238" s="1013"/>
      <c r="F238" s="1013"/>
      <c r="G238" s="332"/>
      <c r="H238" s="478"/>
      <c r="R238" s="53"/>
      <c r="S238" s="45"/>
    </row>
    <row r="239" spans="1:19" s="29" customFormat="1" ht="15.6">
      <c r="A239" s="412"/>
      <c r="B239" s="346"/>
      <c r="C239" s="332"/>
      <c r="D239" s="1013"/>
      <c r="E239" s="1013"/>
      <c r="F239" s="1013"/>
      <c r="G239" s="332"/>
      <c r="H239" s="478"/>
      <c r="R239" s="53"/>
      <c r="S239" s="45"/>
    </row>
    <row r="240" spans="1:19" s="29" customFormat="1" ht="15.6">
      <c r="A240" s="479" t="s">
        <v>280</v>
      </c>
      <c r="B240" s="346" t="s">
        <v>100</v>
      </c>
      <c r="C240" s="369">
        <f>IFERROR(SUM(G29+G32+G34+G35+G44+G47),0)</f>
        <v>0</v>
      </c>
      <c r="D240" s="332" t="s">
        <v>284</v>
      </c>
      <c r="E240" s="141"/>
      <c r="F240" s="332" t="s">
        <v>285</v>
      </c>
      <c r="G240" s="144">
        <f>MIN(IFERROR(SUM(C240+E240),0),100%)</f>
        <v>0</v>
      </c>
      <c r="H240" s="388"/>
      <c r="M240" s="53"/>
      <c r="N240" s="45"/>
    </row>
    <row r="241" spans="1:19" s="29" customFormat="1" ht="15.6">
      <c r="A241" s="479" t="s">
        <v>281</v>
      </c>
      <c r="B241" s="346" t="s">
        <v>101</v>
      </c>
      <c r="C241" s="369">
        <f>IFERROR(SUM(F19+G91+G93+G95+G98+G101+G102+G103+G104+G105),0)</f>
        <v>0</v>
      </c>
      <c r="D241" s="332" t="s">
        <v>284</v>
      </c>
      <c r="E241" s="141"/>
      <c r="F241" s="332" t="s">
        <v>285</v>
      </c>
      <c r="G241" s="144">
        <f t="shared" ref="G241:G242" si="5">MIN(IFERROR(SUM(C241+E241),0),100%)</f>
        <v>0</v>
      </c>
      <c r="H241" s="388"/>
      <c r="M241" s="53"/>
      <c r="N241" s="45"/>
    </row>
    <row r="242" spans="1:19" s="29" customFormat="1" ht="15.6">
      <c r="A242" s="479" t="s">
        <v>282</v>
      </c>
      <c r="B242" s="346" t="s">
        <v>102</v>
      </c>
      <c r="C242" s="369">
        <f>IFERROR(G197,0)</f>
        <v>0</v>
      </c>
      <c r="D242" s="332" t="s">
        <v>284</v>
      </c>
      <c r="E242" s="141"/>
      <c r="F242" s="303" t="s">
        <v>285</v>
      </c>
      <c r="G242" s="144">
        <f t="shared" si="5"/>
        <v>0</v>
      </c>
      <c r="H242" s="283"/>
      <c r="I242" s="3"/>
      <c r="J242" s="3"/>
      <c r="K242" s="3"/>
      <c r="L242" s="3"/>
      <c r="M242" s="53"/>
      <c r="N242" s="45"/>
    </row>
    <row r="243" spans="1:19" s="29" customFormat="1" ht="15.6" thickBot="1">
      <c r="A243" s="491"/>
      <c r="B243" s="492"/>
      <c r="C243" s="493"/>
      <c r="D243" s="493"/>
      <c r="E243" s="493"/>
      <c r="F243" s="493"/>
      <c r="G243" s="638"/>
      <c r="H243" s="639"/>
      <c r="K243" s="3"/>
      <c r="L243" s="3"/>
      <c r="M243" s="3"/>
      <c r="N243" s="3"/>
      <c r="O243" s="3"/>
      <c r="P243" s="3"/>
      <c r="Q243" s="3"/>
      <c r="R243" s="53"/>
      <c r="S243" s="45"/>
    </row>
    <row r="244" spans="1:19" s="29" customFormat="1">
      <c r="A244" s="174"/>
      <c r="B244" s="3"/>
      <c r="C244" s="3"/>
      <c r="D244" s="3"/>
      <c r="E244" s="3"/>
      <c r="F244" s="3"/>
      <c r="G244" s="10"/>
      <c r="H244" s="3"/>
      <c r="K244" s="3"/>
      <c r="L244" s="3"/>
      <c r="M244" s="3"/>
      <c r="N244" s="3"/>
      <c r="O244" s="3"/>
      <c r="P244" s="3"/>
      <c r="Q244" s="3"/>
      <c r="R244" s="53"/>
      <c r="S244" s="45"/>
    </row>
    <row r="245" spans="1:19" s="29" customFormat="1">
      <c r="A245" s="174"/>
      <c r="B245" s="3"/>
      <c r="C245" s="3"/>
      <c r="D245" s="3"/>
      <c r="E245" s="3"/>
      <c r="F245" s="3"/>
      <c r="G245" s="10"/>
      <c r="H245" s="3"/>
      <c r="K245" s="3"/>
      <c r="L245" s="3"/>
      <c r="M245" s="3"/>
      <c r="N245" s="3"/>
      <c r="O245" s="3"/>
      <c r="P245" s="3"/>
      <c r="Q245" s="3"/>
      <c r="R245" s="53"/>
      <c r="S245" s="45"/>
    </row>
    <row r="246" spans="1:19" s="29" customFormat="1">
      <c r="A246" s="174"/>
      <c r="B246" s="3"/>
      <c r="C246" s="3"/>
      <c r="D246" s="3"/>
      <c r="E246" s="3"/>
      <c r="F246" s="3"/>
      <c r="G246" s="10"/>
      <c r="H246" s="3"/>
      <c r="K246" s="3"/>
      <c r="L246" s="3"/>
      <c r="M246" s="3"/>
      <c r="N246" s="3"/>
      <c r="O246" s="3"/>
      <c r="P246" s="3"/>
      <c r="Q246" s="3"/>
      <c r="R246" s="53"/>
      <c r="S246" s="45"/>
    </row>
    <row r="247" spans="1:19" s="29" customFormat="1">
      <c r="A247" s="174"/>
      <c r="B247" s="3"/>
      <c r="C247" s="3"/>
      <c r="D247" s="3"/>
      <c r="E247" s="3"/>
      <c r="F247" s="3"/>
      <c r="G247" s="10"/>
      <c r="H247" s="3"/>
      <c r="K247" s="3"/>
      <c r="L247" s="3"/>
      <c r="M247" s="3"/>
      <c r="N247" s="3"/>
      <c r="O247" s="3"/>
      <c r="P247" s="3"/>
      <c r="Q247" s="3"/>
      <c r="R247" s="45"/>
      <c r="S247" s="45"/>
    </row>
    <row r="248" spans="1:19" s="29" customFormat="1">
      <c r="A248" s="174"/>
      <c r="B248" s="3"/>
      <c r="C248" s="3"/>
      <c r="D248" s="3"/>
      <c r="E248" s="3"/>
      <c r="F248" s="3"/>
      <c r="G248" s="10"/>
      <c r="H248" s="3"/>
      <c r="K248" s="3"/>
      <c r="L248" s="3"/>
      <c r="M248" s="3"/>
      <c r="N248" s="3"/>
      <c r="O248" s="3"/>
      <c r="P248" s="3"/>
      <c r="Q248" s="3"/>
      <c r="R248" s="45"/>
      <c r="S248" s="45"/>
    </row>
    <row r="249" spans="1:19" s="29" customFormat="1">
      <c r="A249" s="174"/>
      <c r="B249" s="3"/>
      <c r="C249" s="3"/>
      <c r="D249" s="3"/>
      <c r="E249" s="3"/>
      <c r="F249" s="3"/>
      <c r="G249" s="10"/>
      <c r="H249" s="3"/>
      <c r="K249" s="3"/>
      <c r="L249" s="3"/>
      <c r="M249" s="3"/>
      <c r="N249" s="3"/>
      <c r="O249" s="3"/>
      <c r="P249" s="3"/>
      <c r="Q249" s="3"/>
      <c r="R249" s="45"/>
      <c r="S249" s="45"/>
    </row>
    <row r="250" spans="1:19" s="29" customFormat="1">
      <c r="A250" s="174"/>
      <c r="B250" s="3"/>
      <c r="C250" s="3"/>
      <c r="D250" s="3"/>
      <c r="E250" s="3"/>
      <c r="F250" s="3"/>
      <c r="G250" s="10"/>
      <c r="H250" s="3"/>
      <c r="K250" s="3"/>
      <c r="L250" s="3"/>
      <c r="M250" s="3"/>
      <c r="N250" s="3"/>
      <c r="O250" s="3"/>
      <c r="P250" s="3"/>
      <c r="Q250" s="3"/>
      <c r="R250" s="45"/>
      <c r="S250" s="45"/>
    </row>
  </sheetData>
  <sheetProtection algorithmName="SHA-512" hashValue="ai0GdtB6MLbcfDP7SSgQh+CksI5fTNd4Ma89lznSPVTyek2gZTt5p22gDHZTmCdD9TH2p/Q9tikpy2QJs5KJKw==" saltValue="KY7FKZuLuBMqnGWIL0rssw==" spinCount="100000" sheet="1" selectLockedCells="1"/>
  <mergeCells count="228">
    <mergeCell ref="B233:D233"/>
    <mergeCell ref="D238:F239"/>
    <mergeCell ref="B178:C178"/>
    <mergeCell ref="E180:F180"/>
    <mergeCell ref="A187:B187"/>
    <mergeCell ref="B190:C190"/>
    <mergeCell ref="B192:C192"/>
    <mergeCell ref="B194:C194"/>
    <mergeCell ref="A199:B200"/>
    <mergeCell ref="C199:C200"/>
    <mergeCell ref="D199:D200"/>
    <mergeCell ref="E199:F199"/>
    <mergeCell ref="B195:C195"/>
    <mergeCell ref="B196:C196"/>
    <mergeCell ref="B179:C179"/>
    <mergeCell ref="B180:C180"/>
    <mergeCell ref="A213:B214"/>
    <mergeCell ref="C213:C214"/>
    <mergeCell ref="D213:D214"/>
    <mergeCell ref="E213:F213"/>
    <mergeCell ref="B226:D226"/>
    <mergeCell ref="A167:A168"/>
    <mergeCell ref="D167:D168"/>
    <mergeCell ref="E167:E168"/>
    <mergeCell ref="F167:F168"/>
    <mergeCell ref="G167:G168"/>
    <mergeCell ref="H167:H168"/>
    <mergeCell ref="B170:C170"/>
    <mergeCell ref="A175:B176"/>
    <mergeCell ref="C175:C176"/>
    <mergeCell ref="D175:D176"/>
    <mergeCell ref="E175:F175"/>
    <mergeCell ref="G175:G176"/>
    <mergeCell ref="H175:H176"/>
    <mergeCell ref="B167:C167"/>
    <mergeCell ref="A158:A159"/>
    <mergeCell ref="B158:C159"/>
    <mergeCell ref="B162:C162"/>
    <mergeCell ref="A165:A166"/>
    <mergeCell ref="B165:C165"/>
    <mergeCell ref="D165:D166"/>
    <mergeCell ref="E165:E166"/>
    <mergeCell ref="F165:F166"/>
    <mergeCell ref="G165:G166"/>
    <mergeCell ref="B163:C163"/>
    <mergeCell ref="B160:C160"/>
    <mergeCell ref="B166:C166"/>
    <mergeCell ref="B129:C129"/>
    <mergeCell ref="B133:C133"/>
    <mergeCell ref="A140:B140"/>
    <mergeCell ref="F140:G140"/>
    <mergeCell ref="D142:D143"/>
    <mergeCell ref="E142:E143"/>
    <mergeCell ref="F142:G142"/>
    <mergeCell ref="A146:B147"/>
    <mergeCell ref="C146:C147"/>
    <mergeCell ref="D146:D147"/>
    <mergeCell ref="E146:F146"/>
    <mergeCell ref="G146:G147"/>
    <mergeCell ref="B130:C130"/>
    <mergeCell ref="B137:C137"/>
    <mergeCell ref="F143:G143"/>
    <mergeCell ref="B134:C134"/>
    <mergeCell ref="B135:C135"/>
    <mergeCell ref="B136:C136"/>
    <mergeCell ref="A126:A127"/>
    <mergeCell ref="B126:C126"/>
    <mergeCell ref="D126:D127"/>
    <mergeCell ref="E126:E127"/>
    <mergeCell ref="F126:F127"/>
    <mergeCell ref="G126:G127"/>
    <mergeCell ref="H126:H127"/>
    <mergeCell ref="B127:C127"/>
    <mergeCell ref="A122:A123"/>
    <mergeCell ref="B124:C124"/>
    <mergeCell ref="B101:D101"/>
    <mergeCell ref="R101:R102"/>
    <mergeCell ref="B108:D108"/>
    <mergeCell ref="B122:C122"/>
    <mergeCell ref="D122:D123"/>
    <mergeCell ref="E122:E123"/>
    <mergeCell ref="F122:F123"/>
    <mergeCell ref="G122:G123"/>
    <mergeCell ref="H122:H123"/>
    <mergeCell ref="B105:D105"/>
    <mergeCell ref="B110:D110"/>
    <mergeCell ref="B114:D114"/>
    <mergeCell ref="B102:D102"/>
    <mergeCell ref="B123:C123"/>
    <mergeCell ref="B103:D103"/>
    <mergeCell ref="B104:D104"/>
    <mergeCell ref="B113:D113"/>
    <mergeCell ref="B109:D109"/>
    <mergeCell ref="B112:D112"/>
    <mergeCell ref="B120:C120"/>
    <mergeCell ref="E58:F58"/>
    <mergeCell ref="G58:G59"/>
    <mergeCell ref="H58:H59"/>
    <mergeCell ref="B64:C64"/>
    <mergeCell ref="D66:D69"/>
    <mergeCell ref="B74:C74"/>
    <mergeCell ref="B94:D94"/>
    <mergeCell ref="B95:D95"/>
    <mergeCell ref="B65:C65"/>
    <mergeCell ref="E71:F71"/>
    <mergeCell ref="B75:C75"/>
    <mergeCell ref="B80:C80"/>
    <mergeCell ref="B70:C70"/>
    <mergeCell ref="B71:C71"/>
    <mergeCell ref="B73:C73"/>
    <mergeCell ref="B77:C77"/>
    <mergeCell ref="B79:C79"/>
    <mergeCell ref="B91:D91"/>
    <mergeCell ref="B93:D93"/>
    <mergeCell ref="E93:E94"/>
    <mergeCell ref="B81:C81"/>
    <mergeCell ref="H29:H30"/>
    <mergeCell ref="B30:D30"/>
    <mergeCell ref="B32:D32"/>
    <mergeCell ref="B34:D34"/>
    <mergeCell ref="A35:A36"/>
    <mergeCell ref="B35:D36"/>
    <mergeCell ref="E35:E36"/>
    <mergeCell ref="H35:H36"/>
    <mergeCell ref="E37:E42"/>
    <mergeCell ref="H37:H42"/>
    <mergeCell ref="B42:D42"/>
    <mergeCell ref="B41:D41"/>
    <mergeCell ref="B38:D38"/>
    <mergeCell ref="B46:D46"/>
    <mergeCell ref="B54:D54"/>
    <mergeCell ref="B44:D44"/>
    <mergeCell ref="B45:D45"/>
    <mergeCell ref="B53:D53"/>
    <mergeCell ref="B39:D39"/>
    <mergeCell ref="B37:D37"/>
    <mergeCell ref="B40:D40"/>
    <mergeCell ref="B69:C69"/>
    <mergeCell ref="B61:C61"/>
    <mergeCell ref="B67:C67"/>
    <mergeCell ref="B62:C62"/>
    <mergeCell ref="B66:C66"/>
    <mergeCell ref="B68:C68"/>
    <mergeCell ref="B63:C63"/>
    <mergeCell ref="B55:D55"/>
    <mergeCell ref="A58:B59"/>
    <mergeCell ref="D58:D59"/>
    <mergeCell ref="B47:D47"/>
    <mergeCell ref="B51:D51"/>
    <mergeCell ref="B50:D50"/>
    <mergeCell ref="A4:B4"/>
    <mergeCell ref="A7:B7"/>
    <mergeCell ref="D7:G7"/>
    <mergeCell ref="B29:D29"/>
    <mergeCell ref="B20:C20"/>
    <mergeCell ref="B21:C21"/>
    <mergeCell ref="B22:C22"/>
    <mergeCell ref="D11:D12"/>
    <mergeCell ref="E11:E12"/>
    <mergeCell ref="F11:F12"/>
    <mergeCell ref="B14:C14"/>
    <mergeCell ref="B15:C15"/>
    <mergeCell ref="A29:A30"/>
    <mergeCell ref="E29:E30"/>
    <mergeCell ref="F29:F30"/>
    <mergeCell ref="G29:G30"/>
    <mergeCell ref="A11:B12"/>
    <mergeCell ref="B17:C17"/>
    <mergeCell ref="B19:C19"/>
    <mergeCell ref="B16:C16"/>
    <mergeCell ref="B96:D96"/>
    <mergeCell ref="B99:D99"/>
    <mergeCell ref="F93:F94"/>
    <mergeCell ref="G93:G94"/>
    <mergeCell ref="H93:H94"/>
    <mergeCell ref="A95:A96"/>
    <mergeCell ref="E95:E96"/>
    <mergeCell ref="F95:F96"/>
    <mergeCell ref="G95:G96"/>
    <mergeCell ref="H95:H96"/>
    <mergeCell ref="A93:A94"/>
    <mergeCell ref="A98:A99"/>
    <mergeCell ref="B98:D98"/>
    <mergeCell ref="E98:E99"/>
    <mergeCell ref="F98:F99"/>
    <mergeCell ref="G98:G99"/>
    <mergeCell ref="H98:H99"/>
    <mergeCell ref="B151:C151"/>
    <mergeCell ref="E153:F153"/>
    <mergeCell ref="E154:F154"/>
    <mergeCell ref="H146:H147"/>
    <mergeCell ref="B150:C150"/>
    <mergeCell ref="A152:A153"/>
    <mergeCell ref="B152:C153"/>
    <mergeCell ref="E152:F152"/>
    <mergeCell ref="G152:G153"/>
    <mergeCell ref="H152:H153"/>
    <mergeCell ref="A154:A157"/>
    <mergeCell ref="B154:C157"/>
    <mergeCell ref="G154:G157"/>
    <mergeCell ref="E156:F156"/>
    <mergeCell ref="E157:F157"/>
    <mergeCell ref="E155:F155"/>
    <mergeCell ref="H154:H157"/>
    <mergeCell ref="G213:G214"/>
    <mergeCell ref="H213:H214"/>
    <mergeCell ref="B217:C217"/>
    <mergeCell ref="B228:D228"/>
    <mergeCell ref="B230:D230"/>
    <mergeCell ref="B231:D231"/>
    <mergeCell ref="B229:D229"/>
    <mergeCell ref="I154:I158"/>
    <mergeCell ref="B171:C171"/>
    <mergeCell ref="B172:C172"/>
    <mergeCell ref="B168:C168"/>
    <mergeCell ref="B209:C209"/>
    <mergeCell ref="B210:C210"/>
    <mergeCell ref="B205:C205"/>
    <mergeCell ref="B206:C206"/>
    <mergeCell ref="B204:C204"/>
    <mergeCell ref="H199:H200"/>
    <mergeCell ref="B203:C203"/>
    <mergeCell ref="B208:C208"/>
    <mergeCell ref="G199:G200"/>
    <mergeCell ref="H165:H166"/>
    <mergeCell ref="B216:C216"/>
    <mergeCell ref="A224:B224"/>
    <mergeCell ref="B227:D227"/>
  </mergeCells>
  <dataValidations count="3">
    <dataValidation type="list" allowBlank="1" showInputMessage="1" showErrorMessage="1" sqref="A7" xr:uid="{600B344F-E934-450F-9C2B-CEB447A8FE70}">
      <formula1>$K$1:$K$7</formula1>
    </dataValidation>
    <dataValidation type="list" allowBlank="1" showInputMessage="1" showErrorMessage="1" sqref="E233" xr:uid="{A753E2AB-1571-4D6C-8C7D-2A8899C0524E}">
      <formula1>$K$233:$K$237</formula1>
    </dataValidation>
    <dataValidation type="list" allowBlank="1" showInputMessage="1" showErrorMessage="1" sqref="F143:G143" xr:uid="{71DB4995-B790-46AB-9E20-F464CF536004}">
      <formula1>$L$140:$Q$140</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Manpower allocation</vt:lpstr>
      <vt:lpstr>Point Allocation</vt:lpstr>
      <vt:lpstr>Min B-Score</vt:lpstr>
      <vt:lpstr>Explanatory Notes</vt:lpstr>
      <vt:lpstr>Summary</vt:lpstr>
      <vt:lpstr>Block 1</vt:lpstr>
      <vt:lpstr>Block 2</vt:lpstr>
      <vt:lpstr>Block 3</vt:lpstr>
      <vt:lpstr>Block 4</vt:lpstr>
      <vt:lpstr>Block 5</vt:lpstr>
      <vt:lpstr>Block 6</vt:lpstr>
      <vt:lpstr>Block 7</vt:lpstr>
      <vt:lpstr>Block 8</vt:lpstr>
      <vt:lpstr>Block 9</vt:lpstr>
      <vt:lpstr>Block 10</vt:lpstr>
      <vt:lpstr>Basement Block 1</vt:lpstr>
      <vt:lpstr>Basement Block 2</vt:lpstr>
      <vt:lpstr>Basement Block 3</vt:lpstr>
      <vt:lpstr>Basement Block 4</vt:lpstr>
      <vt:lpstr>Basement Block 5</vt:lpstr>
      <vt:lpstr>'Basement Block 1'!Print_Area</vt:lpstr>
      <vt:lpstr>'Basement Block 2'!Print_Area</vt:lpstr>
      <vt:lpstr>'Basement Block 3'!Print_Area</vt:lpstr>
      <vt:lpstr>'Basement Block 4'!Print_Area</vt:lpstr>
      <vt:lpstr>'Basement Block 5'!Print_Area</vt:lpstr>
      <vt:lpstr>'Block 1'!Print_Area</vt:lpstr>
      <vt:lpstr>'Block 10'!Print_Area</vt:lpstr>
      <vt:lpstr>'Block 2'!Print_Area</vt:lpstr>
      <vt:lpstr>'Block 3'!Print_Area</vt:lpstr>
      <vt:lpstr>'Block 4'!Print_Area</vt:lpstr>
      <vt:lpstr>'Block 5'!Print_Area</vt:lpstr>
      <vt:lpstr>'Block 6'!Print_Area</vt:lpstr>
      <vt:lpstr>'Block 7'!Print_Area</vt:lpstr>
      <vt:lpstr>'Block 8'!Print_Area</vt:lpstr>
      <vt:lpstr>'Block 9'!Print_Area</vt:lpstr>
      <vt:lpstr>'Explanatory Notes'!Print_Area</vt:lpstr>
      <vt:lpstr>'Min B-Score'!Print_Area</vt:lpstr>
      <vt:lpstr>Summary!Print_Area</vt:lpstr>
      <vt:lpstr>'Block 1'!Print_Titles</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WONG_Jia_Min@bca.gov.sg</dc:creator>
  <cp:lastModifiedBy>Jia Min WONG (BCA)</cp:lastModifiedBy>
  <cp:lastPrinted>2023-01-30T09:27:51Z</cp:lastPrinted>
  <dcterms:created xsi:type="dcterms:W3CDTF">2018-03-10T08:58:57Z</dcterms:created>
  <dcterms:modified xsi:type="dcterms:W3CDTF">2023-04-05T15:05:08Z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51e0fc-1c37-41ff-9297-afacea94f5a0_Extended_MSFT_Method">
    <vt:lpwstr>Manual</vt:lpwstr>
  </property>
  <property fmtid="{D5CDD505-2E9C-101B-9397-08002B2CF9AE}" pid="3" name="MSIP_Label_cb51e0fc-1c37-41ff-9297-afacea94f5a0_ActionId">
    <vt:lpwstr>67f273ec-b7e2-4c84-a71e-010aeea1c810</vt:lpwstr>
  </property>
  <property fmtid="{D5CDD505-2E9C-101B-9397-08002B2CF9AE}" pid="4" name="MSIP_Label_cb51e0fc-1c37-41ff-9297-afacea94f5a0_Application">
    <vt:lpwstr>Microsoft Azure Information Protection</vt:lpwstr>
  </property>
  <property fmtid="{D5CDD505-2E9C-101B-9397-08002B2CF9AE}" pid="5" name="MSIP_Label_cb51e0fc-1c37-41ff-9297-afacea94f5a0_Name">
    <vt:lpwstr>RESTRICTED</vt:lpwstr>
  </property>
  <property fmtid="{D5CDD505-2E9C-101B-9397-08002B2CF9AE}" pid="6" name="MSIP_Label_cb51e0fc-1c37-41ff-9297-afacea94f5a0_SetDate">
    <vt:lpwstr>2021-01-14T06:12:10.5632093Z</vt:lpwstr>
  </property>
  <property fmtid="{D5CDD505-2E9C-101B-9397-08002B2CF9AE}" pid="7" name="MSIP_Label_cb51e0fc-1c37-41ff-9297-afacea94f5a0_Owner">
    <vt:lpwstr>TEE_Liang_Song@bca.gov.sg</vt:lpwstr>
  </property>
  <property fmtid="{D5CDD505-2E9C-101B-9397-08002B2CF9AE}" pid="8" name="MSIP_Label_cb51e0fc-1c37-41ff-9297-afacea94f5a0_SiteId">
    <vt:lpwstr>0b11c524-9a1c-4e1b-84cb-6336aefc2243</vt:lpwstr>
  </property>
  <property fmtid="{D5CDD505-2E9C-101B-9397-08002B2CF9AE}" pid="9" name="MSIP_Label_cb51e0fc-1c37-41ff-9297-afacea94f5a0_Enabled">
    <vt:lpwstr>True</vt:lpwstr>
  </property>
  <property fmtid="{D5CDD505-2E9C-101B-9397-08002B2CF9AE}" pid="10" name="MSIP_Label_54803508-8490-4252-b331-d9b72689e942_Enabled">
    <vt:lpwstr>true</vt:lpwstr>
  </property>
  <property fmtid="{D5CDD505-2E9C-101B-9397-08002B2CF9AE}" pid="11" name="MSIP_Label_54803508-8490-4252-b331-d9b72689e942_SetDate">
    <vt:lpwstr>2021-12-28T05:25:28Z</vt:lpwstr>
  </property>
  <property fmtid="{D5CDD505-2E9C-101B-9397-08002B2CF9AE}" pid="12" name="MSIP_Label_54803508-8490-4252-b331-d9b72689e942_Method">
    <vt:lpwstr>Privileged</vt:lpwstr>
  </property>
  <property fmtid="{D5CDD505-2E9C-101B-9397-08002B2CF9AE}" pid="13" name="MSIP_Label_54803508-8490-4252-b331-d9b72689e942_Name">
    <vt:lpwstr>Non Sensitive_0</vt:lpwstr>
  </property>
  <property fmtid="{D5CDD505-2E9C-101B-9397-08002B2CF9AE}" pid="14" name="MSIP_Label_54803508-8490-4252-b331-d9b72689e942_SiteId">
    <vt:lpwstr>0b11c524-9a1c-4e1b-84cb-6336aefc2243</vt:lpwstr>
  </property>
  <property fmtid="{D5CDD505-2E9C-101B-9397-08002B2CF9AE}" pid="15" name="MSIP_Label_54803508-8490-4252-b331-d9b72689e942_ActionId">
    <vt:lpwstr>67f273ec-b7e2-4c84-a71e-010aeea1c810</vt:lpwstr>
  </property>
  <property fmtid="{D5CDD505-2E9C-101B-9397-08002B2CF9AE}" pid="16" name="MSIP_Label_54803508-8490-4252-b331-d9b72689e942_ContentBits">
    <vt:lpwstr>0</vt:lpwstr>
  </property>
</Properties>
</file>