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howInkAnnotation="0" codeName="ThisWorkbook"/>
  <mc:AlternateContent xmlns:mc="http://schemas.openxmlformats.org/markup-compatibility/2006">
    <mc:Choice Requires="x15">
      <x15ac:absPath xmlns:x15ac="http://schemas.microsoft.com/office/spreadsheetml/2010/11/ac" url="C:\Users\bca_jiaminw\Documents\5. B-Score Matters\COP 2022\7. Form\"/>
    </mc:Choice>
  </mc:AlternateContent>
  <xr:revisionPtr revIDLastSave="0" documentId="13_ncr:1_{E0FA9EFE-7EC2-4C3E-8481-59F17536532A}" xr6:coauthVersionLast="47" xr6:coauthVersionMax="47" xr10:uidLastSave="{00000000-0000-0000-0000-000000000000}"/>
  <workbookProtection workbookAlgorithmName="SHA-512" workbookHashValue="oLT5mYpGCXkY5R1ANaD85/giXisezfRowBCIhRn6oSX1gfhbzdJkNt4OZwi5LWBz5lESu3LGHwy6MDIBNf/fxg==" workbookSaltValue="0JsaF11OYQHtHisOd8r7hA==" workbookSpinCount="100000" lockStructure="1"/>
  <bookViews>
    <workbookView xWindow="-108" yWindow="-108" windowWidth="23256" windowHeight="12576" tabRatio="779" firstSheet="2" activeTab="4" xr2:uid="{00000000-000D-0000-FFFF-FFFF00000000}"/>
  </bookViews>
  <sheets>
    <sheet name="Manpower allocation" sheetId="8" state="hidden" r:id="rId1"/>
    <sheet name="Point Allocation" sheetId="61" state="hidden" r:id="rId2"/>
    <sheet name="Min B-Score" sheetId="62" r:id="rId3"/>
    <sheet name="Explanatory Notes" sheetId="63" r:id="rId4"/>
    <sheet name="Summary" sheetId="37" r:id="rId5"/>
    <sheet name="Block 1" sheetId="38" r:id="rId6"/>
    <sheet name="Block 2" sheetId="44" r:id="rId7"/>
    <sheet name="Block 3" sheetId="45" r:id="rId8"/>
    <sheet name="Block 4" sheetId="46" r:id="rId9"/>
    <sheet name="Block 5" sheetId="47" r:id="rId10"/>
    <sheet name="Block 6" sheetId="48" r:id="rId11"/>
    <sheet name="Block 7" sheetId="49" r:id="rId12"/>
    <sheet name="Block 8" sheetId="50" r:id="rId13"/>
    <sheet name="Block 9" sheetId="51" r:id="rId14"/>
    <sheet name="Block 10" sheetId="52" r:id="rId15"/>
    <sheet name="Basement Block 1" sheetId="53" r:id="rId16"/>
    <sheet name="Basement Block 2" sheetId="54" r:id="rId17"/>
    <sheet name="Basement Block 3" sheetId="55" r:id="rId18"/>
    <sheet name="Basement Block 4" sheetId="56" r:id="rId19"/>
    <sheet name="Basement Block 5" sheetId="57" r:id="rId20"/>
  </sheets>
  <definedNames>
    <definedName name="_xlnm._FilterDatabase" localSheetId="5" hidden="1">'Block 1'!$A$233:$H$243</definedName>
    <definedName name="_xlnm.Print_Area" localSheetId="15">'Basement Block 1'!$A$1:$O$252</definedName>
    <definedName name="_xlnm.Print_Area" localSheetId="16">'Basement Block 2'!$A$1:$M$252</definedName>
    <definedName name="_xlnm.Print_Area" localSheetId="17">'Basement Block 3'!$A$1:$H$252</definedName>
    <definedName name="_xlnm.Print_Area" localSheetId="18">'Basement Block 4'!$A$1:$H$252</definedName>
    <definedName name="_xlnm.Print_Area" localSheetId="19">'Basement Block 5'!$A$1:$H$252</definedName>
    <definedName name="_xlnm.Print_Area" localSheetId="5">'Block 1'!$A$1:$H$252</definedName>
    <definedName name="_xlnm.Print_Area" localSheetId="14">'Block 10'!$A$1:$H$252</definedName>
    <definedName name="_xlnm.Print_Area" localSheetId="6">'Block 2'!$A$1:$H$252</definedName>
    <definedName name="_xlnm.Print_Area" localSheetId="7">'Block 3'!$A$1:$H$252</definedName>
    <definedName name="_xlnm.Print_Area" localSheetId="8">'Block 4'!$A$1:$H$252</definedName>
    <definedName name="_xlnm.Print_Area" localSheetId="9">'Block 5'!$A$1:$H$252</definedName>
    <definedName name="_xlnm.Print_Area" localSheetId="10">'Block 6'!$A$1:$H$252</definedName>
    <definedName name="_xlnm.Print_Area" localSheetId="11">'Block 7'!$A$1:$H$252</definedName>
    <definedName name="_xlnm.Print_Area" localSheetId="12">'Block 8'!$A$1:$H$252</definedName>
    <definedName name="_xlnm.Print_Area" localSheetId="13">'Block 9'!$A$1:$H$252</definedName>
    <definedName name="_xlnm.Print_Area" localSheetId="3">'Explanatory Notes'!$A$1:$I$167</definedName>
    <definedName name="_xlnm.Print_Area" localSheetId="2">'Min B-Score'!$A$1:$C$12</definedName>
    <definedName name="_xlnm.Print_Area" localSheetId="4">Summary!$A$1:$G$141</definedName>
    <definedName name="_xlnm.Print_Titles" localSheetId="5">'Block 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59" i="55" l="1"/>
  <c r="G170" i="38"/>
  <c r="G25" i="57"/>
  <c r="G24" i="57"/>
  <c r="G23" i="57"/>
  <c r="G22" i="57"/>
  <c r="G21" i="57"/>
  <c r="G20" i="57"/>
  <c r="G19" i="57"/>
  <c r="G17" i="57"/>
  <c r="G16" i="57"/>
  <c r="G15" i="57"/>
  <c r="G14" i="57"/>
  <c r="G25" i="56"/>
  <c r="G24" i="56"/>
  <c r="G23" i="56"/>
  <c r="G22" i="56"/>
  <c r="G21" i="56"/>
  <c r="G20" i="56"/>
  <c r="G19" i="56"/>
  <c r="G17" i="56"/>
  <c r="G16" i="56"/>
  <c r="G15" i="56"/>
  <c r="G14" i="56"/>
  <c r="G25" i="55"/>
  <c r="G24" i="55"/>
  <c r="G23" i="55"/>
  <c r="G22" i="55"/>
  <c r="G21" i="55"/>
  <c r="G20" i="55"/>
  <c r="G19" i="55"/>
  <c r="G17" i="55"/>
  <c r="G16" i="55"/>
  <c r="G15" i="55"/>
  <c r="G14" i="55"/>
  <c r="G25" i="54"/>
  <c r="G24" i="54"/>
  <c r="G23" i="54"/>
  <c r="G22" i="54"/>
  <c r="G21" i="54"/>
  <c r="G20" i="54"/>
  <c r="G19" i="54"/>
  <c r="G17" i="54"/>
  <c r="G16" i="54"/>
  <c r="G15" i="54"/>
  <c r="G14" i="54"/>
  <c r="G25" i="53"/>
  <c r="G24" i="53"/>
  <c r="G23" i="53"/>
  <c r="G22" i="53"/>
  <c r="G21" i="53"/>
  <c r="G20" i="53"/>
  <c r="G19" i="53"/>
  <c r="G17" i="53"/>
  <c r="G16" i="53"/>
  <c r="G15" i="53"/>
  <c r="G14" i="53"/>
  <c r="G25" i="52"/>
  <c r="G24" i="52"/>
  <c r="G23" i="52"/>
  <c r="G22" i="52"/>
  <c r="G21" i="52"/>
  <c r="G20" i="52"/>
  <c r="G19" i="52"/>
  <c r="G17" i="52"/>
  <c r="G16" i="52"/>
  <c r="G15" i="52"/>
  <c r="G14" i="52"/>
  <c r="G25" i="51"/>
  <c r="G24" i="51"/>
  <c r="G23" i="51"/>
  <c r="G22" i="51"/>
  <c r="G21" i="51"/>
  <c r="G20" i="51"/>
  <c r="G19" i="51"/>
  <c r="G17" i="51"/>
  <c r="G16" i="51"/>
  <c r="G15" i="51"/>
  <c r="G14" i="51"/>
  <c r="G25" i="50"/>
  <c r="G24" i="50"/>
  <c r="G23" i="50"/>
  <c r="G22" i="50"/>
  <c r="G21" i="50"/>
  <c r="G20" i="50"/>
  <c r="G19" i="50"/>
  <c r="G17" i="50"/>
  <c r="G16" i="50"/>
  <c r="G15" i="50"/>
  <c r="G14" i="50"/>
  <c r="G25" i="49"/>
  <c r="G24" i="49"/>
  <c r="G23" i="49"/>
  <c r="G22" i="49"/>
  <c r="G21" i="49"/>
  <c r="G20" i="49"/>
  <c r="G19" i="49"/>
  <c r="G17" i="49"/>
  <c r="G16" i="49"/>
  <c r="G15" i="49"/>
  <c r="G14" i="49"/>
  <c r="G25" i="48"/>
  <c r="G24" i="48"/>
  <c r="G23" i="48"/>
  <c r="G22" i="48"/>
  <c r="G21" i="48"/>
  <c r="G20" i="48"/>
  <c r="G19" i="48"/>
  <c r="G17" i="48"/>
  <c r="G16" i="48"/>
  <c r="G15" i="48"/>
  <c r="G14" i="48"/>
  <c r="G25" i="47"/>
  <c r="G24" i="47"/>
  <c r="G23" i="47"/>
  <c r="G22" i="47"/>
  <c r="G21" i="47"/>
  <c r="G20" i="47"/>
  <c r="G19" i="47"/>
  <c r="G17" i="47"/>
  <c r="G16" i="47"/>
  <c r="G15" i="47"/>
  <c r="G14" i="47"/>
  <c r="G25" i="46"/>
  <c r="G24" i="46"/>
  <c r="G23" i="46"/>
  <c r="G22" i="46"/>
  <c r="G21" i="46"/>
  <c r="G20" i="46"/>
  <c r="G19" i="46"/>
  <c r="G17" i="46"/>
  <c r="G16" i="46"/>
  <c r="G15" i="46"/>
  <c r="G14" i="46"/>
  <c r="G25" i="45"/>
  <c r="G24" i="45"/>
  <c r="G23" i="45"/>
  <c r="G22" i="45"/>
  <c r="G21" i="45"/>
  <c r="G20" i="45"/>
  <c r="G19" i="45"/>
  <c r="G17" i="45"/>
  <c r="G16" i="45"/>
  <c r="G15" i="45"/>
  <c r="G14" i="45"/>
  <c r="G25" i="44"/>
  <c r="G24" i="44"/>
  <c r="G23" i="44"/>
  <c r="G22" i="44"/>
  <c r="G21" i="44"/>
  <c r="G20" i="44"/>
  <c r="G19" i="44"/>
  <c r="G17" i="44"/>
  <c r="G16" i="44"/>
  <c r="G15" i="44"/>
  <c r="G14" i="44"/>
  <c r="G16" i="38"/>
  <c r="G15" i="38"/>
  <c r="G25" i="38"/>
  <c r="G23" i="38"/>
  <c r="G21" i="38"/>
  <c r="D7" i="56" l="1"/>
  <c r="D7" i="57"/>
  <c r="D7" i="55"/>
  <c r="D7" i="54"/>
  <c r="D7" i="53"/>
  <c r="G194" i="44"/>
  <c r="D7" i="52"/>
  <c r="D7" i="51"/>
  <c r="D7" i="50"/>
  <c r="D7" i="49"/>
  <c r="D7" i="48"/>
  <c r="D7" i="47"/>
  <c r="D7" i="46"/>
  <c r="D7" i="45"/>
  <c r="D7" i="44"/>
  <c r="G14" i="38"/>
  <c r="H242" i="57"/>
  <c r="H240" i="57"/>
  <c r="H239" i="57"/>
  <c r="H238" i="57"/>
  <c r="H237" i="57"/>
  <c r="H236" i="57"/>
  <c r="H235" i="57"/>
  <c r="H227" i="57"/>
  <c r="H226" i="57"/>
  <c r="H225" i="57"/>
  <c r="H219" i="57"/>
  <c r="H218" i="57"/>
  <c r="H217" i="57"/>
  <c r="H215" i="57"/>
  <c r="F215" i="57"/>
  <c r="H214" i="57"/>
  <c r="F214" i="57"/>
  <c r="H213" i="57"/>
  <c r="F213" i="57"/>
  <c r="H212" i="57"/>
  <c r="F212" i="57"/>
  <c r="F206" i="57"/>
  <c r="E206" i="57"/>
  <c r="G205" i="57"/>
  <c r="D205" i="57"/>
  <c r="G204" i="57"/>
  <c r="D204" i="57"/>
  <c r="G203" i="57"/>
  <c r="D203" i="57"/>
  <c r="G201" i="57"/>
  <c r="D201" i="57"/>
  <c r="G199" i="57"/>
  <c r="D199" i="57"/>
  <c r="I194" i="57"/>
  <c r="G194" i="57"/>
  <c r="H189" i="57"/>
  <c r="H188" i="57"/>
  <c r="H187" i="57"/>
  <c r="H181" i="57"/>
  <c r="H180" i="57"/>
  <c r="H179" i="57"/>
  <c r="H176" i="57"/>
  <c r="H174" i="57"/>
  <c r="H172" i="57"/>
  <c r="H159" i="57"/>
  <c r="H171" i="57"/>
  <c r="G170" i="57"/>
  <c r="H170" i="57" s="1"/>
  <c r="H169" i="57"/>
  <c r="H167" i="57"/>
  <c r="H166" i="57"/>
  <c r="H162" i="57"/>
  <c r="H160" i="57"/>
  <c r="H158" i="57"/>
  <c r="H157" i="57"/>
  <c r="H156" i="57"/>
  <c r="H155" i="57"/>
  <c r="H148" i="57"/>
  <c r="H147" i="57"/>
  <c r="F147" i="57"/>
  <c r="D140" i="57"/>
  <c r="D139" i="57"/>
  <c r="D138" i="57"/>
  <c r="D135" i="57"/>
  <c r="D134" i="57"/>
  <c r="D131" i="57"/>
  <c r="E129" i="57"/>
  <c r="D129" i="57"/>
  <c r="E127" i="57"/>
  <c r="D127" i="57"/>
  <c r="F125" i="57"/>
  <c r="F143" i="57" s="1"/>
  <c r="E125" i="57"/>
  <c r="D125" i="57"/>
  <c r="F120" i="57"/>
  <c r="G117" i="57" s="1"/>
  <c r="H117" i="57" s="1"/>
  <c r="G115" i="57"/>
  <c r="E115" i="57"/>
  <c r="E114" i="57"/>
  <c r="E113" i="57"/>
  <c r="G110" i="57"/>
  <c r="E110" i="57"/>
  <c r="E109" i="57"/>
  <c r="G108" i="57"/>
  <c r="E108" i="57"/>
  <c r="G107" i="57"/>
  <c r="E107" i="57"/>
  <c r="G106" i="57"/>
  <c r="E106" i="57"/>
  <c r="E103" i="57"/>
  <c r="E100" i="57"/>
  <c r="E98" i="57"/>
  <c r="G96" i="57"/>
  <c r="E96" i="57"/>
  <c r="I91" i="57"/>
  <c r="G91" i="57"/>
  <c r="H86" i="57"/>
  <c r="H85" i="57"/>
  <c r="H84" i="57"/>
  <c r="H82" i="57"/>
  <c r="G81" i="57"/>
  <c r="H81" i="57" s="1"/>
  <c r="H79" i="57"/>
  <c r="H77" i="57"/>
  <c r="H76" i="57"/>
  <c r="H78" i="57" s="1"/>
  <c r="H74" i="57"/>
  <c r="H73" i="57"/>
  <c r="H66" i="57"/>
  <c r="H65" i="57"/>
  <c r="H64" i="57"/>
  <c r="F59" i="57"/>
  <c r="G49" i="57" s="1"/>
  <c r="E54" i="57"/>
  <c r="E53" i="57"/>
  <c r="E50" i="57"/>
  <c r="E49" i="57"/>
  <c r="E48" i="57"/>
  <c r="E47" i="57"/>
  <c r="I45" i="57"/>
  <c r="I44" i="57"/>
  <c r="I43" i="57"/>
  <c r="I42" i="57"/>
  <c r="I41" i="57"/>
  <c r="I40" i="57"/>
  <c r="E38" i="57"/>
  <c r="E37" i="57"/>
  <c r="E35" i="57"/>
  <c r="G33" i="57"/>
  <c r="E32" i="57"/>
  <c r="I27" i="57"/>
  <c r="G27" i="57"/>
  <c r="F19" i="57"/>
  <c r="A4" i="57"/>
  <c r="H242" i="56"/>
  <c r="H240" i="56"/>
  <c r="H239" i="56"/>
  <c r="H238" i="56"/>
  <c r="H237" i="56"/>
  <c r="H236" i="56"/>
  <c r="H235" i="56"/>
  <c r="H226" i="56"/>
  <c r="H225" i="56"/>
  <c r="H227" i="56" s="1"/>
  <c r="H219" i="56"/>
  <c r="H218" i="56"/>
  <c r="H217" i="56"/>
  <c r="H215" i="56"/>
  <c r="F215" i="56"/>
  <c r="H214" i="56"/>
  <c r="F214" i="56"/>
  <c r="H213" i="56"/>
  <c r="F213" i="56"/>
  <c r="H212" i="56"/>
  <c r="F212" i="56"/>
  <c r="F206" i="56"/>
  <c r="G205" i="56"/>
  <c r="D205" i="56"/>
  <c r="G204" i="56"/>
  <c r="D204" i="56"/>
  <c r="H204" i="56" s="1"/>
  <c r="G203" i="56"/>
  <c r="D203" i="56"/>
  <c r="G201" i="56"/>
  <c r="D201" i="56"/>
  <c r="G199" i="56"/>
  <c r="D199" i="56"/>
  <c r="I194" i="56"/>
  <c r="G194" i="56"/>
  <c r="H189" i="56"/>
  <c r="H188" i="56"/>
  <c r="H187" i="56"/>
  <c r="H181" i="56"/>
  <c r="H180" i="56"/>
  <c r="H179" i="56"/>
  <c r="H176" i="56"/>
  <c r="H174" i="56"/>
  <c r="H172" i="56"/>
  <c r="H159" i="56"/>
  <c r="H171" i="56"/>
  <c r="G170" i="56"/>
  <c r="H170" i="56" s="1"/>
  <c r="H169" i="56"/>
  <c r="H167" i="56"/>
  <c r="H166" i="56"/>
  <c r="H162" i="56"/>
  <c r="H160" i="56"/>
  <c r="H158" i="56"/>
  <c r="H157" i="56"/>
  <c r="H156" i="56"/>
  <c r="H155" i="56"/>
  <c r="H148" i="56"/>
  <c r="H147" i="56"/>
  <c r="F147" i="56"/>
  <c r="D140" i="56"/>
  <c r="D139" i="56"/>
  <c r="D138" i="56"/>
  <c r="D135" i="56"/>
  <c r="D134" i="56"/>
  <c r="D131" i="56"/>
  <c r="E129" i="56"/>
  <c r="D129" i="56"/>
  <c r="E127" i="56"/>
  <c r="D127" i="56"/>
  <c r="F125" i="56"/>
  <c r="F143" i="56" s="1"/>
  <c r="E125" i="56"/>
  <c r="E143" i="56" s="1"/>
  <c r="D125" i="56"/>
  <c r="F120" i="56"/>
  <c r="G106" i="56" s="1"/>
  <c r="E115" i="56"/>
  <c r="E114" i="56"/>
  <c r="E113" i="56"/>
  <c r="E110" i="56"/>
  <c r="G109" i="56"/>
  <c r="E109" i="56"/>
  <c r="E108" i="56"/>
  <c r="E107" i="56"/>
  <c r="E106" i="56"/>
  <c r="G103" i="56"/>
  <c r="E103" i="56"/>
  <c r="E100" i="56"/>
  <c r="E98" i="56"/>
  <c r="E96" i="56"/>
  <c r="I91" i="56"/>
  <c r="G91" i="56"/>
  <c r="H86" i="56"/>
  <c r="H85" i="56"/>
  <c r="H84" i="56"/>
  <c r="H82" i="56"/>
  <c r="G81" i="56"/>
  <c r="H81" i="56" s="1"/>
  <c r="H79" i="56"/>
  <c r="H77" i="56"/>
  <c r="H76" i="56"/>
  <c r="H78" i="56" s="1"/>
  <c r="H74" i="56"/>
  <c r="H73" i="56"/>
  <c r="H66" i="56"/>
  <c r="H65" i="56"/>
  <c r="H64" i="56"/>
  <c r="F59" i="56"/>
  <c r="G58" i="56" s="1"/>
  <c r="H58" i="56" s="1"/>
  <c r="E54" i="56"/>
  <c r="E53" i="56"/>
  <c r="E50" i="56"/>
  <c r="E49" i="56"/>
  <c r="E48" i="56"/>
  <c r="E47" i="56"/>
  <c r="I45" i="56"/>
  <c r="I44" i="56"/>
  <c r="I43" i="56"/>
  <c r="I42" i="56"/>
  <c r="I41" i="56"/>
  <c r="I40" i="56"/>
  <c r="E38" i="56"/>
  <c r="E37" i="56"/>
  <c r="E35" i="56"/>
  <c r="E32" i="56"/>
  <c r="I27" i="56"/>
  <c r="G27" i="56"/>
  <c r="F19" i="56"/>
  <c r="A4" i="56"/>
  <c r="H242" i="55"/>
  <c r="H240" i="55"/>
  <c r="H239" i="55"/>
  <c r="H238" i="55"/>
  <c r="H237" i="55"/>
  <c r="H236" i="55"/>
  <c r="H235" i="55"/>
  <c r="H226" i="55"/>
  <c r="H225" i="55"/>
  <c r="H219" i="55"/>
  <c r="H218" i="55"/>
  <c r="H217" i="55"/>
  <c r="H215" i="55"/>
  <c r="F215" i="55"/>
  <c r="H214" i="55"/>
  <c r="F214" i="55"/>
  <c r="H213" i="55"/>
  <c r="F213" i="55"/>
  <c r="H212" i="55"/>
  <c r="F212" i="55"/>
  <c r="F206" i="55"/>
  <c r="E206" i="55" s="1"/>
  <c r="G206" i="55" s="1"/>
  <c r="C251" i="55" s="1"/>
  <c r="G251" i="55" s="1"/>
  <c r="G205" i="55"/>
  <c r="D205" i="55"/>
  <c r="G204" i="55"/>
  <c r="D204" i="55"/>
  <c r="G203" i="55"/>
  <c r="H203" i="55" s="1"/>
  <c r="D203" i="55"/>
  <c r="G201" i="55"/>
  <c r="D201" i="55"/>
  <c r="G199" i="55"/>
  <c r="D199" i="55"/>
  <c r="I194" i="55"/>
  <c r="G194" i="55"/>
  <c r="H189" i="55"/>
  <c r="H188" i="55"/>
  <c r="H187" i="55"/>
  <c r="H190" i="55" s="1"/>
  <c r="H181" i="55"/>
  <c r="H180" i="55"/>
  <c r="H179" i="55"/>
  <c r="H176" i="55"/>
  <c r="H174" i="55"/>
  <c r="H172" i="55"/>
  <c r="H171" i="55"/>
  <c r="G170" i="55"/>
  <c r="H170" i="55" s="1"/>
  <c r="H169" i="55"/>
  <c r="H167" i="55"/>
  <c r="H166" i="55"/>
  <c r="H162" i="55"/>
  <c r="H160" i="55"/>
  <c r="H158" i="55"/>
  <c r="H157" i="55"/>
  <c r="H156" i="55"/>
  <c r="H155" i="55"/>
  <c r="H148" i="55"/>
  <c r="H147" i="55"/>
  <c r="F147" i="55"/>
  <c r="D140" i="55"/>
  <c r="D139" i="55"/>
  <c r="D138" i="55"/>
  <c r="D135" i="55"/>
  <c r="D134" i="55"/>
  <c r="D131" i="55"/>
  <c r="E129" i="55"/>
  <c r="D129" i="55"/>
  <c r="E127" i="55"/>
  <c r="D127" i="55"/>
  <c r="F125" i="55"/>
  <c r="F143" i="55" s="1"/>
  <c r="E125" i="55"/>
  <c r="D125" i="55"/>
  <c r="F120" i="55"/>
  <c r="G114" i="55" s="1"/>
  <c r="E115" i="55"/>
  <c r="E114" i="55"/>
  <c r="G113" i="55"/>
  <c r="E113" i="55"/>
  <c r="E110" i="55"/>
  <c r="G109" i="55"/>
  <c r="E109" i="55"/>
  <c r="G108" i="55"/>
  <c r="E108" i="55"/>
  <c r="E107" i="55"/>
  <c r="E106" i="55"/>
  <c r="G103" i="55"/>
  <c r="E103" i="55"/>
  <c r="E100" i="55"/>
  <c r="E98" i="55"/>
  <c r="G96" i="55"/>
  <c r="E96" i="55"/>
  <c r="I91" i="55"/>
  <c r="G91" i="55"/>
  <c r="H86" i="55"/>
  <c r="H85" i="55"/>
  <c r="H84" i="55"/>
  <c r="H82" i="55"/>
  <c r="G81" i="55"/>
  <c r="H81" i="55" s="1"/>
  <c r="H79" i="55"/>
  <c r="H77" i="55"/>
  <c r="H76" i="55"/>
  <c r="H78" i="55" s="1"/>
  <c r="H74" i="55"/>
  <c r="H73" i="55"/>
  <c r="H66" i="55"/>
  <c r="H65" i="55"/>
  <c r="H64" i="55"/>
  <c r="F59" i="55"/>
  <c r="G49" i="55" s="1"/>
  <c r="H49" i="55" s="1"/>
  <c r="E54" i="55"/>
  <c r="E53" i="55"/>
  <c r="E50" i="55"/>
  <c r="E49" i="55"/>
  <c r="E48" i="55"/>
  <c r="G47" i="55"/>
  <c r="E47" i="55"/>
  <c r="H47" i="55" s="1"/>
  <c r="I45" i="55"/>
  <c r="I44" i="55"/>
  <c r="I43" i="55"/>
  <c r="I42" i="55"/>
  <c r="I41" i="55"/>
  <c r="I40" i="55"/>
  <c r="G38" i="55"/>
  <c r="E38" i="55"/>
  <c r="E37" i="55"/>
  <c r="E35" i="55"/>
  <c r="G33" i="55"/>
  <c r="E32" i="55"/>
  <c r="I27" i="55"/>
  <c r="G27" i="55"/>
  <c r="F19" i="55"/>
  <c r="A4" i="55"/>
  <c r="H242" i="54"/>
  <c r="H240" i="54"/>
  <c r="H239" i="54"/>
  <c r="H238" i="54"/>
  <c r="H237" i="54"/>
  <c r="H236" i="54"/>
  <c r="H235" i="54"/>
  <c r="H226" i="54"/>
  <c r="H225" i="54"/>
  <c r="H219" i="54"/>
  <c r="H218" i="54"/>
  <c r="H217" i="54"/>
  <c r="H215" i="54"/>
  <c r="F215" i="54"/>
  <c r="H214" i="54"/>
  <c r="F214" i="54"/>
  <c r="H213" i="54"/>
  <c r="F213" i="54"/>
  <c r="H212" i="54"/>
  <c r="F212" i="54"/>
  <c r="F206" i="54"/>
  <c r="G205" i="54"/>
  <c r="D205" i="54"/>
  <c r="G204" i="54"/>
  <c r="D204" i="54"/>
  <c r="G203" i="54"/>
  <c r="D203" i="54"/>
  <c r="G201" i="54"/>
  <c r="D201" i="54"/>
  <c r="G199" i="54"/>
  <c r="D199" i="54"/>
  <c r="I194" i="54"/>
  <c r="G194" i="54"/>
  <c r="H189" i="54"/>
  <c r="H188" i="54"/>
  <c r="H187" i="54"/>
  <c r="H181" i="54"/>
  <c r="H180" i="54"/>
  <c r="H179" i="54"/>
  <c r="H176" i="54"/>
  <c r="H174" i="54"/>
  <c r="H172" i="54"/>
  <c r="H159" i="54"/>
  <c r="H171" i="54"/>
  <c r="G170" i="54"/>
  <c r="H170" i="54" s="1"/>
  <c r="H169" i="54"/>
  <c r="H167" i="54"/>
  <c r="H166" i="54"/>
  <c r="H162" i="54"/>
  <c r="H160" i="54"/>
  <c r="H158" i="54"/>
  <c r="H157" i="54"/>
  <c r="H156" i="54"/>
  <c r="H155" i="54"/>
  <c r="H148" i="54"/>
  <c r="H147" i="54"/>
  <c r="F147" i="54"/>
  <c r="D140" i="54"/>
  <c r="D139" i="54"/>
  <c r="D138" i="54"/>
  <c r="D135" i="54"/>
  <c r="D134" i="54"/>
  <c r="D131" i="54"/>
  <c r="E129" i="54"/>
  <c r="D129" i="54"/>
  <c r="E127" i="54"/>
  <c r="D127" i="54"/>
  <c r="F125" i="54"/>
  <c r="F143" i="54" s="1"/>
  <c r="E125" i="54"/>
  <c r="D125" i="54"/>
  <c r="F120" i="54"/>
  <c r="G117" i="54" s="1"/>
  <c r="H117" i="54" s="1"/>
  <c r="E115" i="54"/>
  <c r="E114" i="54"/>
  <c r="E113" i="54"/>
  <c r="E110" i="54"/>
  <c r="E109" i="54"/>
  <c r="E108" i="54"/>
  <c r="E107" i="54"/>
  <c r="E106" i="54"/>
  <c r="E103" i="54"/>
  <c r="E100" i="54"/>
  <c r="E98" i="54"/>
  <c r="E96" i="54"/>
  <c r="I91" i="54"/>
  <c r="G91" i="54"/>
  <c r="H86" i="54"/>
  <c r="H85" i="54"/>
  <c r="H84" i="54"/>
  <c r="H82" i="54"/>
  <c r="G81" i="54"/>
  <c r="H81" i="54" s="1"/>
  <c r="H79" i="54"/>
  <c r="H77" i="54"/>
  <c r="H76" i="54"/>
  <c r="H78" i="54" s="1"/>
  <c r="H74" i="54"/>
  <c r="H73" i="54"/>
  <c r="H66" i="54"/>
  <c r="H65" i="54"/>
  <c r="H64" i="54"/>
  <c r="F59" i="54"/>
  <c r="G49" i="54" s="1"/>
  <c r="E54" i="54"/>
  <c r="E53" i="54"/>
  <c r="E50" i="54"/>
  <c r="E49" i="54"/>
  <c r="E48" i="54"/>
  <c r="E47" i="54"/>
  <c r="I45" i="54"/>
  <c r="I44" i="54"/>
  <c r="I43" i="54"/>
  <c r="I42" i="54"/>
  <c r="I41" i="54"/>
  <c r="I40" i="54"/>
  <c r="E38" i="54"/>
  <c r="E37" i="54"/>
  <c r="E35" i="54"/>
  <c r="E32" i="54"/>
  <c r="I27" i="54"/>
  <c r="G27" i="54"/>
  <c r="A4" i="54"/>
  <c r="H242" i="53"/>
  <c r="H240" i="53"/>
  <c r="H239" i="53"/>
  <c r="H238" i="53"/>
  <c r="H237" i="53"/>
  <c r="H236" i="53"/>
  <c r="H235" i="53"/>
  <c r="H226" i="53"/>
  <c r="H225" i="53"/>
  <c r="H227" i="53" s="1"/>
  <c r="H219" i="53"/>
  <c r="H218" i="53"/>
  <c r="H217" i="53"/>
  <c r="H215" i="53"/>
  <c r="F215" i="53"/>
  <c r="H214" i="53"/>
  <c r="F214" i="53"/>
  <c r="H213" i="53"/>
  <c r="F213" i="53"/>
  <c r="H212" i="53"/>
  <c r="F212" i="53"/>
  <c r="F206" i="53"/>
  <c r="E206" i="53" s="1"/>
  <c r="G206" i="53" s="1"/>
  <c r="C251" i="53" s="1"/>
  <c r="G251" i="53" s="1"/>
  <c r="G205" i="53"/>
  <c r="D205" i="53"/>
  <c r="G204" i="53"/>
  <c r="D204" i="53"/>
  <c r="H204" i="53" s="1"/>
  <c r="G203" i="53"/>
  <c r="D203" i="53"/>
  <c r="G201" i="53"/>
  <c r="D201" i="53"/>
  <c r="G199" i="53"/>
  <c r="D199" i="53"/>
  <c r="H199" i="53" s="1"/>
  <c r="I194" i="53"/>
  <c r="G194" i="53"/>
  <c r="H189" i="53"/>
  <c r="H188" i="53"/>
  <c r="H187" i="53"/>
  <c r="H181" i="53"/>
  <c r="H180" i="53"/>
  <c r="H179" i="53"/>
  <c r="H176" i="53"/>
  <c r="H174" i="53"/>
  <c r="H172" i="53"/>
  <c r="H159" i="53"/>
  <c r="H171" i="53"/>
  <c r="G170" i="53"/>
  <c r="H170" i="53" s="1"/>
  <c r="H169" i="53"/>
  <c r="H167" i="53"/>
  <c r="H166" i="53"/>
  <c r="H162" i="53"/>
  <c r="H160" i="53"/>
  <c r="H158" i="53"/>
  <c r="H157" i="53"/>
  <c r="H156" i="53"/>
  <c r="H155" i="53"/>
  <c r="H148" i="53"/>
  <c r="H147" i="53"/>
  <c r="F147" i="53"/>
  <c r="D140" i="53"/>
  <c r="D139" i="53"/>
  <c r="D138" i="53"/>
  <c r="D135" i="53"/>
  <c r="D134" i="53"/>
  <c r="D131" i="53"/>
  <c r="E129" i="53"/>
  <c r="D129" i="53"/>
  <c r="E127" i="53"/>
  <c r="D127" i="53"/>
  <c r="F125" i="53"/>
  <c r="F143" i="53" s="1"/>
  <c r="E125" i="53"/>
  <c r="D125" i="53"/>
  <c r="F120" i="53"/>
  <c r="G106" i="53" s="1"/>
  <c r="E115" i="53"/>
  <c r="E114" i="53"/>
  <c r="E113" i="53"/>
  <c r="E110" i="53"/>
  <c r="E109" i="53"/>
  <c r="E108" i="53"/>
  <c r="E107" i="53"/>
  <c r="E106" i="53"/>
  <c r="E103" i="53"/>
  <c r="E100" i="53"/>
  <c r="E98" i="53"/>
  <c r="G96" i="53"/>
  <c r="E96" i="53"/>
  <c r="I91" i="53"/>
  <c r="G91" i="53"/>
  <c r="H86" i="53"/>
  <c r="H85" i="53"/>
  <c r="H84" i="53"/>
  <c r="H82" i="53"/>
  <c r="G81" i="53"/>
  <c r="H81" i="53" s="1"/>
  <c r="H79" i="53"/>
  <c r="H77" i="53"/>
  <c r="H76" i="53"/>
  <c r="H78" i="53" s="1"/>
  <c r="H74" i="53"/>
  <c r="H73" i="53"/>
  <c r="H66" i="53"/>
  <c r="H65" i="53"/>
  <c r="H64" i="53"/>
  <c r="F59" i="53"/>
  <c r="G49" i="53" s="1"/>
  <c r="G54" i="53"/>
  <c r="E54" i="53"/>
  <c r="E53" i="53"/>
  <c r="E50" i="53"/>
  <c r="E49" i="53"/>
  <c r="E48" i="53"/>
  <c r="G47" i="53"/>
  <c r="E47" i="53"/>
  <c r="I45" i="53"/>
  <c r="I44" i="53"/>
  <c r="I43" i="53"/>
  <c r="I42" i="53"/>
  <c r="I41" i="53"/>
  <c r="I40" i="53"/>
  <c r="G38" i="53"/>
  <c r="E38" i="53"/>
  <c r="E37" i="53"/>
  <c r="E35" i="53"/>
  <c r="G33" i="53"/>
  <c r="G32" i="53"/>
  <c r="E32" i="53"/>
  <c r="I27" i="53"/>
  <c r="G27" i="53"/>
  <c r="F19" i="53"/>
  <c r="A4" i="53"/>
  <c r="H242" i="52"/>
  <c r="H240" i="52"/>
  <c r="H239" i="52"/>
  <c r="H238" i="52"/>
  <c r="H237" i="52"/>
  <c r="H236" i="52"/>
  <c r="H235" i="52"/>
  <c r="H226" i="52"/>
  <c r="H225" i="52"/>
  <c r="H219" i="52"/>
  <c r="H218" i="52"/>
  <c r="H217" i="52"/>
  <c r="H215" i="52"/>
  <c r="F215" i="52"/>
  <c r="H214" i="52"/>
  <c r="F214" i="52"/>
  <c r="H213" i="52"/>
  <c r="F213" i="52"/>
  <c r="H212" i="52"/>
  <c r="F212" i="52"/>
  <c r="F206" i="52"/>
  <c r="E206" i="52"/>
  <c r="G206" i="52" s="1"/>
  <c r="C251" i="52" s="1"/>
  <c r="G251" i="52" s="1"/>
  <c r="G205" i="52"/>
  <c r="D205" i="52"/>
  <c r="H205" i="52" s="1"/>
  <c r="G204" i="52"/>
  <c r="D204" i="52"/>
  <c r="G203" i="52"/>
  <c r="D203" i="52"/>
  <c r="H203" i="52" s="1"/>
  <c r="G201" i="52"/>
  <c r="D201" i="52"/>
  <c r="H201" i="52" s="1"/>
  <c r="G199" i="52"/>
  <c r="D199" i="52"/>
  <c r="H199" i="52" s="1"/>
  <c r="I194" i="52"/>
  <c r="G194" i="52"/>
  <c r="H189" i="52"/>
  <c r="H188" i="52"/>
  <c r="H187" i="52"/>
  <c r="H181" i="52"/>
  <c r="H180" i="52"/>
  <c r="H179" i="52"/>
  <c r="H176" i="52"/>
  <c r="H174" i="52"/>
  <c r="H172" i="52"/>
  <c r="H159" i="52"/>
  <c r="H171" i="52"/>
  <c r="G170" i="52"/>
  <c r="H170" i="52" s="1"/>
  <c r="H169" i="52"/>
  <c r="H167" i="52"/>
  <c r="H166" i="52"/>
  <c r="H162" i="52"/>
  <c r="H160" i="52"/>
  <c r="H158" i="52"/>
  <c r="H157" i="52"/>
  <c r="H156" i="52"/>
  <c r="H155" i="52"/>
  <c r="H148" i="52"/>
  <c r="H147" i="52"/>
  <c r="F147" i="52"/>
  <c r="D140" i="52"/>
  <c r="D139" i="52"/>
  <c r="D138" i="52"/>
  <c r="D135" i="52"/>
  <c r="D134" i="52"/>
  <c r="D131" i="52"/>
  <c r="E129" i="52"/>
  <c r="D129" i="52"/>
  <c r="E127" i="52"/>
  <c r="D127" i="52"/>
  <c r="F125" i="52"/>
  <c r="F143" i="52" s="1"/>
  <c r="E125" i="52"/>
  <c r="D125" i="52"/>
  <c r="F120" i="52"/>
  <c r="G106" i="52" s="1"/>
  <c r="E115" i="52"/>
  <c r="E114" i="52"/>
  <c r="E113" i="52"/>
  <c r="E110" i="52"/>
  <c r="E109" i="52"/>
  <c r="G108" i="52"/>
  <c r="E108" i="52"/>
  <c r="E107" i="52"/>
  <c r="E106" i="52"/>
  <c r="E103" i="52"/>
  <c r="E100" i="52"/>
  <c r="E98" i="52"/>
  <c r="E96" i="52"/>
  <c r="I91" i="52"/>
  <c r="G91" i="52"/>
  <c r="H86" i="52"/>
  <c r="H85" i="52"/>
  <c r="H84" i="52"/>
  <c r="H82" i="52"/>
  <c r="G81" i="52"/>
  <c r="H81" i="52" s="1"/>
  <c r="H79" i="52"/>
  <c r="H77" i="52"/>
  <c r="H76" i="52"/>
  <c r="H78" i="52" s="1"/>
  <c r="H74" i="52"/>
  <c r="H73" i="52"/>
  <c r="H66" i="52"/>
  <c r="H65" i="52"/>
  <c r="H64" i="52"/>
  <c r="F59" i="52"/>
  <c r="G49" i="52" s="1"/>
  <c r="E54" i="52"/>
  <c r="E53" i="52"/>
  <c r="E50" i="52"/>
  <c r="E49" i="52"/>
  <c r="H49" i="52" s="1"/>
  <c r="E48" i="52"/>
  <c r="E47" i="52"/>
  <c r="I45" i="52"/>
  <c r="I44" i="52"/>
  <c r="I43" i="52"/>
  <c r="I42" i="52"/>
  <c r="I41" i="52"/>
  <c r="I40" i="52"/>
  <c r="E38" i="52"/>
  <c r="E37" i="52"/>
  <c r="E35" i="52"/>
  <c r="G32" i="52"/>
  <c r="E32" i="52"/>
  <c r="I27" i="52"/>
  <c r="G27" i="52"/>
  <c r="F19" i="52"/>
  <c r="A4" i="52"/>
  <c r="H242" i="51"/>
  <c r="H240" i="51"/>
  <c r="H239" i="51"/>
  <c r="H238" i="51"/>
  <c r="H237" i="51"/>
  <c r="H236" i="51"/>
  <c r="H235" i="51"/>
  <c r="H226" i="51"/>
  <c r="H225" i="51"/>
  <c r="H227" i="51" s="1"/>
  <c r="H219" i="51"/>
  <c r="H218" i="51"/>
  <c r="H217" i="51"/>
  <c r="H215" i="51"/>
  <c r="F215" i="51"/>
  <c r="H214" i="51"/>
  <c r="F214" i="51"/>
  <c r="H213" i="51"/>
  <c r="F213" i="51"/>
  <c r="H212" i="51"/>
  <c r="F212" i="51"/>
  <c r="F206" i="51"/>
  <c r="E206" i="51" s="1"/>
  <c r="G206" i="51" s="1"/>
  <c r="C251" i="51" s="1"/>
  <c r="G251" i="51" s="1"/>
  <c r="G205" i="51"/>
  <c r="D205" i="51"/>
  <c r="G204" i="51"/>
  <c r="D204" i="51"/>
  <c r="G203" i="51"/>
  <c r="D203" i="51"/>
  <c r="G201" i="51"/>
  <c r="D201" i="51"/>
  <c r="G199" i="51"/>
  <c r="D199" i="51"/>
  <c r="I194" i="51"/>
  <c r="G194" i="51"/>
  <c r="H189" i="51"/>
  <c r="H188" i="51"/>
  <c r="H187" i="51"/>
  <c r="H190" i="51" s="1"/>
  <c r="H181" i="51"/>
  <c r="H180" i="51"/>
  <c r="H179" i="51"/>
  <c r="H176" i="51"/>
  <c r="H174" i="51"/>
  <c r="H172" i="51"/>
  <c r="H159" i="51"/>
  <c r="H171" i="51"/>
  <c r="H170" i="51"/>
  <c r="G170" i="51"/>
  <c r="H169" i="51"/>
  <c r="H167" i="51"/>
  <c r="H166" i="51"/>
  <c r="H162" i="51"/>
  <c r="H160" i="51"/>
  <c r="H158" i="51"/>
  <c r="H157" i="51"/>
  <c r="H156" i="51"/>
  <c r="H155" i="51"/>
  <c r="H148" i="51"/>
  <c r="H147" i="51"/>
  <c r="F147" i="51"/>
  <c r="D140" i="51"/>
  <c r="D139" i="51"/>
  <c r="D138" i="51"/>
  <c r="D135" i="51"/>
  <c r="D134" i="51"/>
  <c r="D131" i="51"/>
  <c r="E129" i="51"/>
  <c r="D129" i="51"/>
  <c r="E127" i="51"/>
  <c r="D127" i="51"/>
  <c r="F125" i="51"/>
  <c r="F143" i="51" s="1"/>
  <c r="E125" i="51"/>
  <c r="E143" i="51" s="1"/>
  <c r="D125" i="51"/>
  <c r="F120" i="51"/>
  <c r="G114" i="51" s="1"/>
  <c r="H114" i="51" s="1"/>
  <c r="E115" i="51"/>
  <c r="E114" i="51"/>
  <c r="E113" i="51"/>
  <c r="E110" i="51"/>
  <c r="E109" i="51"/>
  <c r="E108" i="51"/>
  <c r="E107" i="51"/>
  <c r="E106" i="51"/>
  <c r="E103" i="51"/>
  <c r="E100" i="51"/>
  <c r="E98" i="51"/>
  <c r="E96" i="51"/>
  <c r="I91" i="51"/>
  <c r="G91" i="51"/>
  <c r="H86" i="51"/>
  <c r="H85" i="51"/>
  <c r="H84" i="51"/>
  <c r="H82" i="51"/>
  <c r="G81" i="51"/>
  <c r="H81" i="51" s="1"/>
  <c r="H79" i="51"/>
  <c r="H77" i="51"/>
  <c r="H76" i="51"/>
  <c r="H78" i="51" s="1"/>
  <c r="H74" i="51"/>
  <c r="H73" i="51"/>
  <c r="H66" i="51"/>
  <c r="H65" i="51"/>
  <c r="H64" i="51"/>
  <c r="F59" i="51"/>
  <c r="G49" i="51" s="1"/>
  <c r="E54" i="51"/>
  <c r="E53" i="51"/>
  <c r="E50" i="51"/>
  <c r="E49" i="51"/>
  <c r="E48" i="51"/>
  <c r="E47" i="51"/>
  <c r="I45" i="51"/>
  <c r="I44" i="51"/>
  <c r="I43" i="51"/>
  <c r="I42" i="51"/>
  <c r="I41" i="51"/>
  <c r="I40" i="51"/>
  <c r="E38" i="51"/>
  <c r="E37" i="51"/>
  <c r="E35" i="51"/>
  <c r="E32" i="51"/>
  <c r="I27" i="51"/>
  <c r="G27" i="51"/>
  <c r="A4" i="51"/>
  <c r="H242" i="50"/>
  <c r="H240" i="50"/>
  <c r="H239" i="50"/>
  <c r="H238" i="50"/>
  <c r="H237" i="50"/>
  <c r="H236" i="50"/>
  <c r="H235" i="50"/>
  <c r="H226" i="50"/>
  <c r="H225" i="50"/>
  <c r="H227" i="50" s="1"/>
  <c r="H219" i="50"/>
  <c r="H218" i="50"/>
  <c r="H217" i="50"/>
  <c r="H215" i="50"/>
  <c r="F215" i="50"/>
  <c r="H214" i="50"/>
  <c r="F214" i="50"/>
  <c r="H213" i="50"/>
  <c r="F213" i="50"/>
  <c r="H212" i="50"/>
  <c r="F212" i="50"/>
  <c r="F206" i="50"/>
  <c r="E206" i="50" s="1"/>
  <c r="G206" i="50" s="1"/>
  <c r="C251" i="50" s="1"/>
  <c r="G251" i="50" s="1"/>
  <c r="G205" i="50"/>
  <c r="D205" i="50"/>
  <c r="H205" i="50" s="1"/>
  <c r="G204" i="50"/>
  <c r="D204" i="50"/>
  <c r="H204" i="50" s="1"/>
  <c r="G203" i="50"/>
  <c r="D203" i="50"/>
  <c r="H203" i="50" s="1"/>
  <c r="G201" i="50"/>
  <c r="D201" i="50"/>
  <c r="G199" i="50"/>
  <c r="D199" i="50"/>
  <c r="H199" i="50" s="1"/>
  <c r="I194" i="50"/>
  <c r="G194" i="50"/>
  <c r="H189" i="50"/>
  <c r="H188" i="50"/>
  <c r="H187" i="50"/>
  <c r="H181" i="50"/>
  <c r="H180" i="50"/>
  <c r="H179" i="50"/>
  <c r="H176" i="50"/>
  <c r="H174" i="50"/>
  <c r="H172" i="50"/>
  <c r="H159" i="50"/>
  <c r="H171" i="50"/>
  <c r="H170" i="50"/>
  <c r="G170" i="50"/>
  <c r="H169" i="50"/>
  <c r="H167" i="50"/>
  <c r="H166" i="50"/>
  <c r="H162" i="50"/>
  <c r="H160" i="50"/>
  <c r="H158" i="50"/>
  <c r="H157" i="50"/>
  <c r="H156" i="50"/>
  <c r="H155" i="50"/>
  <c r="H148" i="50"/>
  <c r="H147" i="50"/>
  <c r="F147" i="50"/>
  <c r="F143" i="50"/>
  <c r="D140" i="50"/>
  <c r="D139" i="50"/>
  <c r="D138" i="50"/>
  <c r="D135" i="50"/>
  <c r="D134" i="50"/>
  <c r="D131" i="50"/>
  <c r="E129" i="50"/>
  <c r="D129" i="50"/>
  <c r="E127" i="50"/>
  <c r="D127" i="50"/>
  <c r="F125" i="50"/>
  <c r="E125" i="50"/>
  <c r="D125" i="50"/>
  <c r="F120" i="50"/>
  <c r="G106" i="50" s="1"/>
  <c r="E115" i="50"/>
  <c r="E114" i="50"/>
  <c r="E113" i="50"/>
  <c r="E110" i="50"/>
  <c r="E109" i="50"/>
  <c r="E108" i="50"/>
  <c r="E107" i="50"/>
  <c r="E106" i="50"/>
  <c r="E103" i="50"/>
  <c r="E100" i="50"/>
  <c r="E98" i="50"/>
  <c r="G96" i="50"/>
  <c r="E96" i="50"/>
  <c r="I91" i="50"/>
  <c r="G91" i="50"/>
  <c r="H86" i="50"/>
  <c r="H85" i="50"/>
  <c r="H84" i="50"/>
  <c r="H82" i="50"/>
  <c r="G81" i="50"/>
  <c r="H81" i="50" s="1"/>
  <c r="H79" i="50"/>
  <c r="H77" i="50"/>
  <c r="H76" i="50"/>
  <c r="H78" i="50" s="1"/>
  <c r="H74" i="50"/>
  <c r="H73" i="50"/>
  <c r="H66" i="50"/>
  <c r="H65" i="50"/>
  <c r="H64" i="50"/>
  <c r="F59" i="50"/>
  <c r="G57" i="50" s="1"/>
  <c r="H57" i="50" s="1"/>
  <c r="E54" i="50"/>
  <c r="E53" i="50"/>
  <c r="E50" i="50"/>
  <c r="E49" i="50"/>
  <c r="E48" i="50"/>
  <c r="E47" i="50"/>
  <c r="I45" i="50"/>
  <c r="I44" i="50"/>
  <c r="I43" i="50"/>
  <c r="I42" i="50"/>
  <c r="I41" i="50"/>
  <c r="I40" i="50"/>
  <c r="E38" i="50"/>
  <c r="E37" i="50"/>
  <c r="E35" i="50"/>
  <c r="E32" i="50"/>
  <c r="I27" i="50"/>
  <c r="G27" i="50"/>
  <c r="F19" i="50"/>
  <c r="A4" i="50"/>
  <c r="H242" i="49"/>
  <c r="H240" i="49"/>
  <c r="H239" i="49"/>
  <c r="H238" i="49"/>
  <c r="H237" i="49"/>
  <c r="H236" i="49"/>
  <c r="H235" i="49"/>
  <c r="H226" i="49"/>
  <c r="H225" i="49"/>
  <c r="H219" i="49"/>
  <c r="H218" i="49"/>
  <c r="H217" i="49"/>
  <c r="H215" i="49"/>
  <c r="F215" i="49"/>
  <c r="H214" i="49"/>
  <c r="F214" i="49"/>
  <c r="H213" i="49"/>
  <c r="F213" i="49"/>
  <c r="H212" i="49"/>
  <c r="F212" i="49"/>
  <c r="F206" i="49"/>
  <c r="E206" i="49"/>
  <c r="G206" i="49" s="1"/>
  <c r="C251" i="49" s="1"/>
  <c r="G251" i="49" s="1"/>
  <c r="G205" i="49"/>
  <c r="D205" i="49"/>
  <c r="H205" i="49" s="1"/>
  <c r="G204" i="49"/>
  <c r="D204" i="49"/>
  <c r="H204" i="49" s="1"/>
  <c r="G203" i="49"/>
  <c r="D203" i="49"/>
  <c r="H203" i="49" s="1"/>
  <c r="G201" i="49"/>
  <c r="D201" i="49"/>
  <c r="G199" i="49"/>
  <c r="D199" i="49"/>
  <c r="H199" i="49" s="1"/>
  <c r="I194" i="49"/>
  <c r="G194" i="49"/>
  <c r="H189" i="49"/>
  <c r="H188" i="49"/>
  <c r="H190" i="49" s="1"/>
  <c r="H187" i="49"/>
  <c r="H181" i="49"/>
  <c r="H180" i="49"/>
  <c r="H179" i="49"/>
  <c r="H176" i="49"/>
  <c r="H174" i="49"/>
  <c r="H172" i="49"/>
  <c r="H159" i="49"/>
  <c r="H171" i="49"/>
  <c r="H170" i="49"/>
  <c r="G170" i="49"/>
  <c r="H169" i="49"/>
  <c r="H167" i="49"/>
  <c r="H166" i="49"/>
  <c r="H162" i="49"/>
  <c r="H160" i="49"/>
  <c r="H158" i="49"/>
  <c r="H157" i="49"/>
  <c r="H156" i="49"/>
  <c r="H155" i="49"/>
  <c r="H148" i="49"/>
  <c r="H147" i="49"/>
  <c r="F147" i="49"/>
  <c r="D140" i="49"/>
  <c r="D139" i="49"/>
  <c r="D138" i="49"/>
  <c r="D135" i="49"/>
  <c r="D134" i="49"/>
  <c r="E131" i="49"/>
  <c r="D131" i="49"/>
  <c r="E129" i="49"/>
  <c r="D129" i="49"/>
  <c r="E127" i="49"/>
  <c r="D127" i="49"/>
  <c r="F125" i="49"/>
  <c r="F143" i="49" s="1"/>
  <c r="E125" i="49"/>
  <c r="E143" i="49" s="1"/>
  <c r="D125" i="49"/>
  <c r="F120" i="49"/>
  <c r="G106" i="49" s="1"/>
  <c r="E115" i="49"/>
  <c r="E114" i="49"/>
  <c r="E113" i="49"/>
  <c r="E110" i="49"/>
  <c r="E109" i="49"/>
  <c r="E108" i="49"/>
  <c r="E107" i="49"/>
  <c r="E106" i="49"/>
  <c r="E103" i="49"/>
  <c r="E100" i="49"/>
  <c r="E98" i="49"/>
  <c r="E96" i="49"/>
  <c r="I91" i="49"/>
  <c r="G91" i="49"/>
  <c r="H86" i="49"/>
  <c r="H85" i="49"/>
  <c r="H84" i="49"/>
  <c r="H82" i="49"/>
  <c r="G81" i="49"/>
  <c r="H81" i="49" s="1"/>
  <c r="H79" i="49"/>
  <c r="H77" i="49"/>
  <c r="H76" i="49"/>
  <c r="H78" i="49" s="1"/>
  <c r="H74" i="49"/>
  <c r="H73" i="49"/>
  <c r="H66" i="49"/>
  <c r="H65" i="49"/>
  <c r="H64" i="49"/>
  <c r="F59" i="49"/>
  <c r="G49" i="49" s="1"/>
  <c r="E54" i="49"/>
  <c r="E53" i="49"/>
  <c r="E50" i="49"/>
  <c r="E49" i="49"/>
  <c r="E48" i="49"/>
  <c r="E47" i="49"/>
  <c r="I45" i="49"/>
  <c r="I44" i="49"/>
  <c r="I43" i="49"/>
  <c r="I42" i="49"/>
  <c r="I41" i="49"/>
  <c r="I40" i="49"/>
  <c r="E38" i="49"/>
  <c r="E37" i="49"/>
  <c r="E35" i="49"/>
  <c r="E32" i="49"/>
  <c r="I27" i="49"/>
  <c r="G27" i="49"/>
  <c r="A4" i="49"/>
  <c r="H242" i="48"/>
  <c r="H240" i="48"/>
  <c r="H239" i="48"/>
  <c r="H238" i="48"/>
  <c r="H237" i="48"/>
  <c r="H236" i="48"/>
  <c r="H235" i="48"/>
  <c r="H226" i="48"/>
  <c r="H225" i="48"/>
  <c r="H227" i="48" s="1"/>
  <c r="H219" i="48"/>
  <c r="H218" i="48"/>
  <c r="H217" i="48"/>
  <c r="H215" i="48"/>
  <c r="F215" i="48"/>
  <c r="H214" i="48"/>
  <c r="F214" i="48"/>
  <c r="H213" i="48"/>
  <c r="F213" i="48"/>
  <c r="H212" i="48"/>
  <c r="F212" i="48"/>
  <c r="F206" i="48"/>
  <c r="G205" i="48"/>
  <c r="D205" i="48"/>
  <c r="G204" i="48"/>
  <c r="D204" i="48"/>
  <c r="H204" i="48" s="1"/>
  <c r="G203" i="48"/>
  <c r="D203" i="48"/>
  <c r="G201" i="48"/>
  <c r="D201" i="48"/>
  <c r="H201" i="48" s="1"/>
  <c r="G199" i="48"/>
  <c r="D199" i="48"/>
  <c r="I194" i="48"/>
  <c r="G194" i="48"/>
  <c r="H189" i="48"/>
  <c r="H188" i="48"/>
  <c r="H187" i="48"/>
  <c r="H181" i="48"/>
  <c r="H180" i="48"/>
  <c r="H179" i="48"/>
  <c r="H176" i="48"/>
  <c r="H174" i="48"/>
  <c r="H172" i="48"/>
  <c r="H159" i="48"/>
  <c r="H171" i="48"/>
  <c r="G170" i="48"/>
  <c r="H170" i="48" s="1"/>
  <c r="H169" i="48"/>
  <c r="H167" i="48"/>
  <c r="H166" i="48"/>
  <c r="H162" i="48"/>
  <c r="H160" i="48"/>
  <c r="H158" i="48"/>
  <c r="H157" i="48"/>
  <c r="H156" i="48"/>
  <c r="H155" i="48"/>
  <c r="H148" i="48"/>
  <c r="H147" i="48"/>
  <c r="F147" i="48"/>
  <c r="D140" i="48"/>
  <c r="D139" i="48"/>
  <c r="D138" i="48"/>
  <c r="D135" i="48"/>
  <c r="D134" i="48"/>
  <c r="D131" i="48"/>
  <c r="E129" i="48"/>
  <c r="D129" i="48"/>
  <c r="E127" i="48"/>
  <c r="D127" i="48"/>
  <c r="F125" i="48"/>
  <c r="F143" i="48" s="1"/>
  <c r="E125" i="48"/>
  <c r="D125" i="48"/>
  <c r="F120" i="48"/>
  <c r="G110" i="48" s="1"/>
  <c r="E115" i="48"/>
  <c r="E114" i="48"/>
  <c r="E113" i="48"/>
  <c r="E110" i="48"/>
  <c r="E109" i="48"/>
  <c r="E108" i="48"/>
  <c r="E107" i="48"/>
  <c r="E106" i="48"/>
  <c r="E103" i="48"/>
  <c r="E100" i="48"/>
  <c r="E98" i="48"/>
  <c r="E96" i="48"/>
  <c r="I91" i="48"/>
  <c r="G91" i="48"/>
  <c r="H86" i="48"/>
  <c r="H85" i="48"/>
  <c r="H84" i="48"/>
  <c r="H82" i="48"/>
  <c r="G81" i="48"/>
  <c r="H81" i="48" s="1"/>
  <c r="H79" i="48"/>
  <c r="H78" i="48"/>
  <c r="H77" i="48"/>
  <c r="H76" i="48"/>
  <c r="H74" i="48"/>
  <c r="H73" i="48"/>
  <c r="H66" i="48"/>
  <c r="H65" i="48"/>
  <c r="H64" i="48"/>
  <c r="F59" i="48"/>
  <c r="G57" i="48" s="1"/>
  <c r="H57" i="48" s="1"/>
  <c r="E54" i="48"/>
  <c r="E53" i="48"/>
  <c r="E50" i="48"/>
  <c r="E49" i="48"/>
  <c r="E48" i="48"/>
  <c r="E47" i="48"/>
  <c r="I45" i="48"/>
  <c r="I44" i="48"/>
  <c r="I43" i="48"/>
  <c r="I42" i="48"/>
  <c r="I41" i="48"/>
  <c r="I40" i="48"/>
  <c r="E38" i="48"/>
  <c r="E37" i="48"/>
  <c r="E35" i="48"/>
  <c r="E32" i="48"/>
  <c r="I27" i="48"/>
  <c r="G27" i="48"/>
  <c r="A4" i="48"/>
  <c r="H242" i="47"/>
  <c r="H240" i="47"/>
  <c r="H239" i="47"/>
  <c r="H238" i="47"/>
  <c r="H237" i="47"/>
  <c r="H236" i="47"/>
  <c r="H235" i="47"/>
  <c r="H226" i="47"/>
  <c r="H225" i="47"/>
  <c r="H227" i="47" s="1"/>
  <c r="H219" i="47"/>
  <c r="H218" i="47"/>
  <c r="H217" i="47"/>
  <c r="H215" i="47"/>
  <c r="F215" i="47"/>
  <c r="H214" i="47"/>
  <c r="F214" i="47"/>
  <c r="H213" i="47"/>
  <c r="F213" i="47"/>
  <c r="H212" i="47"/>
  <c r="F212" i="47"/>
  <c r="F206" i="47"/>
  <c r="G205" i="47"/>
  <c r="D205" i="47"/>
  <c r="G204" i="47"/>
  <c r="D204" i="47"/>
  <c r="H204" i="47" s="1"/>
  <c r="G203" i="47"/>
  <c r="D203" i="47"/>
  <c r="G201" i="47"/>
  <c r="D201" i="47"/>
  <c r="G199" i="47"/>
  <c r="H199" i="47" s="1"/>
  <c r="D199" i="47"/>
  <c r="I194" i="47"/>
  <c r="G194" i="47"/>
  <c r="H189" i="47"/>
  <c r="H188" i="47"/>
  <c r="H190" i="47" s="1"/>
  <c r="H187" i="47"/>
  <c r="H181" i="47"/>
  <c r="H180" i="47"/>
  <c r="H179" i="47"/>
  <c r="H176" i="47"/>
  <c r="H174" i="47"/>
  <c r="H172" i="47"/>
  <c r="H159" i="47"/>
  <c r="H171" i="47"/>
  <c r="G170" i="47"/>
  <c r="H170" i="47" s="1"/>
  <c r="H169" i="47"/>
  <c r="H167" i="47"/>
  <c r="H166" i="47"/>
  <c r="H162" i="47"/>
  <c r="H160" i="47"/>
  <c r="H158" i="47"/>
  <c r="H157" i="47"/>
  <c r="H156" i="47"/>
  <c r="H155" i="47"/>
  <c r="H148" i="47"/>
  <c r="H147" i="47"/>
  <c r="F147" i="47"/>
  <c r="D140" i="47"/>
  <c r="D139" i="47"/>
  <c r="D138" i="47"/>
  <c r="D135" i="47"/>
  <c r="D134" i="47"/>
  <c r="D131" i="47"/>
  <c r="E129" i="47"/>
  <c r="D129" i="47"/>
  <c r="E127" i="47"/>
  <c r="D127" i="47"/>
  <c r="F125" i="47"/>
  <c r="F143" i="47" s="1"/>
  <c r="E125" i="47"/>
  <c r="D125" i="47"/>
  <c r="F120" i="47"/>
  <c r="G117" i="47" s="1"/>
  <c r="H117" i="47" s="1"/>
  <c r="E115" i="47"/>
  <c r="E114" i="47"/>
  <c r="E113" i="47"/>
  <c r="E110" i="47"/>
  <c r="E109" i="47"/>
  <c r="E108" i="47"/>
  <c r="E107" i="47"/>
  <c r="E106" i="47"/>
  <c r="E103" i="47"/>
  <c r="E100" i="47"/>
  <c r="E98" i="47"/>
  <c r="E96" i="47"/>
  <c r="I91" i="47"/>
  <c r="G91" i="47"/>
  <c r="H86" i="47"/>
  <c r="H85" i="47"/>
  <c r="H84" i="47"/>
  <c r="H82" i="47"/>
  <c r="G81" i="47"/>
  <c r="H81" i="47" s="1"/>
  <c r="H79" i="47"/>
  <c r="H77" i="47"/>
  <c r="H76" i="47"/>
  <c r="H78" i="47" s="1"/>
  <c r="H74" i="47"/>
  <c r="H73" i="47"/>
  <c r="H66" i="47"/>
  <c r="H65" i="47"/>
  <c r="H64" i="47"/>
  <c r="F59" i="47"/>
  <c r="G49" i="47" s="1"/>
  <c r="E54" i="47"/>
  <c r="E53" i="47"/>
  <c r="E50" i="47"/>
  <c r="E49" i="47"/>
  <c r="E48" i="47"/>
  <c r="E47" i="47"/>
  <c r="I45" i="47"/>
  <c r="I44" i="47"/>
  <c r="I43" i="47"/>
  <c r="I42" i="47"/>
  <c r="I41" i="47"/>
  <c r="I40" i="47"/>
  <c r="E38" i="47"/>
  <c r="E37" i="47"/>
  <c r="E35" i="47"/>
  <c r="E32" i="47"/>
  <c r="I27" i="47"/>
  <c r="G27" i="47"/>
  <c r="F19" i="47"/>
  <c r="A4" i="47"/>
  <c r="H242" i="46"/>
  <c r="H240" i="46"/>
  <c r="H239" i="46"/>
  <c r="H238" i="46"/>
  <c r="H237" i="46"/>
  <c r="H236" i="46"/>
  <c r="H235" i="46"/>
  <c r="H226" i="46"/>
  <c r="H225" i="46"/>
  <c r="H219" i="46"/>
  <c r="H218" i="46"/>
  <c r="H217" i="46"/>
  <c r="H215" i="46"/>
  <c r="F215" i="46"/>
  <c r="H214" i="46"/>
  <c r="F214" i="46"/>
  <c r="H213" i="46"/>
  <c r="F213" i="46"/>
  <c r="H212" i="46"/>
  <c r="F212" i="46"/>
  <c r="F206" i="46"/>
  <c r="E206" i="46" s="1"/>
  <c r="G206" i="46" s="1"/>
  <c r="C251" i="46" s="1"/>
  <c r="G251" i="46" s="1"/>
  <c r="G205" i="46"/>
  <c r="D205" i="46"/>
  <c r="G204" i="46"/>
  <c r="D204" i="46"/>
  <c r="G203" i="46"/>
  <c r="D203" i="46"/>
  <c r="G201" i="46"/>
  <c r="D201" i="46"/>
  <c r="G199" i="46"/>
  <c r="D199" i="46"/>
  <c r="I194" i="46"/>
  <c r="G194" i="46"/>
  <c r="H189" i="46"/>
  <c r="H188" i="46"/>
  <c r="H187" i="46"/>
  <c r="H181" i="46"/>
  <c r="H180" i="46"/>
  <c r="H179" i="46"/>
  <c r="H176" i="46"/>
  <c r="H174" i="46"/>
  <c r="H172" i="46"/>
  <c r="H159" i="46"/>
  <c r="H171" i="46"/>
  <c r="G170" i="46"/>
  <c r="H170" i="46" s="1"/>
  <c r="H169" i="46"/>
  <c r="H167" i="46"/>
  <c r="H166" i="46"/>
  <c r="H162" i="46"/>
  <c r="H160" i="46"/>
  <c r="H158" i="46"/>
  <c r="H157" i="46"/>
  <c r="H156" i="46"/>
  <c r="H155" i="46"/>
  <c r="H148" i="46"/>
  <c r="H147" i="46"/>
  <c r="F147" i="46"/>
  <c r="D140" i="46"/>
  <c r="D139" i="46"/>
  <c r="D138" i="46"/>
  <c r="D135" i="46"/>
  <c r="D134" i="46"/>
  <c r="D131" i="46"/>
  <c r="E129" i="46"/>
  <c r="D129" i="46"/>
  <c r="E127" i="46"/>
  <c r="D127" i="46"/>
  <c r="F125" i="46"/>
  <c r="F143" i="46" s="1"/>
  <c r="E125" i="46"/>
  <c r="D125" i="46"/>
  <c r="F120" i="46"/>
  <c r="G106" i="46" s="1"/>
  <c r="E115" i="46"/>
  <c r="E114" i="46"/>
  <c r="E113" i="46"/>
  <c r="E110" i="46"/>
  <c r="E109" i="46"/>
  <c r="G108" i="46"/>
  <c r="E108" i="46"/>
  <c r="E107" i="46"/>
  <c r="E106" i="46"/>
  <c r="G103" i="46"/>
  <c r="E103" i="46"/>
  <c r="G100" i="46"/>
  <c r="E100" i="46"/>
  <c r="H100" i="46" s="1"/>
  <c r="E98" i="46"/>
  <c r="E96" i="46"/>
  <c r="I91" i="46"/>
  <c r="G91" i="46"/>
  <c r="H86" i="46"/>
  <c r="H85" i="46"/>
  <c r="H84" i="46"/>
  <c r="H82" i="46"/>
  <c r="G81" i="46"/>
  <c r="H81" i="46" s="1"/>
  <c r="H79" i="46"/>
  <c r="H77" i="46"/>
  <c r="H76" i="46"/>
  <c r="H78" i="46" s="1"/>
  <c r="H74" i="46"/>
  <c r="H73" i="46"/>
  <c r="H66" i="46"/>
  <c r="H65" i="46"/>
  <c r="H64" i="46"/>
  <c r="F59" i="46"/>
  <c r="G57" i="46" s="1"/>
  <c r="H57" i="46" s="1"/>
  <c r="E54" i="46"/>
  <c r="E53" i="46"/>
  <c r="E50" i="46"/>
  <c r="E49" i="46"/>
  <c r="G48" i="46"/>
  <c r="E48" i="46"/>
  <c r="E47" i="46"/>
  <c r="I45" i="46"/>
  <c r="I44" i="46"/>
  <c r="I43" i="46"/>
  <c r="I42" i="46"/>
  <c r="I41" i="46"/>
  <c r="I40" i="46"/>
  <c r="E38" i="46"/>
  <c r="G37" i="46"/>
  <c r="E37" i="46"/>
  <c r="E35" i="46"/>
  <c r="G32" i="46"/>
  <c r="E32" i="46"/>
  <c r="I27" i="46"/>
  <c r="G27" i="46"/>
  <c r="F19" i="46"/>
  <c r="A4" i="46"/>
  <c r="H242" i="45"/>
  <c r="H240" i="45"/>
  <c r="H239" i="45"/>
  <c r="H238" i="45"/>
  <c r="H237" i="45"/>
  <c r="H236" i="45"/>
  <c r="H235" i="45"/>
  <c r="H226" i="45"/>
  <c r="H225" i="45"/>
  <c r="H219" i="45"/>
  <c r="H218" i="45"/>
  <c r="H217" i="45"/>
  <c r="H215" i="45"/>
  <c r="F215" i="45"/>
  <c r="H214" i="45"/>
  <c r="F214" i="45"/>
  <c r="H213" i="45"/>
  <c r="F213" i="45"/>
  <c r="H212" i="45"/>
  <c r="F212" i="45"/>
  <c r="F206" i="45"/>
  <c r="G205" i="45"/>
  <c r="D205" i="45"/>
  <c r="G204" i="45"/>
  <c r="D204" i="45"/>
  <c r="G203" i="45"/>
  <c r="D203" i="45"/>
  <c r="G201" i="45"/>
  <c r="D201" i="45"/>
  <c r="G199" i="45"/>
  <c r="D199" i="45"/>
  <c r="H199" i="45" s="1"/>
  <c r="I194" i="45"/>
  <c r="G194" i="45"/>
  <c r="H189" i="45"/>
  <c r="H188" i="45"/>
  <c r="H187" i="45"/>
  <c r="H181" i="45"/>
  <c r="H180" i="45"/>
  <c r="H179" i="45"/>
  <c r="H176" i="45"/>
  <c r="H174" i="45"/>
  <c r="H172" i="45"/>
  <c r="H159" i="45"/>
  <c r="H171" i="45"/>
  <c r="G170" i="45"/>
  <c r="H170" i="45" s="1"/>
  <c r="H169" i="45"/>
  <c r="H167" i="45"/>
  <c r="H166" i="45"/>
  <c r="H162" i="45"/>
  <c r="H160" i="45"/>
  <c r="H158" i="45"/>
  <c r="H157" i="45"/>
  <c r="H156" i="45"/>
  <c r="H155" i="45"/>
  <c r="H148" i="45"/>
  <c r="H147" i="45"/>
  <c r="F147" i="45"/>
  <c r="D140" i="45"/>
  <c r="D139" i="45"/>
  <c r="D138" i="45"/>
  <c r="D135" i="45"/>
  <c r="D134" i="45"/>
  <c r="D131" i="45"/>
  <c r="E129" i="45"/>
  <c r="D129" i="45"/>
  <c r="E127" i="45"/>
  <c r="D127" i="45"/>
  <c r="F125" i="45"/>
  <c r="F143" i="45" s="1"/>
  <c r="E125" i="45"/>
  <c r="D125" i="45"/>
  <c r="F120" i="45"/>
  <c r="G117" i="45" s="1"/>
  <c r="H117" i="45" s="1"/>
  <c r="E115" i="45"/>
  <c r="E114" i="45"/>
  <c r="E113" i="45"/>
  <c r="E110" i="45"/>
  <c r="E109" i="45"/>
  <c r="G108" i="45"/>
  <c r="E108" i="45"/>
  <c r="E107" i="45"/>
  <c r="E106" i="45"/>
  <c r="E103" i="45"/>
  <c r="E100" i="45"/>
  <c r="E98" i="45"/>
  <c r="E96" i="45"/>
  <c r="I91" i="45"/>
  <c r="G91" i="45"/>
  <c r="H86" i="45"/>
  <c r="H85" i="45"/>
  <c r="H84" i="45"/>
  <c r="H82" i="45"/>
  <c r="G81" i="45"/>
  <c r="H81" i="45" s="1"/>
  <c r="H79" i="45"/>
  <c r="H77" i="45"/>
  <c r="H76" i="45"/>
  <c r="H78" i="45" s="1"/>
  <c r="H74" i="45"/>
  <c r="H73" i="45"/>
  <c r="H66" i="45"/>
  <c r="H65" i="45"/>
  <c r="H64" i="45"/>
  <c r="F59" i="45"/>
  <c r="G49" i="45" s="1"/>
  <c r="H49" i="45" s="1"/>
  <c r="E54" i="45"/>
  <c r="E53" i="45"/>
  <c r="E50" i="45"/>
  <c r="E49" i="45"/>
  <c r="E48" i="45"/>
  <c r="E47" i="45"/>
  <c r="I45" i="45"/>
  <c r="I44" i="45"/>
  <c r="H38" i="45" s="1"/>
  <c r="H67" i="45" s="1"/>
  <c r="I43" i="45"/>
  <c r="I42" i="45"/>
  <c r="I41" i="45"/>
  <c r="I40" i="45"/>
  <c r="E38" i="45"/>
  <c r="E37" i="45"/>
  <c r="E35" i="45"/>
  <c r="E32" i="45"/>
  <c r="I27" i="45"/>
  <c r="G27" i="45"/>
  <c r="A4" i="45"/>
  <c r="H242" i="44"/>
  <c r="H240" i="44"/>
  <c r="H239" i="44"/>
  <c r="H238" i="44"/>
  <c r="H237" i="44"/>
  <c r="H236" i="44"/>
  <c r="H235" i="44"/>
  <c r="H226" i="44"/>
  <c r="H227" i="44" s="1"/>
  <c r="H225" i="44"/>
  <c r="H219" i="44"/>
  <c r="H218" i="44"/>
  <c r="H217" i="44"/>
  <c r="H215" i="44"/>
  <c r="F215" i="44"/>
  <c r="H214" i="44"/>
  <c r="F214" i="44"/>
  <c r="H213" i="44"/>
  <c r="F213" i="44"/>
  <c r="H212" i="44"/>
  <c r="F212" i="44"/>
  <c r="F206" i="44"/>
  <c r="G205" i="44"/>
  <c r="D205" i="44"/>
  <c r="G204" i="44"/>
  <c r="D204" i="44"/>
  <c r="G203" i="44"/>
  <c r="D203" i="44"/>
  <c r="G201" i="44"/>
  <c r="H201" i="44" s="1"/>
  <c r="D201" i="44"/>
  <c r="G199" i="44"/>
  <c r="D199" i="44"/>
  <c r="H199" i="44" s="1"/>
  <c r="I194" i="44"/>
  <c r="H189" i="44"/>
  <c r="H188" i="44"/>
  <c r="H187" i="44"/>
  <c r="H181" i="44"/>
  <c r="H180" i="44"/>
  <c r="H179" i="44"/>
  <c r="H176" i="44"/>
  <c r="H174" i="44"/>
  <c r="H172" i="44"/>
  <c r="H159" i="44"/>
  <c r="H171" i="44"/>
  <c r="H170" i="44"/>
  <c r="G170" i="44"/>
  <c r="H169" i="44"/>
  <c r="H167" i="44"/>
  <c r="H166" i="44"/>
  <c r="H162" i="44"/>
  <c r="H160" i="44"/>
  <c r="H158" i="44"/>
  <c r="H157" i="44"/>
  <c r="H156" i="44"/>
  <c r="H155" i="44"/>
  <c r="H148" i="44"/>
  <c r="H147" i="44"/>
  <c r="F147" i="44"/>
  <c r="D140" i="44"/>
  <c r="D139" i="44"/>
  <c r="D138" i="44"/>
  <c r="D135" i="44"/>
  <c r="D134" i="44"/>
  <c r="D131" i="44"/>
  <c r="E129" i="44"/>
  <c r="D129" i="44"/>
  <c r="E127" i="44"/>
  <c r="D127" i="44"/>
  <c r="F125" i="44"/>
  <c r="F143" i="44" s="1"/>
  <c r="E125" i="44"/>
  <c r="D125" i="44"/>
  <c r="F120" i="44"/>
  <c r="G110" i="44" s="1"/>
  <c r="E115" i="44"/>
  <c r="E114" i="44"/>
  <c r="E113" i="44"/>
  <c r="E110" i="44"/>
  <c r="E109" i="44"/>
  <c r="E108" i="44"/>
  <c r="E107" i="44"/>
  <c r="E106" i="44"/>
  <c r="E103" i="44"/>
  <c r="E100" i="44"/>
  <c r="E98" i="44"/>
  <c r="E96" i="44"/>
  <c r="I91" i="44"/>
  <c r="G91" i="44"/>
  <c r="H86" i="44"/>
  <c r="H85" i="44"/>
  <c r="H84" i="44"/>
  <c r="H82" i="44"/>
  <c r="G81" i="44"/>
  <c r="H81" i="44" s="1"/>
  <c r="H79" i="44"/>
  <c r="H77" i="44"/>
  <c r="H76" i="44"/>
  <c r="H78" i="44" s="1"/>
  <c r="H74" i="44"/>
  <c r="H73" i="44"/>
  <c r="H66" i="44"/>
  <c r="H65" i="44"/>
  <c r="H64" i="44"/>
  <c r="F59" i="44"/>
  <c r="G58" i="44" s="1"/>
  <c r="H58" i="44" s="1"/>
  <c r="G54" i="44"/>
  <c r="E54" i="44"/>
  <c r="E53" i="44"/>
  <c r="E50" i="44"/>
  <c r="E49" i="44"/>
  <c r="E48" i="44"/>
  <c r="E47" i="44"/>
  <c r="I45" i="44"/>
  <c r="I44" i="44"/>
  <c r="I43" i="44"/>
  <c r="I42" i="44"/>
  <c r="I41" i="44"/>
  <c r="I40" i="44"/>
  <c r="E38" i="44"/>
  <c r="E37" i="44"/>
  <c r="E35" i="44"/>
  <c r="G33" i="44"/>
  <c r="E32" i="44"/>
  <c r="I27" i="44"/>
  <c r="G27" i="44"/>
  <c r="A4" i="44"/>
  <c r="G24" i="38"/>
  <c r="G22" i="38"/>
  <c r="G20" i="38"/>
  <c r="G17" i="38"/>
  <c r="G19" i="38"/>
  <c r="H170" i="38"/>
  <c r="H167" i="38"/>
  <c r="G81" i="38"/>
  <c r="H81" i="38" s="1"/>
  <c r="E115" i="38"/>
  <c r="E114" i="38"/>
  <c r="E113" i="38"/>
  <c r="E110" i="38"/>
  <c r="E109" i="38"/>
  <c r="E108" i="38"/>
  <c r="E107" i="38"/>
  <c r="E106" i="38"/>
  <c r="E103" i="38"/>
  <c r="E100" i="38"/>
  <c r="E98" i="38"/>
  <c r="E96" i="38"/>
  <c r="E54" i="38"/>
  <c r="F54" i="37"/>
  <c r="D103" i="37"/>
  <c r="D102" i="37"/>
  <c r="D101" i="37"/>
  <c r="D99" i="37"/>
  <c r="B103" i="37"/>
  <c r="B101" i="37"/>
  <c r="B99" i="37"/>
  <c r="D86" i="37"/>
  <c r="D84" i="37"/>
  <c r="D82" i="37"/>
  <c r="D81" i="37"/>
  <c r="D80" i="37"/>
  <c r="B86" i="37"/>
  <c r="B85" i="37"/>
  <c r="B84" i="37"/>
  <c r="B82" i="37"/>
  <c r="B80" i="37"/>
  <c r="B79" i="37"/>
  <c r="H172" i="38"/>
  <c r="H159" i="38"/>
  <c r="H171" i="38"/>
  <c r="H82" i="38"/>
  <c r="D100" i="37" l="1"/>
  <c r="H227" i="54"/>
  <c r="G107" i="54"/>
  <c r="H107" i="54" s="1"/>
  <c r="G114" i="54"/>
  <c r="H114" i="54" s="1"/>
  <c r="G96" i="54"/>
  <c r="H204" i="54"/>
  <c r="G100" i="54"/>
  <c r="H100" i="54" s="1"/>
  <c r="F19" i="54"/>
  <c r="G103" i="54"/>
  <c r="H103" i="54" s="1"/>
  <c r="G110" i="54"/>
  <c r="H110" i="54" s="1"/>
  <c r="G106" i="54"/>
  <c r="H106" i="54" s="1"/>
  <c r="H103" i="55"/>
  <c r="G118" i="55"/>
  <c r="H118" i="55" s="1"/>
  <c r="G106" i="55"/>
  <c r="H106" i="55" s="1"/>
  <c r="G107" i="55"/>
  <c r="H107" i="55" s="1"/>
  <c r="G98" i="55"/>
  <c r="H98" i="55" s="1"/>
  <c r="G115" i="55"/>
  <c r="H115" i="55" s="1"/>
  <c r="H96" i="57"/>
  <c r="H110" i="57"/>
  <c r="H190" i="57"/>
  <c r="G206" i="57"/>
  <c r="C251" i="57" s="1"/>
  <c r="G251" i="57" s="1"/>
  <c r="H38" i="57"/>
  <c r="H67" i="57" s="1"/>
  <c r="G118" i="57"/>
  <c r="H118" i="57" s="1"/>
  <c r="H201" i="57"/>
  <c r="G103" i="57"/>
  <c r="H103" i="57" s="1"/>
  <c r="G109" i="57"/>
  <c r="H109" i="57" s="1"/>
  <c r="G119" i="57"/>
  <c r="H119" i="57" s="1"/>
  <c r="H203" i="57"/>
  <c r="G54" i="57"/>
  <c r="H54" i="57" s="1"/>
  <c r="H106" i="57"/>
  <c r="H204" i="57"/>
  <c r="H220" i="57"/>
  <c r="H49" i="57"/>
  <c r="E143" i="57"/>
  <c r="G125" i="57" s="1"/>
  <c r="H107" i="57"/>
  <c r="H205" i="57"/>
  <c r="G38" i="57"/>
  <c r="H108" i="57"/>
  <c r="H115" i="57"/>
  <c r="H199" i="57"/>
  <c r="H206" i="57" s="1"/>
  <c r="H229" i="57" s="1"/>
  <c r="F4" i="57" s="1"/>
  <c r="G38" i="56"/>
  <c r="G47" i="56"/>
  <c r="H190" i="56"/>
  <c r="G32" i="56"/>
  <c r="H32" i="56" s="1"/>
  <c r="H220" i="56"/>
  <c r="B102" i="37"/>
  <c r="H53" i="56"/>
  <c r="G37" i="56"/>
  <c r="H37" i="56" s="1"/>
  <c r="G53" i="56"/>
  <c r="H199" i="56"/>
  <c r="H47" i="56"/>
  <c r="G54" i="56"/>
  <c r="H54" i="56" s="1"/>
  <c r="H103" i="56"/>
  <c r="H106" i="56"/>
  <c r="H205" i="56"/>
  <c r="G33" i="56"/>
  <c r="H38" i="56"/>
  <c r="H67" i="56" s="1"/>
  <c r="G48" i="56"/>
  <c r="H48" i="56" s="1"/>
  <c r="G107" i="56"/>
  <c r="H107" i="56" s="1"/>
  <c r="G115" i="56"/>
  <c r="H115" i="56" s="1"/>
  <c r="E206" i="56"/>
  <c r="G206" i="56" s="1"/>
  <c r="C251" i="56" s="1"/>
  <c r="G251" i="56" s="1"/>
  <c r="G118" i="56"/>
  <c r="H118" i="56" s="1"/>
  <c r="H201" i="56"/>
  <c r="H206" i="56" s="1"/>
  <c r="H229" i="56" s="1"/>
  <c r="F4" i="56" s="1"/>
  <c r="G49" i="56"/>
  <c r="H49" i="56" s="1"/>
  <c r="H109" i="56"/>
  <c r="G119" i="56"/>
  <c r="H119" i="56" s="1"/>
  <c r="H203" i="56"/>
  <c r="H243" i="56"/>
  <c r="G4" i="56" s="1"/>
  <c r="H96" i="55"/>
  <c r="H113" i="55"/>
  <c r="H108" i="55"/>
  <c r="G119" i="55"/>
  <c r="H119" i="55" s="1"/>
  <c r="H227" i="55"/>
  <c r="H199" i="55"/>
  <c r="G54" i="55"/>
  <c r="H54" i="55" s="1"/>
  <c r="H114" i="55"/>
  <c r="H220" i="55"/>
  <c r="H182" i="55"/>
  <c r="H109" i="55"/>
  <c r="E143" i="55"/>
  <c r="G135" i="55" s="1"/>
  <c r="H135" i="55" s="1"/>
  <c r="H204" i="55"/>
  <c r="H201" i="55"/>
  <c r="H38" i="55"/>
  <c r="H67" i="55" s="1"/>
  <c r="G117" i="55"/>
  <c r="H117" i="55" s="1"/>
  <c r="H205" i="55"/>
  <c r="H206" i="55" s="1"/>
  <c r="H229" i="55" s="1"/>
  <c r="F4" i="55" s="1"/>
  <c r="G110" i="55"/>
  <c r="H110" i="55" s="1"/>
  <c r="G38" i="54"/>
  <c r="H38" i="54"/>
  <c r="H67" i="54" s="1"/>
  <c r="G48" i="54"/>
  <c r="H48" i="54" s="1"/>
  <c r="G33" i="54"/>
  <c r="H199" i="54"/>
  <c r="B100" i="37"/>
  <c r="G50" i="54"/>
  <c r="H50" i="54" s="1"/>
  <c r="G35" i="54"/>
  <c r="H35" i="54" s="1"/>
  <c r="H201" i="54"/>
  <c r="G56" i="54"/>
  <c r="H56" i="54" s="1"/>
  <c r="G108" i="54"/>
  <c r="H108" i="54" s="1"/>
  <c r="G115" i="54"/>
  <c r="H115" i="54" s="1"/>
  <c r="H205" i="54"/>
  <c r="G47" i="54"/>
  <c r="H47" i="54" s="1"/>
  <c r="G54" i="54"/>
  <c r="H54" i="54" s="1"/>
  <c r="E143" i="54"/>
  <c r="G142" i="54" s="1"/>
  <c r="H142" i="54" s="1"/>
  <c r="H96" i="54"/>
  <c r="H190" i="54"/>
  <c r="H203" i="54"/>
  <c r="G57" i="54"/>
  <c r="H57" i="54" s="1"/>
  <c r="G109" i="54"/>
  <c r="H109" i="54" s="1"/>
  <c r="G118" i="54"/>
  <c r="H118" i="54" s="1"/>
  <c r="E206" i="54"/>
  <c r="G206" i="54" s="1"/>
  <c r="C251" i="54" s="1"/>
  <c r="G251" i="54" s="1"/>
  <c r="H49" i="54"/>
  <c r="G119" i="54"/>
  <c r="H119" i="54" s="1"/>
  <c r="D104" i="37"/>
  <c r="E99" i="37" s="1"/>
  <c r="H220" i="54"/>
  <c r="H54" i="53"/>
  <c r="G108" i="53"/>
  <c r="H190" i="53"/>
  <c r="G48" i="53"/>
  <c r="G115" i="53"/>
  <c r="H49" i="53"/>
  <c r="G119" i="53"/>
  <c r="H119" i="53" s="1"/>
  <c r="H106" i="53"/>
  <c r="H205" i="53"/>
  <c r="G37" i="53"/>
  <c r="H37" i="53" s="1"/>
  <c r="G53" i="53"/>
  <c r="H53" i="53" s="1"/>
  <c r="G110" i="53"/>
  <c r="H110" i="53" s="1"/>
  <c r="H47" i="53"/>
  <c r="G103" i="53"/>
  <c r="H103" i="53" s="1"/>
  <c r="H201" i="53"/>
  <c r="G58" i="53"/>
  <c r="H58" i="53" s="1"/>
  <c r="H203" i="53"/>
  <c r="H108" i="53"/>
  <c r="H220" i="53"/>
  <c r="E143" i="53"/>
  <c r="G131" i="53" s="1"/>
  <c r="H32" i="53"/>
  <c r="H48" i="53"/>
  <c r="G57" i="53"/>
  <c r="H57" i="53" s="1"/>
  <c r="H38" i="53"/>
  <c r="H67" i="53" s="1"/>
  <c r="H96" i="53"/>
  <c r="G107" i="53"/>
  <c r="H107" i="53" s="1"/>
  <c r="H115" i="53"/>
  <c r="H131" i="53"/>
  <c r="H38" i="52"/>
  <c r="H67" i="52" s="1"/>
  <c r="H106" i="52"/>
  <c r="E143" i="52"/>
  <c r="H32" i="52"/>
  <c r="H227" i="52"/>
  <c r="G33" i="52"/>
  <c r="H243" i="52"/>
  <c r="G4" i="52" s="1"/>
  <c r="G50" i="52"/>
  <c r="H50" i="52" s="1"/>
  <c r="G100" i="52"/>
  <c r="G109" i="52"/>
  <c r="H109" i="52" s="1"/>
  <c r="G35" i="52"/>
  <c r="H35" i="52" s="1"/>
  <c r="H190" i="52"/>
  <c r="G53" i="52"/>
  <c r="H53" i="52" s="1"/>
  <c r="G103" i="52"/>
  <c r="H103" i="52" s="1"/>
  <c r="G37" i="52"/>
  <c r="H37" i="52" s="1"/>
  <c r="G47" i="52"/>
  <c r="H47" i="52" s="1"/>
  <c r="G58" i="52"/>
  <c r="H58" i="52" s="1"/>
  <c r="G114" i="52"/>
  <c r="G56" i="52"/>
  <c r="H56" i="52" s="1"/>
  <c r="H114" i="52"/>
  <c r="H108" i="52"/>
  <c r="G115" i="52"/>
  <c r="H115" i="52" s="1"/>
  <c r="G38" i="52"/>
  <c r="H100" i="52"/>
  <c r="G118" i="52"/>
  <c r="H118" i="52" s="1"/>
  <c r="H220" i="52"/>
  <c r="G54" i="52"/>
  <c r="H54" i="52" s="1"/>
  <c r="H204" i="52"/>
  <c r="H206" i="52" s="1"/>
  <c r="H229" i="52" s="1"/>
  <c r="F4" i="52" s="1"/>
  <c r="G48" i="51"/>
  <c r="H203" i="51"/>
  <c r="H48" i="51"/>
  <c r="G57" i="51"/>
  <c r="H57" i="51" s="1"/>
  <c r="H199" i="51"/>
  <c r="D85" i="37"/>
  <c r="F19" i="51"/>
  <c r="G38" i="51"/>
  <c r="G47" i="51"/>
  <c r="G113" i="51"/>
  <c r="H113" i="51" s="1"/>
  <c r="G119" i="51"/>
  <c r="H119" i="51" s="1"/>
  <c r="H201" i="51"/>
  <c r="H38" i="51"/>
  <c r="H67" i="51" s="1"/>
  <c r="H49" i="51"/>
  <c r="G103" i="51"/>
  <c r="H103" i="51" s="1"/>
  <c r="H220" i="51"/>
  <c r="G108" i="51"/>
  <c r="H108" i="51" s="1"/>
  <c r="G33" i="51"/>
  <c r="G96" i="51"/>
  <c r="H96" i="51" s="1"/>
  <c r="G106" i="51"/>
  <c r="H106" i="51" s="1"/>
  <c r="G109" i="51"/>
  <c r="H109" i="51" s="1"/>
  <c r="G115" i="51"/>
  <c r="H115" i="51" s="1"/>
  <c r="H204" i="51"/>
  <c r="G117" i="51"/>
  <c r="H117" i="51" s="1"/>
  <c r="G98" i="51"/>
  <c r="H98" i="51" s="1"/>
  <c r="G110" i="51"/>
  <c r="H110" i="51" s="1"/>
  <c r="H205" i="51"/>
  <c r="H47" i="51"/>
  <c r="G54" i="51"/>
  <c r="H54" i="51" s="1"/>
  <c r="G107" i="51"/>
  <c r="H107" i="51" s="1"/>
  <c r="G118" i="51"/>
  <c r="H118" i="51" s="1"/>
  <c r="H190" i="50"/>
  <c r="E143" i="50"/>
  <c r="H96" i="50"/>
  <c r="G115" i="50"/>
  <c r="H115" i="50" s="1"/>
  <c r="G32" i="50"/>
  <c r="H32" i="50" s="1"/>
  <c r="G107" i="50"/>
  <c r="G118" i="50"/>
  <c r="H118" i="50" s="1"/>
  <c r="G37" i="50"/>
  <c r="H37" i="50" s="1"/>
  <c r="G33" i="50"/>
  <c r="H38" i="50"/>
  <c r="H67" i="50" s="1"/>
  <c r="G48" i="50"/>
  <c r="H48" i="50" s="1"/>
  <c r="G54" i="50"/>
  <c r="H54" i="50" s="1"/>
  <c r="G103" i="50"/>
  <c r="H103" i="50" s="1"/>
  <c r="G109" i="50"/>
  <c r="H109" i="50" s="1"/>
  <c r="G119" i="50"/>
  <c r="H119" i="50" s="1"/>
  <c r="H201" i="50"/>
  <c r="H206" i="50" s="1"/>
  <c r="H229" i="50" s="1"/>
  <c r="F4" i="50" s="1"/>
  <c r="H106" i="50"/>
  <c r="G49" i="50"/>
  <c r="H49" i="50" s="1"/>
  <c r="G58" i="50"/>
  <c r="H58" i="50" s="1"/>
  <c r="H220" i="50"/>
  <c r="H107" i="50"/>
  <c r="H47" i="50"/>
  <c r="G53" i="50"/>
  <c r="H53" i="50" s="1"/>
  <c r="G38" i="50"/>
  <c r="G47" i="50"/>
  <c r="G108" i="50"/>
  <c r="H108" i="50" s="1"/>
  <c r="G127" i="50"/>
  <c r="G109" i="49"/>
  <c r="H227" i="49"/>
  <c r="G103" i="49"/>
  <c r="H103" i="49" s="1"/>
  <c r="F19" i="49"/>
  <c r="D83" i="37"/>
  <c r="G118" i="49"/>
  <c r="H118" i="49" s="1"/>
  <c r="H220" i="49"/>
  <c r="G58" i="49"/>
  <c r="H58" i="49" s="1"/>
  <c r="G107" i="49"/>
  <c r="H107" i="49" s="1"/>
  <c r="G115" i="49"/>
  <c r="H115" i="49" s="1"/>
  <c r="H109" i="49"/>
  <c r="G119" i="49"/>
  <c r="H119" i="49" s="1"/>
  <c r="H201" i="49"/>
  <c r="H206" i="49" s="1"/>
  <c r="H229" i="49" s="1"/>
  <c r="F4" i="49" s="1"/>
  <c r="H106" i="49"/>
  <c r="H38" i="49"/>
  <c r="H67" i="49" s="1"/>
  <c r="G38" i="48"/>
  <c r="H203" i="48"/>
  <c r="G32" i="48"/>
  <c r="H32" i="48" s="1"/>
  <c r="G53" i="48"/>
  <c r="H53" i="48" s="1"/>
  <c r="G106" i="48"/>
  <c r="H106" i="48" s="1"/>
  <c r="G118" i="48"/>
  <c r="H118" i="48" s="1"/>
  <c r="H38" i="48"/>
  <c r="H67" i="48" s="1"/>
  <c r="H199" i="48"/>
  <c r="H206" i="48" s="1"/>
  <c r="H229" i="48" s="1"/>
  <c r="F4" i="48" s="1"/>
  <c r="G109" i="48"/>
  <c r="H109" i="48" s="1"/>
  <c r="G117" i="48"/>
  <c r="H117" i="48" s="1"/>
  <c r="H110" i="48"/>
  <c r="G47" i="48"/>
  <c r="H47" i="48" s="1"/>
  <c r="G98" i="48"/>
  <c r="H98" i="48" s="1"/>
  <c r="G113" i="48"/>
  <c r="H113" i="48" s="1"/>
  <c r="H220" i="48"/>
  <c r="G33" i="48"/>
  <c r="G54" i="48"/>
  <c r="H54" i="48" s="1"/>
  <c r="E143" i="48"/>
  <c r="G139" i="48" s="1"/>
  <c r="H139" i="48" s="1"/>
  <c r="H243" i="48"/>
  <c r="G4" i="48" s="1"/>
  <c r="G108" i="48"/>
  <c r="H108" i="48" s="1"/>
  <c r="F19" i="48"/>
  <c r="G49" i="48"/>
  <c r="H49" i="48" s="1"/>
  <c r="G58" i="48"/>
  <c r="H58" i="48" s="1"/>
  <c r="G103" i="48"/>
  <c r="H103" i="48" s="1"/>
  <c r="G115" i="48"/>
  <c r="H115" i="48" s="1"/>
  <c r="G37" i="48"/>
  <c r="H37" i="48" s="1"/>
  <c r="H190" i="48"/>
  <c r="H205" i="48"/>
  <c r="H203" i="47"/>
  <c r="H220" i="47"/>
  <c r="H49" i="47"/>
  <c r="G109" i="47"/>
  <c r="H38" i="47"/>
  <c r="H67" i="47" s="1"/>
  <c r="H205" i="47"/>
  <c r="H206" i="47" s="1"/>
  <c r="H229" i="47" s="1"/>
  <c r="F4" i="47" s="1"/>
  <c r="G47" i="47"/>
  <c r="G33" i="47"/>
  <c r="E206" i="47"/>
  <c r="G206" i="47" s="1"/>
  <c r="C251" i="47" s="1"/>
  <c r="G251" i="47" s="1"/>
  <c r="G38" i="47"/>
  <c r="G106" i="47"/>
  <c r="H106" i="47" s="1"/>
  <c r="H201" i="47"/>
  <c r="G54" i="47"/>
  <c r="H54" i="47" s="1"/>
  <c r="G115" i="47"/>
  <c r="H115" i="47" s="1"/>
  <c r="B81" i="37"/>
  <c r="H47" i="47"/>
  <c r="G33" i="46"/>
  <c r="G49" i="46"/>
  <c r="G35" i="46"/>
  <c r="H35" i="46" s="1"/>
  <c r="G50" i="46"/>
  <c r="C249" i="46" s="1"/>
  <c r="G249" i="46" s="1"/>
  <c r="H37" i="46"/>
  <c r="G58" i="46"/>
  <c r="H58" i="46" s="1"/>
  <c r="G115" i="46"/>
  <c r="G38" i="46"/>
  <c r="G47" i="46"/>
  <c r="G53" i="46"/>
  <c r="H53" i="46" s="1"/>
  <c r="H203" i="46"/>
  <c r="H38" i="46"/>
  <c r="H67" i="46" s="1"/>
  <c r="H48" i="46"/>
  <c r="H103" i="46"/>
  <c r="H115" i="46"/>
  <c r="H227" i="46"/>
  <c r="H199" i="46"/>
  <c r="H205" i="46"/>
  <c r="H49" i="46"/>
  <c r="G54" i="46"/>
  <c r="H54" i="46" s="1"/>
  <c r="G109" i="46"/>
  <c r="H109" i="46" s="1"/>
  <c r="G118" i="46"/>
  <c r="H118" i="46" s="1"/>
  <c r="H220" i="46"/>
  <c r="H106" i="46"/>
  <c r="G56" i="46"/>
  <c r="H56" i="46" s="1"/>
  <c r="H204" i="46"/>
  <c r="H243" i="46"/>
  <c r="G4" i="46" s="1"/>
  <c r="E143" i="46"/>
  <c r="G135" i="46" s="1"/>
  <c r="H135" i="46" s="1"/>
  <c r="H32" i="46"/>
  <c r="H71" i="46" s="1"/>
  <c r="G114" i="46"/>
  <c r="H114" i="46" s="1"/>
  <c r="H108" i="46"/>
  <c r="H190" i="46"/>
  <c r="H201" i="46"/>
  <c r="G118" i="45"/>
  <c r="H118" i="45" s="1"/>
  <c r="D79" i="37"/>
  <c r="G109" i="45"/>
  <c r="G98" i="45"/>
  <c r="H98" i="45" s="1"/>
  <c r="F19" i="45"/>
  <c r="G106" i="45"/>
  <c r="H106" i="45" s="1"/>
  <c r="G107" i="45"/>
  <c r="H107" i="45" s="1"/>
  <c r="G38" i="45"/>
  <c r="G47" i="45"/>
  <c r="H47" i="45" s="1"/>
  <c r="E143" i="45"/>
  <c r="G141" i="45" s="1"/>
  <c r="H141" i="45" s="1"/>
  <c r="H190" i="45"/>
  <c r="H220" i="45"/>
  <c r="H227" i="45"/>
  <c r="H108" i="45"/>
  <c r="G115" i="45"/>
  <c r="H115" i="45" s="1"/>
  <c r="H201" i="45"/>
  <c r="E206" i="45"/>
  <c r="G206" i="45" s="1"/>
  <c r="C251" i="45" s="1"/>
  <c r="G251" i="45" s="1"/>
  <c r="G54" i="45"/>
  <c r="H54" i="45" s="1"/>
  <c r="G103" i="45"/>
  <c r="H103" i="45" s="1"/>
  <c r="H109" i="45"/>
  <c r="G119" i="45"/>
  <c r="H119" i="45" s="1"/>
  <c r="H182" i="45"/>
  <c r="H203" i="45"/>
  <c r="H204" i="45"/>
  <c r="H205" i="45"/>
  <c r="H243" i="45"/>
  <c r="G4" i="45" s="1"/>
  <c r="G33" i="45"/>
  <c r="G103" i="44"/>
  <c r="G107" i="44"/>
  <c r="D78" i="37"/>
  <c r="F19" i="44"/>
  <c r="G38" i="44"/>
  <c r="G98" i="44"/>
  <c r="H103" i="44"/>
  <c r="G47" i="44"/>
  <c r="H47" i="44" s="1"/>
  <c r="H205" i="44"/>
  <c r="G108" i="44"/>
  <c r="H108" i="44" s="1"/>
  <c r="E143" i="44"/>
  <c r="G135" i="44" s="1"/>
  <c r="H135" i="44" s="1"/>
  <c r="H203" i="44"/>
  <c r="H206" i="44" s="1"/>
  <c r="G106" i="44"/>
  <c r="H106" i="44" s="1"/>
  <c r="G113" i="44"/>
  <c r="H113" i="44" s="1"/>
  <c r="G49" i="44"/>
  <c r="H49" i="44" s="1"/>
  <c r="H204" i="44"/>
  <c r="H38" i="44"/>
  <c r="H67" i="44" s="1"/>
  <c r="H54" i="44"/>
  <c r="G115" i="44"/>
  <c r="H115" i="44" s="1"/>
  <c r="G109" i="44"/>
  <c r="H109" i="44" s="1"/>
  <c r="G117" i="44"/>
  <c r="H117" i="44" s="1"/>
  <c r="H182" i="44"/>
  <c r="H110" i="44"/>
  <c r="G118" i="44"/>
  <c r="H118" i="44" s="1"/>
  <c r="H190" i="44"/>
  <c r="H220" i="44"/>
  <c r="G32" i="44"/>
  <c r="H32" i="44" s="1"/>
  <c r="H98" i="44"/>
  <c r="H107" i="44"/>
  <c r="G119" i="44"/>
  <c r="H119" i="44" s="1"/>
  <c r="H243" i="44"/>
  <c r="G4" i="44" s="1"/>
  <c r="G131" i="57"/>
  <c r="H131" i="57" s="1"/>
  <c r="G131" i="56"/>
  <c r="H131" i="56" s="1"/>
  <c r="G127" i="56"/>
  <c r="H127" i="56" s="1"/>
  <c r="G131" i="52"/>
  <c r="H131" i="52" s="1"/>
  <c r="G129" i="52"/>
  <c r="H129" i="52" s="1"/>
  <c r="G131" i="50"/>
  <c r="H131" i="50" s="1"/>
  <c r="G127" i="45"/>
  <c r="H127" i="45" s="1"/>
  <c r="H243" i="57"/>
  <c r="G4" i="57" s="1"/>
  <c r="H243" i="55"/>
  <c r="G4" i="55" s="1"/>
  <c r="H243" i="54"/>
  <c r="G4" i="54" s="1"/>
  <c r="H243" i="53"/>
  <c r="G4" i="53" s="1"/>
  <c r="H243" i="51"/>
  <c r="G4" i="51" s="1"/>
  <c r="H243" i="50"/>
  <c r="G4" i="50" s="1"/>
  <c r="H243" i="49"/>
  <c r="G4" i="49" s="1"/>
  <c r="H243" i="47"/>
  <c r="G4" i="47" s="1"/>
  <c r="H182" i="57"/>
  <c r="H182" i="56"/>
  <c r="H182" i="54"/>
  <c r="H182" i="53"/>
  <c r="H182" i="52"/>
  <c r="H182" i="51"/>
  <c r="H182" i="50"/>
  <c r="H182" i="49"/>
  <c r="H182" i="48"/>
  <c r="H182" i="47"/>
  <c r="H182" i="46"/>
  <c r="G54" i="49"/>
  <c r="H54" i="49" s="1"/>
  <c r="G38" i="49"/>
  <c r="G47" i="49"/>
  <c r="H47" i="49" s="1"/>
  <c r="G32" i="49"/>
  <c r="H32" i="49" s="1"/>
  <c r="G33" i="49"/>
  <c r="H49" i="49"/>
  <c r="B83" i="37"/>
  <c r="G53" i="49"/>
  <c r="H53" i="49" s="1"/>
  <c r="G131" i="49"/>
  <c r="H131" i="49" s="1"/>
  <c r="G37" i="49"/>
  <c r="H37" i="49" s="1"/>
  <c r="G108" i="47"/>
  <c r="H108" i="47" s="1"/>
  <c r="G118" i="47"/>
  <c r="H118" i="47" s="1"/>
  <c r="G103" i="47"/>
  <c r="H103" i="47" s="1"/>
  <c r="H109" i="47"/>
  <c r="G119" i="47"/>
  <c r="H119" i="47" s="1"/>
  <c r="E143" i="47"/>
  <c r="G141" i="47" s="1"/>
  <c r="H141" i="47" s="1"/>
  <c r="G98" i="47"/>
  <c r="H98" i="47" s="1"/>
  <c r="G107" i="47"/>
  <c r="H107" i="47" s="1"/>
  <c r="G134" i="57"/>
  <c r="H134" i="57" s="1"/>
  <c r="G140" i="57"/>
  <c r="H140" i="57" s="1"/>
  <c r="G135" i="57"/>
  <c r="H135" i="57" s="1"/>
  <c r="G139" i="57"/>
  <c r="H139" i="57" s="1"/>
  <c r="G138" i="57"/>
  <c r="H138" i="57" s="1"/>
  <c r="G47" i="57"/>
  <c r="H47" i="57" s="1"/>
  <c r="G35" i="57"/>
  <c r="H35" i="57" s="1"/>
  <c r="G50" i="57"/>
  <c r="H50" i="57" s="1"/>
  <c r="G56" i="57"/>
  <c r="H56" i="57" s="1"/>
  <c r="G100" i="57"/>
  <c r="H100" i="57" s="1"/>
  <c r="G114" i="57"/>
  <c r="H114" i="57" s="1"/>
  <c r="G48" i="57"/>
  <c r="H48" i="57" s="1"/>
  <c r="G57" i="57"/>
  <c r="H57" i="57" s="1"/>
  <c r="G37" i="57"/>
  <c r="H37" i="57" s="1"/>
  <c r="G53" i="57"/>
  <c r="H53" i="57" s="1"/>
  <c r="G32" i="57"/>
  <c r="G58" i="57"/>
  <c r="H58" i="57" s="1"/>
  <c r="G98" i="57"/>
  <c r="H98" i="57" s="1"/>
  <c r="G113" i="57"/>
  <c r="H113" i="57" s="1"/>
  <c r="G140" i="56"/>
  <c r="H140" i="56" s="1"/>
  <c r="G135" i="56"/>
  <c r="H135" i="56" s="1"/>
  <c r="G142" i="56"/>
  <c r="H142" i="56" s="1"/>
  <c r="G134" i="56"/>
  <c r="H134" i="56" s="1"/>
  <c r="G139" i="56"/>
  <c r="H139" i="56" s="1"/>
  <c r="G129" i="56"/>
  <c r="H129" i="56" s="1"/>
  <c r="G141" i="56"/>
  <c r="H141" i="56" s="1"/>
  <c r="G138" i="56"/>
  <c r="H138" i="56" s="1"/>
  <c r="G125" i="56"/>
  <c r="H125" i="56" s="1"/>
  <c r="H108" i="56"/>
  <c r="G35" i="56"/>
  <c r="G50" i="56"/>
  <c r="H50" i="56" s="1"/>
  <c r="G56" i="56"/>
  <c r="H56" i="56" s="1"/>
  <c r="G100" i="56"/>
  <c r="H100" i="56" s="1"/>
  <c r="G114" i="56"/>
  <c r="H114" i="56" s="1"/>
  <c r="G57" i="56"/>
  <c r="H57" i="56" s="1"/>
  <c r="G96" i="56"/>
  <c r="H96" i="56" s="1"/>
  <c r="G110" i="56"/>
  <c r="H110" i="56" s="1"/>
  <c r="G108" i="56"/>
  <c r="G98" i="56"/>
  <c r="H98" i="56" s="1"/>
  <c r="G113" i="56"/>
  <c r="H113" i="56" s="1"/>
  <c r="G117" i="56"/>
  <c r="H117" i="56" s="1"/>
  <c r="G134" i="55"/>
  <c r="H134" i="55" s="1"/>
  <c r="G35" i="55"/>
  <c r="H35" i="55" s="1"/>
  <c r="G50" i="55"/>
  <c r="H50" i="55" s="1"/>
  <c r="G56" i="55"/>
  <c r="H56" i="55" s="1"/>
  <c r="G100" i="55"/>
  <c r="H100" i="55" s="1"/>
  <c r="G48" i="55"/>
  <c r="H48" i="55" s="1"/>
  <c r="G57" i="55"/>
  <c r="H57" i="55" s="1"/>
  <c r="G37" i="55"/>
  <c r="H37" i="55" s="1"/>
  <c r="G53" i="55"/>
  <c r="H53" i="55" s="1"/>
  <c r="G32" i="55"/>
  <c r="G58" i="55"/>
  <c r="H58" i="55" s="1"/>
  <c r="G127" i="54"/>
  <c r="H127" i="54" s="1"/>
  <c r="G37" i="54"/>
  <c r="H37" i="54" s="1"/>
  <c r="G53" i="54"/>
  <c r="H53" i="54" s="1"/>
  <c r="G32" i="54"/>
  <c r="H32" i="54" s="1"/>
  <c r="G58" i="54"/>
  <c r="H58" i="54" s="1"/>
  <c r="G98" i="54"/>
  <c r="H98" i="54" s="1"/>
  <c r="G113" i="54"/>
  <c r="H113" i="54" s="1"/>
  <c r="H206" i="53"/>
  <c r="H229" i="53" s="1"/>
  <c r="F4" i="53" s="1"/>
  <c r="G109" i="53"/>
  <c r="H109" i="53" s="1"/>
  <c r="G118" i="53"/>
  <c r="H118" i="53" s="1"/>
  <c r="G35" i="53"/>
  <c r="G50" i="53"/>
  <c r="H50" i="53" s="1"/>
  <c r="G56" i="53"/>
  <c r="H56" i="53" s="1"/>
  <c r="G100" i="53"/>
  <c r="H100" i="53" s="1"/>
  <c r="G114" i="53"/>
  <c r="H114" i="53" s="1"/>
  <c r="G98" i="53"/>
  <c r="H98" i="53" s="1"/>
  <c r="G113" i="53"/>
  <c r="H113" i="53" s="1"/>
  <c r="G117" i="53"/>
  <c r="H117" i="53" s="1"/>
  <c r="H70" i="52"/>
  <c r="H87" i="52" s="1"/>
  <c r="H69" i="52"/>
  <c r="H71" i="52"/>
  <c r="H72" i="52"/>
  <c r="G141" i="52"/>
  <c r="H141" i="52" s="1"/>
  <c r="G140" i="52"/>
  <c r="H140" i="52" s="1"/>
  <c r="G135" i="52"/>
  <c r="H135" i="52" s="1"/>
  <c r="G139" i="52"/>
  <c r="H139" i="52" s="1"/>
  <c r="G142" i="52"/>
  <c r="H142" i="52" s="1"/>
  <c r="G138" i="52"/>
  <c r="H138" i="52" s="1"/>
  <c r="G134" i="52"/>
  <c r="H134" i="52" s="1"/>
  <c r="G127" i="52"/>
  <c r="H127" i="52" s="1"/>
  <c r="G107" i="52"/>
  <c r="H107" i="52" s="1"/>
  <c r="G119" i="52"/>
  <c r="H119" i="52" s="1"/>
  <c r="G125" i="52"/>
  <c r="G48" i="52"/>
  <c r="H48" i="52" s="1"/>
  <c r="G57" i="52"/>
  <c r="H57" i="52" s="1"/>
  <c r="G96" i="52"/>
  <c r="H96" i="52" s="1"/>
  <c r="G110" i="52"/>
  <c r="H110" i="52" s="1"/>
  <c r="G98" i="52"/>
  <c r="H98" i="52" s="1"/>
  <c r="G113" i="52"/>
  <c r="H113" i="52" s="1"/>
  <c r="G117" i="52"/>
  <c r="H117" i="52" s="1"/>
  <c r="G139" i="51"/>
  <c r="H139" i="51" s="1"/>
  <c r="G142" i="51"/>
  <c r="H142" i="51" s="1"/>
  <c r="G129" i="51"/>
  <c r="H129" i="51" s="1"/>
  <c r="G140" i="51"/>
  <c r="H140" i="51" s="1"/>
  <c r="G131" i="51"/>
  <c r="H131" i="51" s="1"/>
  <c r="G127" i="51"/>
  <c r="H127" i="51" s="1"/>
  <c r="G125" i="51"/>
  <c r="G135" i="51"/>
  <c r="H135" i="51" s="1"/>
  <c r="G134" i="51"/>
  <c r="H134" i="51" s="1"/>
  <c r="G141" i="51"/>
  <c r="H141" i="51" s="1"/>
  <c r="G138" i="51"/>
  <c r="H138" i="51" s="1"/>
  <c r="G35" i="51"/>
  <c r="H35" i="51" s="1"/>
  <c r="G50" i="51"/>
  <c r="H50" i="51" s="1"/>
  <c r="G56" i="51"/>
  <c r="H56" i="51" s="1"/>
  <c r="G100" i="51"/>
  <c r="H100" i="51" s="1"/>
  <c r="G37" i="51"/>
  <c r="H37" i="51" s="1"/>
  <c r="G53" i="51"/>
  <c r="H53" i="51" s="1"/>
  <c r="G32" i="51"/>
  <c r="G58" i="51"/>
  <c r="H58" i="51" s="1"/>
  <c r="G140" i="50"/>
  <c r="H140" i="50" s="1"/>
  <c r="G135" i="50"/>
  <c r="H135" i="50" s="1"/>
  <c r="G129" i="50"/>
  <c r="H129" i="50" s="1"/>
  <c r="G139" i="50"/>
  <c r="H139" i="50" s="1"/>
  <c r="G134" i="50"/>
  <c r="H134" i="50" s="1"/>
  <c r="G141" i="50"/>
  <c r="H141" i="50" s="1"/>
  <c r="G138" i="50"/>
  <c r="H138" i="50" s="1"/>
  <c r="G142" i="50"/>
  <c r="H142" i="50" s="1"/>
  <c r="G125" i="50"/>
  <c r="H125" i="50" s="1"/>
  <c r="H127" i="50"/>
  <c r="G35" i="50"/>
  <c r="G50" i="50"/>
  <c r="H50" i="50" s="1"/>
  <c r="G56" i="50"/>
  <c r="H56" i="50" s="1"/>
  <c r="G100" i="50"/>
  <c r="H100" i="50" s="1"/>
  <c r="G114" i="50"/>
  <c r="H114" i="50" s="1"/>
  <c r="G110" i="50"/>
  <c r="H110" i="50" s="1"/>
  <c r="G98" i="50"/>
  <c r="G113" i="50"/>
  <c r="H113" i="50" s="1"/>
  <c r="G117" i="50"/>
  <c r="H117" i="50" s="1"/>
  <c r="G140" i="49"/>
  <c r="H140" i="49" s="1"/>
  <c r="G129" i="49"/>
  <c r="H129" i="49" s="1"/>
  <c r="G135" i="49"/>
  <c r="H135" i="49" s="1"/>
  <c r="G134" i="49"/>
  <c r="H134" i="49" s="1"/>
  <c r="G139" i="49"/>
  <c r="H139" i="49" s="1"/>
  <c r="G142" i="49"/>
  <c r="H142" i="49" s="1"/>
  <c r="G125" i="49"/>
  <c r="G141" i="49"/>
  <c r="H141" i="49" s="1"/>
  <c r="G138" i="49"/>
  <c r="H138" i="49" s="1"/>
  <c r="G127" i="49"/>
  <c r="H127" i="49" s="1"/>
  <c r="G35" i="49"/>
  <c r="G50" i="49"/>
  <c r="H50" i="49" s="1"/>
  <c r="G56" i="49"/>
  <c r="H56" i="49" s="1"/>
  <c r="G100" i="49"/>
  <c r="H100" i="49" s="1"/>
  <c r="G114" i="49"/>
  <c r="H114" i="49" s="1"/>
  <c r="G48" i="49"/>
  <c r="H48" i="49" s="1"/>
  <c r="G57" i="49"/>
  <c r="H57" i="49" s="1"/>
  <c r="G96" i="49"/>
  <c r="G110" i="49"/>
  <c r="H110" i="49" s="1"/>
  <c r="G108" i="49"/>
  <c r="H108" i="49" s="1"/>
  <c r="G98" i="49"/>
  <c r="H98" i="49" s="1"/>
  <c r="G113" i="49"/>
  <c r="H113" i="49" s="1"/>
  <c r="G117" i="49"/>
  <c r="H117" i="49" s="1"/>
  <c r="G127" i="48"/>
  <c r="H127" i="48" s="1"/>
  <c r="G35" i="48"/>
  <c r="G50" i="48"/>
  <c r="H50" i="48" s="1"/>
  <c r="G56" i="48"/>
  <c r="H56" i="48" s="1"/>
  <c r="G100" i="48"/>
  <c r="H100" i="48" s="1"/>
  <c r="G114" i="48"/>
  <c r="H114" i="48" s="1"/>
  <c r="G107" i="48"/>
  <c r="H107" i="48" s="1"/>
  <c r="G119" i="48"/>
  <c r="H119" i="48" s="1"/>
  <c r="G125" i="48"/>
  <c r="G48" i="48"/>
  <c r="H48" i="48" s="1"/>
  <c r="G96" i="48"/>
  <c r="E206" i="48"/>
  <c r="G206" i="48" s="1"/>
  <c r="C251" i="48" s="1"/>
  <c r="G251" i="48" s="1"/>
  <c r="G35" i="47"/>
  <c r="H35" i="47" s="1"/>
  <c r="G50" i="47"/>
  <c r="H50" i="47" s="1"/>
  <c r="G56" i="47"/>
  <c r="H56" i="47" s="1"/>
  <c r="G100" i="47"/>
  <c r="H100" i="47" s="1"/>
  <c r="G114" i="47"/>
  <c r="H114" i="47" s="1"/>
  <c r="G48" i="47"/>
  <c r="H48" i="47" s="1"/>
  <c r="G57" i="47"/>
  <c r="H57" i="47" s="1"/>
  <c r="G96" i="47"/>
  <c r="H96" i="47" s="1"/>
  <c r="G110" i="47"/>
  <c r="H110" i="47" s="1"/>
  <c r="G37" i="47"/>
  <c r="H37" i="47" s="1"/>
  <c r="G53" i="47"/>
  <c r="H53" i="47" s="1"/>
  <c r="G32" i="47"/>
  <c r="G58" i="47"/>
  <c r="H58" i="47" s="1"/>
  <c r="G113" i="47"/>
  <c r="H113" i="47" s="1"/>
  <c r="G131" i="46"/>
  <c r="H131" i="46" s="1"/>
  <c r="G140" i="46"/>
  <c r="H140" i="46" s="1"/>
  <c r="H70" i="46"/>
  <c r="H69" i="46"/>
  <c r="H206" i="46"/>
  <c r="H47" i="46"/>
  <c r="G107" i="46"/>
  <c r="H107" i="46" s="1"/>
  <c r="G119" i="46"/>
  <c r="H119" i="46" s="1"/>
  <c r="G125" i="46"/>
  <c r="H125" i="46" s="1"/>
  <c r="G96" i="46"/>
  <c r="H96" i="46" s="1"/>
  <c r="G110" i="46"/>
  <c r="H110" i="46" s="1"/>
  <c r="G98" i="46"/>
  <c r="H98" i="46" s="1"/>
  <c r="G113" i="46"/>
  <c r="H113" i="46" s="1"/>
  <c r="G117" i="46"/>
  <c r="H117" i="46" s="1"/>
  <c r="G135" i="45"/>
  <c r="H135" i="45" s="1"/>
  <c r="G139" i="45"/>
  <c r="H139" i="45" s="1"/>
  <c r="G142" i="45"/>
  <c r="H142" i="45" s="1"/>
  <c r="G134" i="45"/>
  <c r="H134" i="45" s="1"/>
  <c r="G129" i="45"/>
  <c r="H129" i="45" s="1"/>
  <c r="G35" i="45"/>
  <c r="H35" i="45" s="1"/>
  <c r="G50" i="45"/>
  <c r="H50" i="45" s="1"/>
  <c r="G56" i="45"/>
  <c r="H56" i="45" s="1"/>
  <c r="G100" i="45"/>
  <c r="H100" i="45" s="1"/>
  <c r="G114" i="45"/>
  <c r="H114" i="45" s="1"/>
  <c r="G125" i="45"/>
  <c r="G48" i="45"/>
  <c r="H48" i="45" s="1"/>
  <c r="G57" i="45"/>
  <c r="H57" i="45" s="1"/>
  <c r="G96" i="45"/>
  <c r="G110" i="45"/>
  <c r="H110" i="45" s="1"/>
  <c r="G37" i="45"/>
  <c r="H37" i="45" s="1"/>
  <c r="G53" i="45"/>
  <c r="H53" i="45" s="1"/>
  <c r="G32" i="45"/>
  <c r="G58" i="45"/>
  <c r="H58" i="45" s="1"/>
  <c r="G113" i="45"/>
  <c r="H113" i="45" s="1"/>
  <c r="G140" i="44"/>
  <c r="H140" i="44" s="1"/>
  <c r="G131" i="44"/>
  <c r="H131" i="44" s="1"/>
  <c r="G139" i="44"/>
  <c r="H139" i="44" s="1"/>
  <c r="G142" i="44"/>
  <c r="H142" i="44" s="1"/>
  <c r="G134" i="44"/>
  <c r="H134" i="44" s="1"/>
  <c r="G129" i="44"/>
  <c r="H129" i="44" s="1"/>
  <c r="G141" i="44"/>
  <c r="H141" i="44" s="1"/>
  <c r="G35" i="44"/>
  <c r="G50" i="44"/>
  <c r="H50" i="44" s="1"/>
  <c r="G56" i="44"/>
  <c r="H56" i="44" s="1"/>
  <c r="G100" i="44"/>
  <c r="H100" i="44" s="1"/>
  <c r="G114" i="44"/>
  <c r="H114" i="44" s="1"/>
  <c r="G125" i="44"/>
  <c r="H125" i="44" s="1"/>
  <c r="G48" i="44"/>
  <c r="H48" i="44" s="1"/>
  <c r="G57" i="44"/>
  <c r="H57" i="44" s="1"/>
  <c r="G96" i="44"/>
  <c r="B78" i="37"/>
  <c r="G37" i="44"/>
  <c r="H37" i="44" s="1"/>
  <c r="G53" i="44"/>
  <c r="H53" i="44" s="1"/>
  <c r="E206" i="44"/>
  <c r="G206" i="44" s="1"/>
  <c r="C251" i="44" s="1"/>
  <c r="G251" i="44" s="1"/>
  <c r="H169" i="38"/>
  <c r="H158" i="38"/>
  <c r="H157" i="38"/>
  <c r="G138" i="54" l="1"/>
  <c r="H138" i="54" s="1"/>
  <c r="G135" i="54"/>
  <c r="H135" i="54" s="1"/>
  <c r="G139" i="54"/>
  <c r="H139" i="54" s="1"/>
  <c r="G140" i="54"/>
  <c r="H140" i="54" s="1"/>
  <c r="G134" i="54"/>
  <c r="H134" i="54" s="1"/>
  <c r="G131" i="54"/>
  <c r="H131" i="54" s="1"/>
  <c r="G125" i="54"/>
  <c r="G141" i="54"/>
  <c r="H141" i="54" s="1"/>
  <c r="G129" i="54"/>
  <c r="H129" i="54" s="1"/>
  <c r="H206" i="54"/>
  <c r="H229" i="54" s="1"/>
  <c r="F4" i="54" s="1"/>
  <c r="G141" i="57"/>
  <c r="H141" i="57" s="1"/>
  <c r="G142" i="57"/>
  <c r="H142" i="57" s="1"/>
  <c r="G127" i="57"/>
  <c r="H127" i="57" s="1"/>
  <c r="H120" i="57"/>
  <c r="G129" i="57"/>
  <c r="H129" i="57" s="1"/>
  <c r="H72" i="56"/>
  <c r="H71" i="56"/>
  <c r="C250" i="56"/>
  <c r="G250" i="56" s="1"/>
  <c r="H69" i="56"/>
  <c r="H70" i="56"/>
  <c r="H120" i="55"/>
  <c r="G127" i="55"/>
  <c r="H127" i="55" s="1"/>
  <c r="G131" i="55"/>
  <c r="H131" i="55" s="1"/>
  <c r="G141" i="55"/>
  <c r="H141" i="55" s="1"/>
  <c r="G140" i="55"/>
  <c r="H140" i="55" s="1"/>
  <c r="G129" i="55"/>
  <c r="H129" i="55" s="1"/>
  <c r="G142" i="55"/>
  <c r="H142" i="55" s="1"/>
  <c r="G138" i="55"/>
  <c r="H138" i="55" s="1"/>
  <c r="G139" i="55"/>
  <c r="H139" i="55" s="1"/>
  <c r="G125" i="55"/>
  <c r="H125" i="55" s="1"/>
  <c r="C250" i="55"/>
  <c r="G250" i="55" s="1"/>
  <c r="H120" i="54"/>
  <c r="G127" i="53"/>
  <c r="H127" i="53" s="1"/>
  <c r="G134" i="53"/>
  <c r="H134" i="53" s="1"/>
  <c r="G135" i="53"/>
  <c r="H135" i="53" s="1"/>
  <c r="G141" i="53"/>
  <c r="H141" i="53" s="1"/>
  <c r="H71" i="53"/>
  <c r="G139" i="53"/>
  <c r="H139" i="53" s="1"/>
  <c r="H72" i="53"/>
  <c r="H69" i="53"/>
  <c r="G140" i="53"/>
  <c r="H140" i="53" s="1"/>
  <c r="H70" i="53"/>
  <c r="G125" i="53"/>
  <c r="H120" i="53"/>
  <c r="C250" i="53"/>
  <c r="G250" i="53" s="1"/>
  <c r="G129" i="53"/>
  <c r="H129" i="53" s="1"/>
  <c r="G142" i="53"/>
  <c r="H142" i="53" s="1"/>
  <c r="G138" i="53"/>
  <c r="H138" i="53" s="1"/>
  <c r="C249" i="52"/>
  <c r="G249" i="52" s="1"/>
  <c r="H59" i="52"/>
  <c r="H89" i="52" s="1"/>
  <c r="D4" i="52" s="1"/>
  <c r="H206" i="51"/>
  <c r="H229" i="51" s="1"/>
  <c r="F4" i="51" s="1"/>
  <c r="H120" i="51"/>
  <c r="H72" i="50"/>
  <c r="H70" i="50"/>
  <c r="H69" i="50"/>
  <c r="H71" i="50"/>
  <c r="H87" i="50" s="1"/>
  <c r="G120" i="50"/>
  <c r="G120" i="49"/>
  <c r="G135" i="48"/>
  <c r="H135" i="48" s="1"/>
  <c r="H70" i="48"/>
  <c r="H71" i="48"/>
  <c r="H72" i="48"/>
  <c r="H69" i="48"/>
  <c r="H87" i="48" s="1"/>
  <c r="G141" i="48"/>
  <c r="H141" i="48" s="1"/>
  <c r="G138" i="48"/>
  <c r="H138" i="48" s="1"/>
  <c r="G131" i="48"/>
  <c r="H131" i="48" s="1"/>
  <c r="G129" i="48"/>
  <c r="H129" i="48" s="1"/>
  <c r="G134" i="48"/>
  <c r="H134" i="48" s="1"/>
  <c r="G140" i="48"/>
  <c r="H140" i="48" s="1"/>
  <c r="G142" i="48"/>
  <c r="H142" i="48" s="1"/>
  <c r="G59" i="48"/>
  <c r="C250" i="48"/>
  <c r="G250" i="48" s="1"/>
  <c r="H229" i="46"/>
  <c r="F4" i="46" s="1"/>
  <c r="G127" i="46"/>
  <c r="H127" i="46" s="1"/>
  <c r="G129" i="46"/>
  <c r="H129" i="46" s="1"/>
  <c r="H50" i="46"/>
  <c r="H59" i="46" s="1"/>
  <c r="H89" i="46" s="1"/>
  <c r="D4" i="46" s="1"/>
  <c r="H72" i="46"/>
  <c r="H87" i="46"/>
  <c r="G141" i="46"/>
  <c r="H141" i="46" s="1"/>
  <c r="G59" i="46"/>
  <c r="G142" i="46"/>
  <c r="H142" i="46" s="1"/>
  <c r="G138" i="46"/>
  <c r="H138" i="46" s="1"/>
  <c r="C250" i="46"/>
  <c r="G250" i="46" s="1"/>
  <c r="G139" i="46"/>
  <c r="H139" i="46" s="1"/>
  <c r="G134" i="46"/>
  <c r="H134" i="46" s="1"/>
  <c r="G140" i="45"/>
  <c r="H140" i="45" s="1"/>
  <c r="G138" i="45"/>
  <c r="H138" i="45" s="1"/>
  <c r="G131" i="45"/>
  <c r="H131" i="45" s="1"/>
  <c r="H206" i="45"/>
  <c r="H229" i="45" s="1"/>
  <c r="F4" i="45" s="1"/>
  <c r="G120" i="45"/>
  <c r="C250" i="45"/>
  <c r="G250" i="45" s="1"/>
  <c r="G120" i="44"/>
  <c r="C249" i="44"/>
  <c r="G249" i="44" s="1"/>
  <c r="G127" i="44"/>
  <c r="H127" i="44" s="1"/>
  <c r="G138" i="44"/>
  <c r="H138" i="44" s="1"/>
  <c r="H143" i="44" s="1"/>
  <c r="H70" i="44"/>
  <c r="H72" i="44"/>
  <c r="H71" i="44"/>
  <c r="H69" i="44"/>
  <c r="H87" i="44" s="1"/>
  <c r="H229" i="44"/>
  <c r="F4" i="44" s="1"/>
  <c r="G129" i="47"/>
  <c r="H129" i="47" s="1"/>
  <c r="H70" i="49"/>
  <c r="H69" i="49"/>
  <c r="H71" i="49"/>
  <c r="H72" i="49"/>
  <c r="G139" i="47"/>
  <c r="H139" i="47" s="1"/>
  <c r="G131" i="47"/>
  <c r="H131" i="47" s="1"/>
  <c r="G127" i="47"/>
  <c r="H127" i="47" s="1"/>
  <c r="G135" i="47"/>
  <c r="H135" i="47" s="1"/>
  <c r="G134" i="47"/>
  <c r="H134" i="47" s="1"/>
  <c r="G125" i="47"/>
  <c r="G142" i="47"/>
  <c r="H142" i="47" s="1"/>
  <c r="G140" i="47"/>
  <c r="H140" i="47" s="1"/>
  <c r="G138" i="47"/>
  <c r="H138" i="47" s="1"/>
  <c r="G120" i="57"/>
  <c r="H125" i="57"/>
  <c r="C249" i="57"/>
  <c r="G249" i="57" s="1"/>
  <c r="G59" i="57"/>
  <c r="H32" i="57"/>
  <c r="C250" i="57"/>
  <c r="G250" i="57" s="1"/>
  <c r="H120" i="56"/>
  <c r="H143" i="56"/>
  <c r="G120" i="56"/>
  <c r="C249" i="56"/>
  <c r="G249" i="56" s="1"/>
  <c r="G59" i="56"/>
  <c r="H35" i="56"/>
  <c r="H59" i="56" s="1"/>
  <c r="G143" i="56"/>
  <c r="G120" i="55"/>
  <c r="H32" i="55"/>
  <c r="C249" i="55"/>
  <c r="G249" i="55" s="1"/>
  <c r="G59" i="55"/>
  <c r="H70" i="54"/>
  <c r="H69" i="54"/>
  <c r="H71" i="54"/>
  <c r="H72" i="54"/>
  <c r="H59" i="54"/>
  <c r="H125" i="54"/>
  <c r="G59" i="54"/>
  <c r="C249" i="54"/>
  <c r="G249" i="54" s="1"/>
  <c r="C250" i="54"/>
  <c r="G250" i="54" s="1"/>
  <c r="G120" i="54"/>
  <c r="H35" i="53"/>
  <c r="H59" i="53" s="1"/>
  <c r="C249" i="53"/>
  <c r="G249" i="53" s="1"/>
  <c r="G59" i="53"/>
  <c r="G120" i="53"/>
  <c r="G59" i="52"/>
  <c r="G143" i="52"/>
  <c r="G120" i="52"/>
  <c r="H120" i="52"/>
  <c r="H125" i="52"/>
  <c r="H143" i="52" s="1"/>
  <c r="C250" i="52"/>
  <c r="G250" i="52" s="1"/>
  <c r="C249" i="51"/>
  <c r="G249" i="51" s="1"/>
  <c r="H32" i="51"/>
  <c r="G59" i="51"/>
  <c r="G143" i="51"/>
  <c r="H125" i="51"/>
  <c r="H143" i="51" s="1"/>
  <c r="H192" i="51" s="1"/>
  <c r="E4" i="51" s="1"/>
  <c r="C250" i="51"/>
  <c r="G250" i="51" s="1"/>
  <c r="G120" i="51"/>
  <c r="H143" i="50"/>
  <c r="H35" i="50"/>
  <c r="H59" i="50" s="1"/>
  <c r="C249" i="50"/>
  <c r="G249" i="50" s="1"/>
  <c r="G59" i="50"/>
  <c r="C250" i="50"/>
  <c r="G250" i="50" s="1"/>
  <c r="H98" i="50"/>
  <c r="H120" i="50" s="1"/>
  <c r="G143" i="50"/>
  <c r="G143" i="49"/>
  <c r="H96" i="49"/>
  <c r="H120" i="49" s="1"/>
  <c r="H125" i="49"/>
  <c r="H143" i="49" s="1"/>
  <c r="C250" i="49"/>
  <c r="G250" i="49" s="1"/>
  <c r="H35" i="49"/>
  <c r="H59" i="49" s="1"/>
  <c r="C249" i="49"/>
  <c r="G249" i="49" s="1"/>
  <c r="G59" i="49"/>
  <c r="G120" i="48"/>
  <c r="H96" i="48"/>
  <c r="H120" i="48" s="1"/>
  <c r="H125" i="48"/>
  <c r="H35" i="48"/>
  <c r="H59" i="48" s="1"/>
  <c r="H89" i="48" s="1"/>
  <c r="C249" i="48"/>
  <c r="G249" i="48" s="1"/>
  <c r="H120" i="47"/>
  <c r="G120" i="47"/>
  <c r="C249" i="47"/>
  <c r="G249" i="47" s="1"/>
  <c r="G59" i="47"/>
  <c r="C250" i="47"/>
  <c r="G250" i="47" s="1"/>
  <c r="H32" i="47"/>
  <c r="G120" i="46"/>
  <c r="H120" i="46"/>
  <c r="H32" i="45"/>
  <c r="C249" i="45"/>
  <c r="G249" i="45" s="1"/>
  <c r="G59" i="45"/>
  <c r="G143" i="45"/>
  <c r="H125" i="45"/>
  <c r="H143" i="45" s="1"/>
  <c r="H96" i="45"/>
  <c r="H120" i="45" s="1"/>
  <c r="H35" i="44"/>
  <c r="H59" i="44" s="1"/>
  <c r="G59" i="44"/>
  <c r="H96" i="44"/>
  <c r="H120" i="44" s="1"/>
  <c r="C250" i="44"/>
  <c r="G250" i="44" s="1"/>
  <c r="H160" i="38"/>
  <c r="H73" i="38"/>
  <c r="H143" i="54" l="1"/>
  <c r="H192" i="54" s="1"/>
  <c r="E4" i="54" s="1"/>
  <c r="G143" i="54"/>
  <c r="G143" i="57"/>
  <c r="H143" i="57"/>
  <c r="H192" i="57" s="1"/>
  <c r="E4" i="57" s="1"/>
  <c r="H87" i="56"/>
  <c r="H89" i="56" s="1"/>
  <c r="D4" i="56" s="1"/>
  <c r="H143" i="55"/>
  <c r="H192" i="55" s="1"/>
  <c r="E4" i="55" s="1"/>
  <c r="G143" i="55"/>
  <c r="G143" i="53"/>
  <c r="H125" i="53"/>
  <c r="H143" i="53" s="1"/>
  <c r="H192" i="53" s="1"/>
  <c r="E4" i="53" s="1"/>
  <c r="H87" i="53"/>
  <c r="H89" i="53" s="1"/>
  <c r="H89" i="50"/>
  <c r="H87" i="49"/>
  <c r="H89" i="49" s="1"/>
  <c r="D4" i="49" s="1"/>
  <c r="H143" i="48"/>
  <c r="G143" i="48"/>
  <c r="G143" i="46"/>
  <c r="H143" i="46"/>
  <c r="H192" i="46"/>
  <c r="E4" i="46" s="1"/>
  <c r="H192" i="45"/>
  <c r="E4" i="45" s="1"/>
  <c r="G143" i="44"/>
  <c r="H89" i="44"/>
  <c r="H192" i="50"/>
  <c r="E4" i="50" s="1"/>
  <c r="H192" i="44"/>
  <c r="E4" i="44" s="1"/>
  <c r="G143" i="47"/>
  <c r="H125" i="47"/>
  <c r="H143" i="47" s="1"/>
  <c r="H192" i="47" s="1"/>
  <c r="H70" i="57"/>
  <c r="H69" i="57"/>
  <c r="H72" i="57"/>
  <c r="H59" i="57"/>
  <c r="H71" i="57"/>
  <c r="H192" i="56"/>
  <c r="E4" i="56" s="1"/>
  <c r="H70" i="55"/>
  <c r="H69" i="55"/>
  <c r="H72" i="55"/>
  <c r="H59" i="55"/>
  <c r="H71" i="55"/>
  <c r="H87" i="54"/>
  <c r="H89" i="54" s="1"/>
  <c r="H192" i="52"/>
  <c r="H245" i="52" s="1"/>
  <c r="H70" i="51"/>
  <c r="H69" i="51"/>
  <c r="H72" i="51"/>
  <c r="H59" i="51"/>
  <c r="H71" i="51"/>
  <c r="D4" i="50"/>
  <c r="H192" i="49"/>
  <c r="E4" i="49" s="1"/>
  <c r="H192" i="48"/>
  <c r="E4" i="48" s="1"/>
  <c r="D4" i="48"/>
  <c r="H70" i="47"/>
  <c r="H69" i="47"/>
  <c r="H72" i="47"/>
  <c r="H59" i="47"/>
  <c r="H71" i="47"/>
  <c r="H245" i="46"/>
  <c r="H4" i="46" s="1"/>
  <c r="H70" i="45"/>
  <c r="H69" i="45"/>
  <c r="H72" i="45"/>
  <c r="H59" i="45"/>
  <c r="H71" i="45"/>
  <c r="D4" i="44"/>
  <c r="I27" i="38"/>
  <c r="J55" i="61"/>
  <c r="J54" i="61"/>
  <c r="J53" i="61"/>
  <c r="J52" i="61"/>
  <c r="J51" i="61"/>
  <c r="J50" i="61"/>
  <c r="J49" i="61"/>
  <c r="J48" i="61"/>
  <c r="J47" i="61"/>
  <c r="J41" i="61"/>
  <c r="J40" i="61"/>
  <c r="J39" i="61"/>
  <c r="J38" i="61"/>
  <c r="J37" i="61"/>
  <c r="J36" i="61"/>
  <c r="J35" i="61"/>
  <c r="J34" i="61"/>
  <c r="J33" i="61"/>
  <c r="J32" i="61"/>
  <c r="J31" i="61"/>
  <c r="J30" i="61"/>
  <c r="J29" i="61"/>
  <c r="J28" i="61"/>
  <c r="J27" i="61"/>
  <c r="J26" i="61"/>
  <c r="J25" i="61"/>
  <c r="J24" i="61"/>
  <c r="J23" i="61"/>
  <c r="J22" i="61"/>
  <c r="J21" i="61"/>
  <c r="J15" i="61"/>
  <c r="J14" i="61"/>
  <c r="J13" i="61"/>
  <c r="J12" i="61"/>
  <c r="J11" i="61"/>
  <c r="J10" i="61"/>
  <c r="J9" i="61"/>
  <c r="J8" i="61"/>
  <c r="J7" i="61"/>
  <c r="J6" i="61"/>
  <c r="H245" i="53" l="1"/>
  <c r="D4" i="53"/>
  <c r="H245" i="50"/>
  <c r="H4" i="50" s="1"/>
  <c r="H245" i="44"/>
  <c r="H4" i="44" s="1"/>
  <c r="H4" i="53"/>
  <c r="F99" i="37"/>
  <c r="H245" i="48"/>
  <c r="H4" i="48" s="1"/>
  <c r="E4" i="47"/>
  <c r="H87" i="57"/>
  <c r="H89" i="57"/>
  <c r="H245" i="56"/>
  <c r="H4" i="56" s="1"/>
  <c r="H87" i="55"/>
  <c r="H89" i="55"/>
  <c r="D4" i="54"/>
  <c r="H245" i="54"/>
  <c r="H4" i="54" s="1"/>
  <c r="E4" i="52"/>
  <c r="H4" i="52"/>
  <c r="H87" i="51"/>
  <c r="H89" i="51" s="1"/>
  <c r="H245" i="49"/>
  <c r="H4" i="49" s="1"/>
  <c r="H87" i="47"/>
  <c r="H89" i="47"/>
  <c r="H87" i="45"/>
  <c r="H89" i="45" s="1"/>
  <c r="F78" i="37" l="1"/>
  <c r="F100" i="37"/>
  <c r="F83" i="37"/>
  <c r="H245" i="57"/>
  <c r="H4" i="57" s="1"/>
  <c r="D4" i="57"/>
  <c r="H245" i="55"/>
  <c r="D4" i="55"/>
  <c r="H245" i="51"/>
  <c r="H4" i="51" s="1"/>
  <c r="D4" i="51"/>
  <c r="H245" i="47"/>
  <c r="D4" i="47"/>
  <c r="H245" i="45"/>
  <c r="H4" i="45" s="1"/>
  <c r="D4" i="45"/>
  <c r="F80" i="37"/>
  <c r="F84" i="37"/>
  <c r="F86" i="37"/>
  <c r="F102" i="37"/>
  <c r="H74" i="38"/>
  <c r="F103" i="37" l="1"/>
  <c r="F79" i="37"/>
  <c r="H4" i="47"/>
  <c r="F81" i="37"/>
  <c r="H4" i="55"/>
  <c r="F101" i="37"/>
  <c r="F85" i="37"/>
  <c r="F82" i="37"/>
  <c r="H162" i="38"/>
  <c r="H156" i="38" l="1"/>
  <c r="H242" i="38" l="1"/>
  <c r="E129" i="38" l="1"/>
  <c r="A4" i="38"/>
  <c r="D7" i="38"/>
  <c r="F59" i="38" l="1"/>
  <c r="B77" i="37" l="1"/>
  <c r="G32" i="38"/>
  <c r="G33" i="38"/>
  <c r="E125" i="38"/>
  <c r="F120" i="38"/>
  <c r="H86" i="38"/>
  <c r="H85" i="38"/>
  <c r="H84" i="38"/>
  <c r="H79" i="38"/>
  <c r="H77" i="38"/>
  <c r="H76" i="38"/>
  <c r="H78" i="38" s="1"/>
  <c r="H66" i="38"/>
  <c r="H65" i="38"/>
  <c r="H64" i="38"/>
  <c r="G49" i="38"/>
  <c r="I11" i="61"/>
  <c r="H11" i="61"/>
  <c r="G11" i="61"/>
  <c r="F11" i="61"/>
  <c r="E11" i="61"/>
  <c r="D77" i="37" l="1"/>
  <c r="F19" i="38"/>
  <c r="E48" i="38"/>
  <c r="G118" i="38"/>
  <c r="H118" i="38" s="1"/>
  <c r="G117" i="38"/>
  <c r="H117" i="38" s="1"/>
  <c r="G119" i="38"/>
  <c r="H119" i="38" s="1"/>
  <c r="I41" i="61"/>
  <c r="H41" i="61"/>
  <c r="G41" i="61"/>
  <c r="F41" i="61"/>
  <c r="E41" i="61"/>
  <c r="D140" i="38" l="1"/>
  <c r="E127" i="38"/>
  <c r="F125" i="38"/>
  <c r="F143" i="38" s="1"/>
  <c r="E143" i="38" l="1"/>
  <c r="G38" i="38"/>
  <c r="I45" i="38"/>
  <c r="I44" i="38"/>
  <c r="I43" i="38"/>
  <c r="I42" i="38"/>
  <c r="I41" i="38"/>
  <c r="I40" i="38"/>
  <c r="H38" i="38" l="1"/>
  <c r="G134" i="38"/>
  <c r="G138" i="38"/>
  <c r="G131" i="38"/>
  <c r="G127" i="38"/>
  <c r="G140" i="38"/>
  <c r="H140" i="38" s="1"/>
  <c r="G135" i="38"/>
  <c r="G142" i="38"/>
  <c r="H142" i="38" s="1"/>
  <c r="G141" i="38"/>
  <c r="H141" i="38" s="1"/>
  <c r="G139" i="38"/>
  <c r="G129" i="38"/>
  <c r="G125" i="38"/>
  <c r="H67" i="38" l="1"/>
  <c r="G143" i="38"/>
  <c r="H240" i="38" l="1"/>
  <c r="H239" i="38"/>
  <c r="H238" i="38"/>
  <c r="H237" i="38"/>
  <c r="H236" i="38"/>
  <c r="H235" i="38"/>
  <c r="H226" i="38"/>
  <c r="H225" i="38"/>
  <c r="H219" i="38"/>
  <c r="H218" i="38"/>
  <c r="H217" i="38"/>
  <c r="F206" i="38"/>
  <c r="G205" i="38"/>
  <c r="G204" i="38"/>
  <c r="G203" i="38"/>
  <c r="G201" i="38"/>
  <c r="G199" i="38"/>
  <c r="I194" i="38"/>
  <c r="G194" i="38"/>
  <c r="H189" i="38"/>
  <c r="H188" i="38"/>
  <c r="H187" i="38"/>
  <c r="H190" i="38" s="1"/>
  <c r="H181" i="38"/>
  <c r="H180" i="38"/>
  <c r="H179" i="38"/>
  <c r="H176" i="38"/>
  <c r="H174" i="38"/>
  <c r="H166" i="38"/>
  <c r="H155" i="38"/>
  <c r="H148" i="38"/>
  <c r="H147" i="38"/>
  <c r="F147" i="38"/>
  <c r="G115" i="38"/>
  <c r="G114" i="38"/>
  <c r="G113" i="38"/>
  <c r="G110" i="38"/>
  <c r="G109" i="38"/>
  <c r="G108" i="38"/>
  <c r="G107" i="38"/>
  <c r="G106" i="38"/>
  <c r="G103" i="38"/>
  <c r="G100" i="38"/>
  <c r="G98" i="38"/>
  <c r="G96" i="38"/>
  <c r="I91" i="38"/>
  <c r="G91" i="38"/>
  <c r="G27" i="38"/>
  <c r="C250" i="38" l="1"/>
  <c r="G250" i="38"/>
  <c r="H243" i="38"/>
  <c r="G4" i="38" s="1"/>
  <c r="H182" i="38"/>
  <c r="H227" i="38"/>
  <c r="G120" i="38"/>
  <c r="G57" i="38"/>
  <c r="H57" i="38" s="1"/>
  <c r="E206" i="38"/>
  <c r="G206" i="38" s="1"/>
  <c r="C251" i="38" s="1"/>
  <c r="G251" i="38" s="1"/>
  <c r="G37" i="38"/>
  <c r="G53" i="38"/>
  <c r="G35" i="38"/>
  <c r="G54" i="38"/>
  <c r="G58" i="38"/>
  <c r="H58" i="38" s="1"/>
  <c r="G48" i="38"/>
  <c r="G50" i="38"/>
  <c r="G56" i="38"/>
  <c r="H56" i="38" s="1"/>
  <c r="G47" i="38"/>
  <c r="C249" i="38" l="1"/>
  <c r="G249" i="38" s="1"/>
  <c r="G59" i="38"/>
  <c r="I55" i="61"/>
  <c r="I54" i="61"/>
  <c r="I53" i="61"/>
  <c r="I52" i="61"/>
  <c r="I51" i="61"/>
  <c r="I50" i="61"/>
  <c r="I49" i="61"/>
  <c r="I48" i="61"/>
  <c r="I47" i="61"/>
  <c r="E47" i="61"/>
  <c r="F47" i="61"/>
  <c r="G47" i="61"/>
  <c r="H47" i="61"/>
  <c r="F48" i="61"/>
  <c r="G48" i="61"/>
  <c r="H48" i="61"/>
  <c r="F49" i="61"/>
  <c r="G49" i="61"/>
  <c r="H49" i="61"/>
  <c r="F50" i="61"/>
  <c r="G50" i="61"/>
  <c r="H50" i="61"/>
  <c r="F51" i="61"/>
  <c r="G51" i="61"/>
  <c r="H51" i="61"/>
  <c r="F52" i="61"/>
  <c r="G52" i="61"/>
  <c r="H52" i="61"/>
  <c r="F53" i="61"/>
  <c r="G53" i="61"/>
  <c r="H53" i="61"/>
  <c r="F54" i="61"/>
  <c r="G54" i="61"/>
  <c r="H54" i="61"/>
  <c r="F55" i="61"/>
  <c r="G55" i="61"/>
  <c r="H55" i="61"/>
  <c r="E55" i="61"/>
  <c r="E54" i="61"/>
  <c r="E53" i="61"/>
  <c r="E52" i="61"/>
  <c r="E51" i="61"/>
  <c r="E50" i="61"/>
  <c r="E49" i="61"/>
  <c r="E48" i="61"/>
  <c r="F213" i="38" l="1"/>
  <c r="F212" i="38"/>
  <c r="F215" i="38"/>
  <c r="D204" i="38"/>
  <c r="H204" i="38" s="1"/>
  <c r="D199" i="38"/>
  <c r="H199" i="38" s="1"/>
  <c r="D203" i="38"/>
  <c r="H203" i="38" s="1"/>
  <c r="D205" i="38"/>
  <c r="H205" i="38" s="1"/>
  <c r="F214" i="38"/>
  <c r="D201" i="38"/>
  <c r="H201" i="38" s="1"/>
  <c r="H212" i="38"/>
  <c r="H213" i="38"/>
  <c r="H214" i="38"/>
  <c r="H215" i="38"/>
  <c r="I40" i="61"/>
  <c r="I39" i="61"/>
  <c r="I38" i="61"/>
  <c r="I37" i="61"/>
  <c r="I36" i="61"/>
  <c r="I35" i="61"/>
  <c r="I34" i="61"/>
  <c r="I33" i="61"/>
  <c r="I32" i="61"/>
  <c r="I31" i="61"/>
  <c r="I30" i="61"/>
  <c r="I29" i="61"/>
  <c r="I28" i="61"/>
  <c r="I27" i="61"/>
  <c r="I26" i="61"/>
  <c r="I25" i="61"/>
  <c r="I24" i="61"/>
  <c r="I23" i="61"/>
  <c r="I22" i="61"/>
  <c r="I21" i="61"/>
  <c r="F21" i="61"/>
  <c r="G21" i="61"/>
  <c r="H21" i="61"/>
  <c r="F22" i="61"/>
  <c r="G22" i="61"/>
  <c r="H22" i="61"/>
  <c r="F23" i="61"/>
  <c r="G23" i="61"/>
  <c r="H23" i="61"/>
  <c r="F24" i="61"/>
  <c r="G24" i="61"/>
  <c r="H24" i="61"/>
  <c r="F25" i="61"/>
  <c r="G25" i="61"/>
  <c r="H25" i="61"/>
  <c r="F26" i="61"/>
  <c r="G26" i="61"/>
  <c r="H26" i="61"/>
  <c r="F27" i="61"/>
  <c r="G27" i="61"/>
  <c r="H27" i="61"/>
  <c r="F28" i="61"/>
  <c r="G28" i="61"/>
  <c r="H28" i="61"/>
  <c r="F29" i="61"/>
  <c r="G29" i="61"/>
  <c r="H29" i="61"/>
  <c r="F30" i="61"/>
  <c r="G30" i="61"/>
  <c r="H30" i="61"/>
  <c r="F31" i="61"/>
  <c r="G31" i="61"/>
  <c r="H31" i="61"/>
  <c r="F32" i="61"/>
  <c r="G32" i="61"/>
  <c r="H32" i="61"/>
  <c r="F33" i="61"/>
  <c r="G33" i="61"/>
  <c r="H33" i="61"/>
  <c r="F34" i="61"/>
  <c r="G34" i="61"/>
  <c r="H34" i="61"/>
  <c r="F35" i="61"/>
  <c r="G35" i="61"/>
  <c r="H35" i="61"/>
  <c r="F36" i="61"/>
  <c r="G36" i="61"/>
  <c r="H36" i="61"/>
  <c r="F37" i="61"/>
  <c r="G37" i="61"/>
  <c r="H37" i="61"/>
  <c r="F38" i="61"/>
  <c r="G38" i="61"/>
  <c r="H38" i="61"/>
  <c r="F39" i="61"/>
  <c r="G39" i="61"/>
  <c r="H39" i="61"/>
  <c r="F40" i="61"/>
  <c r="G40" i="61"/>
  <c r="H40" i="61"/>
  <c r="E40" i="61"/>
  <c r="E39" i="61"/>
  <c r="E38" i="61"/>
  <c r="E37" i="61"/>
  <c r="E36" i="61"/>
  <c r="E35" i="61"/>
  <c r="E34" i="61"/>
  <c r="E33" i="61"/>
  <c r="E32" i="61"/>
  <c r="E31" i="61"/>
  <c r="E30" i="61"/>
  <c r="E29" i="61"/>
  <c r="E28" i="61"/>
  <c r="E27" i="61"/>
  <c r="E26" i="61"/>
  <c r="E25" i="61"/>
  <c r="E24" i="61"/>
  <c r="E23" i="61"/>
  <c r="E22" i="61"/>
  <c r="E21" i="61"/>
  <c r="I15" i="61"/>
  <c r="I14" i="61"/>
  <c r="I13" i="61"/>
  <c r="I12" i="61"/>
  <c r="I10" i="61"/>
  <c r="I9" i="61"/>
  <c r="I8" i="61"/>
  <c r="I7" i="61"/>
  <c r="I6" i="61"/>
  <c r="H6" i="61"/>
  <c r="H7" i="61"/>
  <c r="H8" i="61"/>
  <c r="H9" i="61"/>
  <c r="H10" i="61"/>
  <c r="H12" i="61"/>
  <c r="H13" i="61"/>
  <c r="H14" i="61"/>
  <c r="H15" i="61"/>
  <c r="G6" i="61"/>
  <c r="G7" i="61"/>
  <c r="G8" i="61"/>
  <c r="G9" i="61"/>
  <c r="G10" i="61"/>
  <c r="G12" i="61"/>
  <c r="G13" i="61"/>
  <c r="G14" i="61"/>
  <c r="G15" i="61"/>
  <c r="F6" i="61"/>
  <c r="F7" i="61"/>
  <c r="F8" i="61"/>
  <c r="F9" i="61"/>
  <c r="F10" i="61"/>
  <c r="F12" i="61"/>
  <c r="F13" i="61"/>
  <c r="F14" i="61"/>
  <c r="F15" i="61"/>
  <c r="E15" i="61"/>
  <c r="E14" i="61"/>
  <c r="E13" i="61"/>
  <c r="E12" i="61"/>
  <c r="E10" i="61"/>
  <c r="E9" i="61"/>
  <c r="E8" i="61"/>
  <c r="E7" i="61"/>
  <c r="E6" i="61"/>
  <c r="H220" i="38" l="1"/>
  <c r="H206" i="38"/>
  <c r="H54" i="38"/>
  <c r="E32" i="38"/>
  <c r="H32" i="38" s="1"/>
  <c r="D135" i="38"/>
  <c r="H135" i="38" s="1"/>
  <c r="H113" i="38"/>
  <c r="H98" i="38"/>
  <c r="H106" i="38"/>
  <c r="E50" i="38"/>
  <c r="H50" i="38" s="1"/>
  <c r="H115" i="38"/>
  <c r="H103" i="38"/>
  <c r="E53" i="38"/>
  <c r="H53" i="38" s="1"/>
  <c r="D129" i="38"/>
  <c r="H129" i="38" s="1"/>
  <c r="H108" i="38"/>
  <c r="D134" i="38"/>
  <c r="H134" i="38" s="1"/>
  <c r="H110" i="38"/>
  <c r="H96" i="38"/>
  <c r="E49" i="38"/>
  <c r="H49" i="38" s="1"/>
  <c r="E47" i="38"/>
  <c r="H47" i="38" s="1"/>
  <c r="D127" i="38"/>
  <c r="H127" i="38" s="1"/>
  <c r="H107" i="38"/>
  <c r="E35" i="38"/>
  <c r="H35" i="38" s="1"/>
  <c r="E38" i="38"/>
  <c r="D139" i="38"/>
  <c r="H139" i="38" s="1"/>
  <c r="D138" i="38"/>
  <c r="H138" i="38" s="1"/>
  <c r="H114" i="38"/>
  <c r="H100" i="38"/>
  <c r="D125" i="38"/>
  <c r="H125" i="38" s="1"/>
  <c r="E37" i="38"/>
  <c r="H37" i="38" s="1"/>
  <c r="D131" i="38"/>
  <c r="H131" i="38" s="1"/>
  <c r="H109" i="38"/>
  <c r="H48" i="38"/>
  <c r="H229" i="38" l="1"/>
  <c r="F4" i="38" s="1"/>
  <c r="H143" i="38"/>
  <c r="H120" i="38"/>
  <c r="H59" i="38"/>
  <c r="H70" i="38"/>
  <c r="H72" i="38"/>
  <c r="H71" i="38"/>
  <c r="H69" i="38"/>
  <c r="B104" i="37"/>
  <c r="C100" i="37" l="1"/>
  <c r="G100" i="37" s="1"/>
  <c r="C99" i="37"/>
  <c r="G99" i="37" s="1"/>
  <c r="H192" i="38"/>
  <c r="E4" i="38" s="1"/>
  <c r="H87" i="38"/>
  <c r="H89" i="38" s="1"/>
  <c r="C101" i="37"/>
  <c r="C102" i="37"/>
  <c r="C109" i="37" s="1"/>
  <c r="C103" i="37"/>
  <c r="H245" i="38" l="1"/>
  <c r="F108" i="37"/>
  <c r="B109" i="37"/>
  <c r="B110" i="37"/>
  <c r="F110" i="37"/>
  <c r="F111" i="37"/>
  <c r="F109" i="37"/>
  <c r="B111" i="37"/>
  <c r="E111" i="37" s="1"/>
  <c r="C110" i="37"/>
  <c r="C108" i="37"/>
  <c r="B108" i="37"/>
  <c r="C104" i="37"/>
  <c r="B87" i="37"/>
  <c r="H4" i="38" l="1"/>
  <c r="F77" i="37"/>
  <c r="C80" i="37"/>
  <c r="C79" i="37"/>
  <c r="C78" i="37"/>
  <c r="G78" i="37" s="1"/>
  <c r="C77" i="37"/>
  <c r="G102" i="37"/>
  <c r="G101" i="37"/>
  <c r="G103" i="37"/>
  <c r="D4" i="38"/>
  <c r="E108" i="37"/>
  <c r="E110" i="37"/>
  <c r="E109" i="37"/>
  <c r="C81" i="37"/>
  <c r="C86" i="37"/>
  <c r="C84" i="37"/>
  <c r="C82" i="37"/>
  <c r="G104" i="37" l="1"/>
  <c r="G105" i="37" s="1"/>
  <c r="G77" i="37"/>
  <c r="G82" i="37"/>
  <c r="D87" i="37"/>
  <c r="E77" i="37" s="1"/>
  <c r="E81" i="37" l="1"/>
  <c r="E80" i="37"/>
  <c r="E79" i="37"/>
  <c r="E83" i="37"/>
  <c r="E82" i="37"/>
  <c r="E84" i="37"/>
  <c r="E86" i="37"/>
  <c r="E78" i="37"/>
  <c r="B117" i="37" s="1"/>
  <c r="F117" i="37" s="1"/>
  <c r="E85" i="37"/>
  <c r="E87" i="37" l="1"/>
  <c r="E103" i="37" l="1"/>
  <c r="E101" i="37"/>
  <c r="E102" i="37"/>
  <c r="E100" i="37"/>
  <c r="E64" i="37"/>
  <c r="C64" i="37"/>
  <c r="E104" i="37" l="1"/>
  <c r="C65" i="37"/>
  <c r="G88" i="37" s="1"/>
  <c r="G84" i="37" l="1"/>
  <c r="G80" i="37"/>
  <c r="C85" i="37"/>
  <c r="G85" i="37" s="1"/>
  <c r="C83" i="37"/>
  <c r="B120" i="37" s="1"/>
  <c r="G81" i="37"/>
  <c r="G79" i="37"/>
  <c r="G86" i="37"/>
  <c r="B94" i="37" l="1"/>
  <c r="E94" i="37" s="1"/>
  <c r="C91" i="37"/>
  <c r="F92" i="37"/>
  <c r="F94" i="37"/>
  <c r="B91" i="37"/>
  <c r="B92" i="37"/>
  <c r="C92" i="37"/>
  <c r="F91" i="37"/>
  <c r="F93" i="37"/>
  <c r="C93" i="37"/>
  <c r="B116" i="37"/>
  <c r="F116" i="37" s="1"/>
  <c r="B93" i="37"/>
  <c r="B122" i="37"/>
  <c r="B121" i="37"/>
  <c r="B124" i="37"/>
  <c r="B123" i="37"/>
  <c r="G83" i="37"/>
  <c r="G87" i="37" s="1"/>
  <c r="C87" i="37"/>
  <c r="E93" i="37" l="1"/>
  <c r="E91" i="37"/>
  <c r="E92" i="37"/>
</calcChain>
</file>

<file path=xl/sharedStrings.xml><?xml version="1.0" encoding="utf-8"?>
<sst xmlns="http://schemas.openxmlformats.org/spreadsheetml/2006/main" count="7281" uniqueCount="652">
  <si>
    <t>Description</t>
  </si>
  <si>
    <t>Percentage of coverage</t>
  </si>
  <si>
    <t>Area</t>
  </si>
  <si>
    <t>Length</t>
  </si>
  <si>
    <t>Unit</t>
  </si>
  <si>
    <t>e.g. MET, bare precast concrete</t>
  </si>
  <si>
    <t>Total C1</t>
  </si>
  <si>
    <t>Total C2</t>
  </si>
  <si>
    <t>Category</t>
  </si>
  <si>
    <t>Struct</t>
  </si>
  <si>
    <t>Arch</t>
  </si>
  <si>
    <t>M&amp;E</t>
  </si>
  <si>
    <t>Bonus</t>
  </si>
  <si>
    <t>(Innovation)</t>
  </si>
  <si>
    <t>Residential (Landed)</t>
  </si>
  <si>
    <t>Industrial</t>
  </si>
  <si>
    <t>Commercial</t>
  </si>
  <si>
    <t>Max allocated points (a)</t>
  </si>
  <si>
    <t>% of area (b)</t>
  </si>
  <si>
    <t>Total</t>
  </si>
  <si>
    <t>% of length (b)</t>
  </si>
  <si>
    <t>% of coverage</t>
  </si>
  <si>
    <t>Total (Average)</t>
  </si>
  <si>
    <t>Streamline Manpower</t>
  </si>
  <si>
    <t>Project Reference No.:</t>
  </si>
  <si>
    <t>Description of building works</t>
  </si>
  <si>
    <t>Location Description</t>
  </si>
  <si>
    <t>New Work</t>
  </si>
  <si>
    <t>Work within existing building</t>
  </si>
  <si>
    <t>Sub GFA</t>
  </si>
  <si>
    <t>Total GFA</t>
  </si>
  <si>
    <t>Please indicate one of the followings (this is a compulsory field):</t>
  </si>
  <si>
    <t>PART I: PROJECT DETAILS</t>
  </si>
  <si>
    <t>m²</t>
  </si>
  <si>
    <t>PART II: BUILDABLE DESIGN SCORE SUMMARY SHEET FOR SUPERSTRUCTURE</t>
  </si>
  <si>
    <t>Block No. / Name</t>
  </si>
  <si>
    <t>TOTAL</t>
  </si>
  <si>
    <t>Prefabrication Level (%)</t>
  </si>
  <si>
    <t>(a) Structural System</t>
  </si>
  <si>
    <t>Constructed Floor Area (m²)</t>
  </si>
  <si>
    <t>Select Category</t>
  </si>
  <si>
    <t>points</t>
  </si>
  <si>
    <t>Maximum</t>
  </si>
  <si>
    <t>A. STRUCTURAL SYSTEM</t>
  </si>
  <si>
    <t>Private Residential (Non-Landed)</t>
  </si>
  <si>
    <t>Column1</t>
  </si>
  <si>
    <t>Column2</t>
  </si>
  <si>
    <t>Column3</t>
  </si>
  <si>
    <t>Column4</t>
  </si>
  <si>
    <t>-</t>
  </si>
  <si>
    <t>Nos.</t>
  </si>
  <si>
    <t>B. ARCHITECTURAL SYSTEM</t>
  </si>
  <si>
    <t>B-Score
(a) x (b)</t>
  </si>
  <si>
    <t>Buildable Design Score (c)</t>
  </si>
  <si>
    <t>Percentage of Floor Area % (b)</t>
  </si>
  <si>
    <t>See Table A</t>
  </si>
  <si>
    <t>See Table B</t>
  </si>
  <si>
    <t>Total height of all voids (m)</t>
  </si>
  <si>
    <t>Total height of building (m)</t>
  </si>
  <si>
    <t>Scenario based on Max Offset (m) OR % of Offset floors in Table B</t>
  </si>
  <si>
    <t>Total A1 + A2</t>
  </si>
  <si>
    <t>Total B1 + B2</t>
  </si>
  <si>
    <t>B-Score</t>
  </si>
  <si>
    <t>C. MEP SYSTEM</t>
  </si>
  <si>
    <t>≥ 65% to &lt;80%</t>
  </si>
  <si>
    <t>≥ 80%</t>
  </si>
  <si>
    <t>≥40 Repetitions</t>
  </si>
  <si>
    <t>&lt;40 Repetitions</t>
  </si>
  <si>
    <t>Total B-Score (A + B + C + D) (out of 120 points)</t>
  </si>
  <si>
    <t>Points</t>
  </si>
  <si>
    <t>For mixed development and A&amp;A project, please indicate the GFA for each category and type of work, where applicable.</t>
  </si>
  <si>
    <t>Scenario</t>
  </si>
  <si>
    <t>Nil</t>
  </si>
  <si>
    <t>Max Offset</t>
  </si>
  <si>
    <t>% of Offset Floors</t>
  </si>
  <si>
    <t>&lt; 15</t>
  </si>
  <si>
    <t>&lt; 45</t>
  </si>
  <si>
    <t>&lt; 90</t>
  </si>
  <si>
    <t>&lt; 135</t>
  </si>
  <si>
    <t>&gt;= 135</t>
  </si>
  <si>
    <t>Wall Length (m)</t>
  </si>
  <si>
    <t>Percentage of Wall Length %</t>
  </si>
  <si>
    <t>Apportionate Buildable Design Score 
(b) x (c)</t>
  </si>
  <si>
    <t>(a) PPVC</t>
  </si>
  <si>
    <t>(b) MET</t>
  </si>
  <si>
    <t>(d) APCS</t>
  </si>
  <si>
    <t>(e) MEP System</t>
  </si>
  <si>
    <t>(c) Structural Steel</t>
  </si>
  <si>
    <t>PART III: BUILDABLE DESIGN SCORE SUMMARY SHEET FOR BASEMENT</t>
  </si>
  <si>
    <t>PART V: COMPUTATION OF BUILDABLE DESIGN SCORE</t>
  </si>
  <si>
    <t>Category (Please Select)</t>
  </si>
  <si>
    <t>Qualified Person for Architectural Works</t>
  </si>
  <si>
    <t>QP Name</t>
  </si>
  <si>
    <t>Firm Name</t>
  </si>
  <si>
    <t>Firm Address</t>
  </si>
  <si>
    <t>Date (DD/MM/YYYY)</t>
  </si>
  <si>
    <t>Tel No.</t>
  </si>
  <si>
    <t>Email</t>
  </si>
  <si>
    <t>Qualified Person for Structural Works</t>
  </si>
  <si>
    <t>Structural System</t>
  </si>
  <si>
    <t>Architectural System</t>
  </si>
  <si>
    <t>MEP System</t>
  </si>
  <si>
    <t>Apportionate Buildable Design Score</t>
  </si>
  <si>
    <t>Total Apportionate Buildable Design Score</t>
  </si>
  <si>
    <t>Innovation</t>
  </si>
  <si>
    <t>UEN No.</t>
  </si>
  <si>
    <t>Please select the relevant category of development and enter the corresponding GFA</t>
  </si>
  <si>
    <t>Note: New work includes extension / addition outside existing building</t>
  </si>
  <si>
    <t>Prefabricated
Area (m2)</t>
  </si>
  <si>
    <t>Total C3</t>
  </si>
  <si>
    <t>Total for MEP system (C = C1 + C2 + C3)</t>
  </si>
  <si>
    <t>System</t>
  </si>
  <si>
    <t>Capped Total</t>
  </si>
  <si>
    <t>Constructed Floor Area (m2)</t>
  </si>
  <si>
    <t>e.g. High-strength / lightweight materials - high strength steel reinforcement</t>
  </si>
  <si>
    <t>Simplicity &amp; Modularization</t>
  </si>
  <si>
    <t>Coverage (%)</t>
  </si>
  <si>
    <t>≥65% to &lt;80%</t>
  </si>
  <si>
    <t>≥80%</t>
  </si>
  <si>
    <t>e.g. To state system</t>
  </si>
  <si>
    <t>&lt;30%</t>
  </si>
  <si>
    <t>≥ 30%</t>
  </si>
  <si>
    <t>e.g. Prefabricated organic components - precast wavy façade</t>
  </si>
  <si>
    <t>e.g. Prefabricated Kitchen Unit (PKU) or Prefabricated Common Toilet (PCT)</t>
  </si>
  <si>
    <t>Total Qualifying Area (m2)</t>
  </si>
  <si>
    <t>PRE-REQUISITES</t>
  </si>
  <si>
    <t>For Residential Non-Landed (RNL) Projects</t>
  </si>
  <si>
    <r>
      <t xml:space="preserve">For </t>
    </r>
    <r>
      <rPr>
        <b/>
        <u/>
        <sz val="12"/>
        <color theme="1"/>
        <rFont val="Arial"/>
        <family val="2"/>
      </rPr>
      <t xml:space="preserve">All </t>
    </r>
    <r>
      <rPr>
        <b/>
        <sz val="12"/>
        <color theme="1"/>
        <rFont val="Arial"/>
        <family val="2"/>
      </rPr>
      <t>Projects</t>
    </r>
  </si>
  <si>
    <t>Total for structural system (A = A1 + A2 + A3 + A4 + A5 + A6)</t>
  </si>
  <si>
    <t>D. INNOVATIONS AND OTHERS</t>
  </si>
  <si>
    <t>Total for Innovations system and others (D)</t>
  </si>
  <si>
    <t>Total B3 + B4</t>
  </si>
  <si>
    <t>Total for architectural system (B = B1 + B2 + B3 + B4 + B5 + B6 + B7)</t>
  </si>
  <si>
    <t>Total B7 (Max -4 pts)</t>
  </si>
  <si>
    <t>Structural</t>
  </si>
  <si>
    <t>Architectural</t>
  </si>
  <si>
    <t>MEP</t>
  </si>
  <si>
    <t>Pole system wardrobe / Modular kitchen cabinets</t>
  </si>
  <si>
    <t>Vertical repetition of structural floor layout</t>
  </si>
  <si>
    <t>Simplicity</t>
  </si>
  <si>
    <t>Brickwall / blockwall</t>
  </si>
  <si>
    <t>Precision blockwall</t>
  </si>
  <si>
    <t>Beam-slab system</t>
  </si>
  <si>
    <t>CIS wall</t>
  </si>
  <si>
    <t>Flat plate / Flat slab</t>
  </si>
  <si>
    <t>Cast In-situ (CIS) System</t>
  </si>
  <si>
    <t>Common M&amp;E bracket (at least 3 M&amp;E services)</t>
  </si>
  <si>
    <t>Lightweight concrete panel</t>
  </si>
  <si>
    <t>Pre-insulated mechanical piping</t>
  </si>
  <si>
    <t>Power float concrete floor</t>
  </si>
  <si>
    <t>Precast wall</t>
  </si>
  <si>
    <t>At least 1 prefabricated component</t>
  </si>
  <si>
    <t>Flexible water pipes</t>
  </si>
  <si>
    <t>Onsite dry applied finishes e.g. vinyl, raised floor, carpet, engineered stone flooring, engineered wood flooring</t>
  </si>
  <si>
    <t>Curtain wall / Full height glass partition</t>
  </si>
  <si>
    <t>Flexible sprinkler dropper</t>
  </si>
  <si>
    <t>Prefinished ceiling</t>
  </si>
  <si>
    <t>Drywall partition</t>
  </si>
  <si>
    <t>At least 2 prefabricated component</t>
  </si>
  <si>
    <t xml:space="preserve">Individual Prefabricated Components </t>
  </si>
  <si>
    <t>APCS</t>
  </si>
  <si>
    <t>Prefabricated MEP plant modules</t>
  </si>
  <si>
    <t>Precast wall off-form</t>
  </si>
  <si>
    <t>Hybrid system of SS and precast RC</t>
  </si>
  <si>
    <t>Prefabricated MEP horizontal / vertical modules</t>
  </si>
  <si>
    <t>Prefabricated and prefinished slab e.g. MET slab for sports halls</t>
  </si>
  <si>
    <t>Prefabricated and prefinished wall</t>
  </si>
  <si>
    <t>SS</t>
  </si>
  <si>
    <t>Advanced Prefabricated Systems</t>
  </si>
  <si>
    <t>Prefabricated Bathroom Unit (PBU)</t>
  </si>
  <si>
    <t>Hybrid system of MET with SS / precast RC with mechanical connections</t>
  </si>
  <si>
    <t>Prefabricated MEP modules integrated with structural / architectural system e.g. working platform, catwalk</t>
  </si>
  <si>
    <t>Prefabricated and prefinished ceiling/floor with MEP services</t>
  </si>
  <si>
    <t>Prefabricated and prefinished wall with MEP services</t>
  </si>
  <si>
    <t>MET</t>
  </si>
  <si>
    <t xml:space="preserve">Fully Integrated Sub-assemblies </t>
  </si>
  <si>
    <t>PPVC</t>
  </si>
  <si>
    <t>Fully Integrated System</t>
  </si>
  <si>
    <t>Commercial, School, Institutional and Others</t>
  </si>
  <si>
    <t>Architectural (Floor)</t>
  </si>
  <si>
    <t>Architectural (Wall)</t>
  </si>
  <si>
    <t>3.2(a)</t>
  </si>
  <si>
    <t>3.2(b)</t>
  </si>
  <si>
    <t>3.2(d)</t>
  </si>
  <si>
    <t>3.2(f)</t>
  </si>
  <si>
    <t>4</t>
  </si>
  <si>
    <t>A2</t>
  </si>
  <si>
    <t>A1</t>
  </si>
  <si>
    <t>6.1</t>
  </si>
  <si>
    <t>6.2</t>
  </si>
  <si>
    <t>3.2(c)</t>
  </si>
  <si>
    <t>3.2(e)</t>
  </si>
  <si>
    <t>Mass Engineered Timber (MET) / Hybrid system of MET with structural steel / precast concrete</t>
  </si>
  <si>
    <t>Flat plate / flat slab</t>
  </si>
  <si>
    <t>4.1(a)</t>
  </si>
  <si>
    <t>4.1(b)</t>
  </si>
  <si>
    <t>Prefabricated &amp; prefinished wall with MEP services</t>
  </si>
  <si>
    <t>Prefabricated &amp; prefinished wall / Precast wall off-form</t>
  </si>
  <si>
    <t>Curtain wall / Full height glass partition / Prefabricated railing</t>
  </si>
  <si>
    <t>Cast in-situ wall</t>
  </si>
  <si>
    <t>Other structural system</t>
  </si>
  <si>
    <t>Cast in-situ</t>
  </si>
  <si>
    <t>Other system not listed above (Please seek BCA's advice on the points to be allocated)</t>
  </si>
  <si>
    <t>DfMA structural system</t>
  </si>
  <si>
    <t>Mechanical connection for precast column / precast wall (horizontal joints) e.g. column shoes, grouted sleeves, spiral connector</t>
  </si>
  <si>
    <t>Mechanical connection for precast beam (e.g. telescopic beam connector, grouted sleeves) / Integrated prefabricated column and beam junction (e.g. Lotus-Root system, slim floor system e.g. Deltabeam))</t>
  </si>
  <si>
    <t>Mechanical connection for precast wall (vertical joints) e.g. flexible loops</t>
  </si>
  <si>
    <t>Mechanical connection for other precast components e.g. mechanical connections for parapet walls, staircases. Staircase flight and landing slabs shall be in precast concrete</t>
  </si>
  <si>
    <t>A3</t>
  </si>
  <si>
    <t>7.3(a)</t>
  </si>
  <si>
    <t>7.3(b)</t>
  </si>
  <si>
    <t>7.3(d)</t>
  </si>
  <si>
    <t>A4</t>
  </si>
  <si>
    <t>A5</t>
  </si>
  <si>
    <t>A6</t>
  </si>
  <si>
    <r>
      <t xml:space="preserve">Mechanical connections </t>
    </r>
    <r>
      <rPr>
        <b/>
        <sz val="12"/>
        <color theme="1"/>
        <rFont val="Arial"/>
        <family val="2"/>
      </rPr>
      <t>(only if points are not claimed under Item 3.2 APCS)</t>
    </r>
  </si>
  <si>
    <t>For precast column / precast wall (horizontal joints) e.g. column shoes, grouted sleeves, spiral connector</t>
  </si>
  <si>
    <t>For precast beam (e.g. telescopic beam connector, grouted sleeves) / Integrated prefabricated column and beam junction (e.g. Lotus-Root system, slim floor system e.g. Deltabeam))</t>
  </si>
  <si>
    <t>For precast wall (vertical joints) e.g. flexible loops</t>
  </si>
  <si>
    <t>For other precast components e.g. mechanical connections for parapet walls, staircases. Staircase flight and landing slabs shall be in precast concrete</t>
  </si>
  <si>
    <t>Columns (3 most common sizes in module of 0.5M)</t>
  </si>
  <si>
    <t>Beams (3 most common sizes in module of 0.5M)</t>
  </si>
  <si>
    <t>7.3(c)</t>
  </si>
  <si>
    <t>Other wall system</t>
  </si>
  <si>
    <t>Cast in-situ components / Blockwall</t>
  </si>
  <si>
    <t>B3</t>
  </si>
  <si>
    <t>B4</t>
  </si>
  <si>
    <t>B5</t>
  </si>
  <si>
    <t>12.1</t>
  </si>
  <si>
    <t>12.2</t>
  </si>
  <si>
    <t>B6</t>
  </si>
  <si>
    <t>13.</t>
  </si>
  <si>
    <t>13.1</t>
  </si>
  <si>
    <t>13.2</t>
  </si>
  <si>
    <t>13.3</t>
  </si>
  <si>
    <t>13.4</t>
  </si>
  <si>
    <t>14.1</t>
  </si>
  <si>
    <t>14.2</t>
  </si>
  <si>
    <t>15.1</t>
  </si>
  <si>
    <t>15.2</t>
  </si>
  <si>
    <t>B7</t>
  </si>
  <si>
    <t>16.1</t>
  </si>
  <si>
    <t>16.2</t>
  </si>
  <si>
    <t>16.3</t>
  </si>
  <si>
    <t>Demerit Points</t>
  </si>
  <si>
    <t>Cast in-situ floor with transfer beam / cantilever transfer beam</t>
  </si>
  <si>
    <t>Inclined columns</t>
  </si>
  <si>
    <t>Non-functional void on slab (if applicable, demerit point is -1)</t>
  </si>
  <si>
    <t>Other finishes</t>
  </si>
  <si>
    <t>Other system not listed (Please seek BCA's advice on the points to be allocated)</t>
  </si>
  <si>
    <t>C1</t>
  </si>
  <si>
    <t>Prefabricated MEP modules integrated with structural or architectural system e.g. working platform / catwalk / façade / ceiling / slab, etc.</t>
  </si>
  <si>
    <t>Pre-insulated mechanical piping e.g. chilled water pipes</t>
  </si>
  <si>
    <t>C2</t>
  </si>
  <si>
    <t>DfMA MEP Components</t>
  </si>
  <si>
    <t>C3</t>
  </si>
  <si>
    <t>Mechanical connection for prefabricated MEP modules</t>
  </si>
  <si>
    <t>D1</t>
  </si>
  <si>
    <t>Innovative System (Please seek BCA's advice on the points to be allocated)</t>
  </si>
  <si>
    <t>Others</t>
  </si>
  <si>
    <t>D2</t>
  </si>
  <si>
    <t>(a)</t>
  </si>
  <si>
    <t>(b)</t>
  </si>
  <si>
    <t>(c)</t>
  </si>
  <si>
    <t>Large format tiles</t>
  </si>
  <si>
    <t>+</t>
  </si>
  <si>
    <t>=</t>
  </si>
  <si>
    <t>e.g. To state system, MET, bare precast concrete</t>
  </si>
  <si>
    <r>
      <t xml:space="preserve">Floor mesh </t>
    </r>
    <r>
      <rPr>
        <b/>
        <sz val="12"/>
        <rFont val="Arial"/>
        <family val="2"/>
      </rPr>
      <t>(≥ 65%)</t>
    </r>
    <r>
      <rPr>
        <sz val="12"/>
        <rFont val="Arial"/>
        <family val="2"/>
      </rPr>
      <t xml:space="preserve"> (See Note A.1)
</t>
    </r>
    <r>
      <rPr>
        <b/>
        <sz val="12"/>
        <rFont val="Arial"/>
        <family val="2"/>
      </rPr>
      <t/>
    </r>
  </si>
  <si>
    <r>
      <t xml:space="preserve">Drywall partition (See Note A.3)
</t>
    </r>
    <r>
      <rPr>
        <b/>
        <sz val="12"/>
        <rFont val="Arial"/>
        <family val="2"/>
      </rPr>
      <t>(All internal dry areas excluding partywall / toilet wall / kitchen wall)</t>
    </r>
    <r>
      <rPr>
        <sz val="12"/>
        <rFont val="Arial"/>
        <family val="2"/>
      </rPr>
      <t xml:space="preserve"> </t>
    </r>
  </si>
  <si>
    <r>
      <t xml:space="preserve">Precast household shelter </t>
    </r>
    <r>
      <rPr>
        <b/>
        <sz val="12"/>
        <rFont val="Arial"/>
        <family val="2"/>
      </rPr>
      <t>(≥ 65%)</t>
    </r>
    <r>
      <rPr>
        <sz val="12"/>
        <rFont val="Arial"/>
        <family val="2"/>
      </rPr>
      <t xml:space="preserve"> (See Note A.4)
</t>
    </r>
    <r>
      <rPr>
        <b/>
        <sz val="12"/>
        <rFont val="Arial"/>
        <family val="2"/>
      </rPr>
      <t/>
    </r>
  </si>
  <si>
    <t>Prefabricated Prefinished Volumetric Construction (PPVC) (See Note B.1)</t>
  </si>
  <si>
    <t>Structural steel / Hybrid system of structural steel and precast concrete (see Note B.2)</t>
  </si>
  <si>
    <t>Drywall partition for party wall / wet areas
(For Residential Non-landed projects)</t>
  </si>
  <si>
    <t>Drywall partition for other areas</t>
  </si>
  <si>
    <t>Prefabricated Kitchen Unit (PKU) accepted by Building Innovation Panel (BIP)</t>
  </si>
  <si>
    <t>e.g. To state PKU system</t>
  </si>
  <si>
    <t>17.1</t>
  </si>
  <si>
    <t>17.2</t>
  </si>
  <si>
    <t>17.3</t>
  </si>
  <si>
    <t>B1</t>
  </si>
  <si>
    <t>B2</t>
  </si>
  <si>
    <t>e.g. Innovative structural connections (See Note C.1)</t>
  </si>
  <si>
    <t>8</t>
  </si>
  <si>
    <t>1.2 x 1.9</t>
  </si>
  <si>
    <t>1.45 x 1.6</t>
  </si>
  <si>
    <t>1.25 x 2.3</t>
  </si>
  <si>
    <t>1.3 x 2.2</t>
  </si>
  <si>
    <t>1.35 x 2.1</t>
  </si>
  <si>
    <t>1.45 x 1.95</t>
  </si>
  <si>
    <t>2.0 x 2.4</t>
  </si>
  <si>
    <t>2.0 x 2.6</t>
  </si>
  <si>
    <t>0.8 x 1.5</t>
  </si>
  <si>
    <t>1.2 x 1.5</t>
  </si>
  <si>
    <t>1.2 x 1.6</t>
  </si>
  <si>
    <t>Advanced precast concrete system (APCS) - Precast slab with at least 4 of the features listed below (each with ≥ 65% coverage):</t>
  </si>
  <si>
    <t>Advanced precast concrete system (APCS):
Precast slab with at least 4 of the features listed below (each with ≥ 65% coverage):</t>
  </si>
  <si>
    <r>
      <t xml:space="preserve">Prefabricated slab and column / wall </t>
    </r>
    <r>
      <rPr>
        <u/>
        <sz val="12"/>
        <color theme="1"/>
        <rFont val="Arial"/>
        <family val="2"/>
      </rPr>
      <t>or</t>
    </r>
    <r>
      <rPr>
        <sz val="12"/>
        <color theme="1"/>
        <rFont val="Arial"/>
        <family val="2"/>
      </rPr>
      <t xml:space="preserve"> 
Prefabricated slab and beam</t>
    </r>
  </si>
  <si>
    <t>DfMA architectural wall system</t>
  </si>
  <si>
    <t>DfMA architectural finishes</t>
  </si>
  <si>
    <t>Prefabricated &amp; prefinished wall / floor</t>
  </si>
  <si>
    <t>Area with Finishes (m2)</t>
  </si>
  <si>
    <t>% coverage (b)</t>
  </si>
  <si>
    <t>Prefabricated &amp; prefinished wall / floor / ceiling with MEP services</t>
  </si>
  <si>
    <t>Fully integrated system</t>
  </si>
  <si>
    <t>Fully integrated sub-assemblies</t>
  </si>
  <si>
    <t>Advanced prefabricated systems</t>
  </si>
  <si>
    <t>Prefabricated components</t>
  </si>
  <si>
    <t>Productive finishes</t>
  </si>
  <si>
    <t>Advanced prefab systems</t>
  </si>
  <si>
    <t>Skim coat, vinyl tiles for wall</t>
  </si>
  <si>
    <t>Prefabricated column/wall only</t>
  </si>
  <si>
    <t>Prefabricated slab only</t>
  </si>
  <si>
    <t>Prefabricated column/wall and beam</t>
  </si>
  <si>
    <t>7.1(a)</t>
  </si>
  <si>
    <t>7.1(b)</t>
  </si>
  <si>
    <t>7.1(c)</t>
  </si>
  <si>
    <t>Plastering and other finishes e.g. tiles</t>
  </si>
  <si>
    <t>Power float concrete floor, vinyl flooring, prefinished timber flooring, carpet, raised floor, engineered stone flooring finishes and wall paper</t>
  </si>
  <si>
    <r>
      <t xml:space="preserve">Large panel slab / Integrated precast components (2 elements) e.g. double bay façade wall, beam-façade wall, multi-tier column/wall
</t>
    </r>
    <r>
      <rPr>
        <b/>
        <sz val="12"/>
        <color theme="1"/>
        <rFont val="Arial"/>
        <family val="2"/>
      </rPr>
      <t>(only if points are not claimed under Item 3.2 APCS)</t>
    </r>
  </si>
  <si>
    <t>Lightweight concrete panel (See Note B.3)</t>
  </si>
  <si>
    <t>Precision blockwall (See Note B.4)</t>
  </si>
  <si>
    <t>Brickwall / blockwall (See Note B.5)</t>
  </si>
  <si>
    <t>Integrated precast components (comprising at least 2 structural / architectural elements) e.g. double bay façade wall, beam-façade wall, multi-tier column/wall, precast household shelter, precast refuse chute, prefabricated bathroom unit, prefinished façade walls, precast external wall with cast-in windows</t>
  </si>
  <si>
    <t>2.2 m x 1.7 m</t>
  </si>
  <si>
    <t>2.2 m x 2.2 m</t>
  </si>
  <si>
    <t>2.2 m x 1.5 m</t>
  </si>
  <si>
    <t>1.85 x 2.6</t>
  </si>
  <si>
    <t>1.85 x 2.8</t>
  </si>
  <si>
    <t>1.55 x 2.6</t>
  </si>
  <si>
    <t>1.75 x 1.85</t>
  </si>
  <si>
    <t>1.75 x 2.05</t>
  </si>
  <si>
    <t>1.75 x 2.25</t>
  </si>
  <si>
    <t>≥80 Repetitions</t>
  </si>
  <si>
    <t>70 to 79 Repetitions</t>
  </si>
  <si>
    <t>1.2 x 1.2</t>
  </si>
  <si>
    <t>Project Reference Number</t>
  </si>
  <si>
    <t>(2) The development is a public sector building project by key Government Entities (HDB, JTC, LTA, MOE, MOH, MOT, NEA, PA, SPF and SPORTSG).</t>
  </si>
  <si>
    <t>(3) The development does not fall under any of the above descriptions.</t>
  </si>
  <si>
    <t>Prefabricated &amp; prefinished wall / floor, curtain wall, glass wall partition</t>
  </si>
  <si>
    <t>Drywall partition, prefinished ceiling</t>
  </si>
  <si>
    <t>PBU</t>
  </si>
  <si>
    <t>No.</t>
  </si>
  <si>
    <t>1. Prefabrication Level (%)</t>
  </si>
  <si>
    <t>2. DfMA Level (%) - To input accordingly</t>
  </si>
  <si>
    <t>3. Use of Industry Standard Components</t>
  </si>
  <si>
    <t>Remarks</t>
  </si>
  <si>
    <t>HSS</t>
  </si>
  <si>
    <t>Select PBU size</t>
  </si>
  <si>
    <t>(b) Precast Household Shelter - 3 most common sizes</t>
  </si>
  <si>
    <t>(a) Prefabricated Bathroom Unit (PBU) - 5 most common sizes</t>
  </si>
  <si>
    <t>Precast Refuse Chute</t>
  </si>
  <si>
    <t>Others - Input size under Remarks column</t>
  </si>
  <si>
    <t>Prefabricated Pump Skid</t>
  </si>
  <si>
    <t>Select Skid size</t>
  </si>
  <si>
    <t>Select Chute size</t>
  </si>
  <si>
    <t>PART IV: OTHER INFORMATION</t>
  </si>
  <si>
    <t>Sizes (m)</t>
  </si>
  <si>
    <t>e.g. To state PPVC system</t>
  </si>
  <si>
    <t>(d) Precast Refuse Chute - most common size</t>
  </si>
  <si>
    <t>(e) Prefabricated Pump Skid - most common size</t>
  </si>
  <si>
    <t>(c) Prefabricated Kitchen Unit - 3 most common sizes</t>
  </si>
  <si>
    <t>To input internal L x W (m)</t>
  </si>
  <si>
    <t>PAS - Prefab components</t>
  </si>
  <si>
    <t>MAS - PPVC</t>
  </si>
  <si>
    <t>MAS - PBU</t>
  </si>
  <si>
    <t>MAS - Prefab MEP</t>
  </si>
  <si>
    <t>No PAS/MAS</t>
  </si>
  <si>
    <t>60 to 69 Repetitions</t>
  </si>
  <si>
    <t>50 to 59 Repetitions</t>
  </si>
  <si>
    <t>1.85 x 2.25</t>
  </si>
  <si>
    <t>13.5</t>
  </si>
  <si>
    <t>To input additional prefab level % 
if system is not listed</t>
  </si>
  <si>
    <t>To input additional prefab level %
if system is not listed</t>
  </si>
  <si>
    <t>Tiling, marble, wood flooring e.g. parquet</t>
  </si>
  <si>
    <t>Total A3 + A4 +A5</t>
  </si>
  <si>
    <t>Total B5 + B6</t>
  </si>
  <si>
    <r>
      <t xml:space="preserve">Volume </t>
    </r>
    <r>
      <rPr>
        <sz val="12"/>
        <color theme="1"/>
        <rFont val="Calibri"/>
        <family val="2"/>
      </rPr>
      <t>≥</t>
    </r>
    <r>
      <rPr>
        <sz val="12"/>
        <color theme="1"/>
        <rFont val="Arial"/>
        <family val="2"/>
      </rPr>
      <t xml:space="preserve"> 5%</t>
    </r>
  </si>
  <si>
    <t>14.3</t>
  </si>
  <si>
    <t>Windows (3 most common sizes in 1M)</t>
  </si>
  <si>
    <t>High strength concrete (at least Grade C60/75)</t>
  </si>
  <si>
    <t>MRT and Industrial</t>
  </si>
  <si>
    <t>MRT Station</t>
  </si>
  <si>
    <t>Institutional, School &amp; Others</t>
  </si>
  <si>
    <t>Public Residential (Non-Landed)</t>
  </si>
  <si>
    <t>Year</t>
  </si>
  <si>
    <t>CATEGORY OF BUILDING WORK/ DEVELOPMENT</t>
  </si>
  <si>
    <t xml:space="preserve">MINIMUM BUILDABLE DESIGN SCORE </t>
  </si>
  <si>
    <t>Private Residential (non-landed)</t>
  </si>
  <si>
    <t>Public Residential (non-landed)</t>
  </si>
  <si>
    <t>A&amp;A Works</t>
  </si>
  <si>
    <r>
      <t>5,000 m</t>
    </r>
    <r>
      <rPr>
        <b/>
        <vertAlign val="superscript"/>
        <sz val="12"/>
        <color rgb="FF000000"/>
        <rFont val="Arial"/>
        <family val="2"/>
      </rPr>
      <t xml:space="preserve">2 </t>
    </r>
    <r>
      <rPr>
        <b/>
        <sz val="12"/>
        <color rgb="FF000000"/>
        <rFont val="Arial"/>
        <family val="2"/>
      </rPr>
      <t>≤ GFA &lt; 25,000 m</t>
    </r>
    <r>
      <rPr>
        <b/>
        <vertAlign val="superscript"/>
        <sz val="12"/>
        <color rgb="FF000000"/>
        <rFont val="Arial"/>
        <family val="2"/>
      </rPr>
      <t>2</t>
    </r>
  </si>
  <si>
    <r>
      <t>GFA ≥ 25,000 m</t>
    </r>
    <r>
      <rPr>
        <b/>
        <vertAlign val="superscript"/>
        <sz val="12"/>
        <color rgb="FF000000"/>
        <rFont val="Arial"/>
        <family val="2"/>
      </rPr>
      <t>2</t>
    </r>
  </si>
  <si>
    <t>Precast slab with lattice girder reinforcement</t>
  </si>
  <si>
    <t>Design without high voids (See Note B.6)</t>
  </si>
  <si>
    <t>Design without complex form (See Note B.6)</t>
  </si>
  <si>
    <t>Repetition ≥ 35</t>
  </si>
  <si>
    <t>Horizontal design repetition of unit layouts</t>
  </si>
  <si>
    <t>Repetition of PPVC modules (See Note B.1)</t>
  </si>
  <si>
    <t>Basement</t>
  </si>
  <si>
    <t>Prefabricated MEP vertical modules</t>
  </si>
  <si>
    <t>Prefabricated MEP horizontal modules</t>
  </si>
  <si>
    <t>30 to 34 Repetitions</t>
  </si>
  <si>
    <t>Explanatory Notes</t>
  </si>
  <si>
    <t>A. Pre-requisites</t>
  </si>
  <si>
    <t>(1)</t>
  </si>
  <si>
    <r>
      <t xml:space="preserve">The use of welded mesh is mandated for all developments where cast in-situ slab has been adopted in the design. The minimum usage of welded mesh must be at least 65% of all cast in-situ slab area.
</t>
    </r>
    <r>
      <rPr>
        <b/>
        <sz val="12"/>
        <rFont val="Arial"/>
        <family val="2"/>
      </rPr>
      <t/>
    </r>
  </si>
  <si>
    <t>(2)</t>
  </si>
  <si>
    <t>Precast staircases shall come with tread width of 275mm or 300mm for all projects except industrial projects. For industrial projects, precast staircases shall come with tread width of 250mm, 275mm or 300mm.</t>
  </si>
  <si>
    <t>(3)</t>
  </si>
  <si>
    <t>For the mandatory use of drywall in all residential non-landed projects, the drywall must be used as partition wall for all internal dry areas such as between bedrooms, bedroom with living room etc, with the exception of party wall, toilet wall and kitchen wall.</t>
  </si>
  <si>
    <t>(4)</t>
  </si>
  <si>
    <t>GFA of DU (m2)</t>
  </si>
  <si>
    <t>Min. Inner Floor Area (m2)</t>
  </si>
  <si>
    <t>Wall Thickness (mm)</t>
  </si>
  <si>
    <t>250 or 300</t>
  </si>
  <si>
    <t>45 &lt; GFA ≤ 75</t>
  </si>
  <si>
    <t>75 &lt; GFA ≤ 140</t>
  </si>
  <si>
    <t>GFA &gt; 140</t>
  </si>
  <si>
    <t>(5)</t>
  </si>
  <si>
    <t>S/No</t>
  </si>
  <si>
    <t>(6)</t>
  </si>
  <si>
    <t>Outer Dimensions (m)</t>
  </si>
  <si>
    <t>Inner Dimensions (m)</t>
  </si>
  <si>
    <t>Chamfer Radius (mm)</t>
  </si>
  <si>
    <t>1.0 x 1.0</t>
  </si>
  <si>
    <t>0.9 x 0.9</t>
  </si>
  <si>
    <t>N.A</t>
  </si>
  <si>
    <t>B. DfMA System</t>
  </si>
  <si>
    <t>At least 80% of the steel reinforcement for composite slab must be welded mesh.</t>
  </si>
  <si>
    <t xml:space="preserve">Lightweight concrete panels include autoclaved lightweight concrete (ALC) panels, autoclaved aerated concrete (AAC) panels. </t>
  </si>
  <si>
    <t>Precision blocks refer to lightweight concrete blocks that have precise dimensions (± 1mm dimensional tolerance) and can be laid on thin bed adhesive mortar.</t>
  </si>
  <si>
    <t>The use of brick wall/block wall, once used, must be indicated and shown under wall system by its wall length.</t>
  </si>
  <si>
    <t>For design with simplicity, points are awarded as follows:</t>
  </si>
  <si>
    <t>Table A: Direct Points for Designs with High Voids*</t>
  </si>
  <si>
    <t>Case</t>
  </si>
  <si>
    <t>Total void height (Only those &gt; 9m)</t>
  </si>
  <si>
    <t>Total building height</t>
  </si>
  <si>
    <t>0% (no high voids)</t>
  </si>
  <si>
    <t>&gt; 0% to &lt; 10%</t>
  </si>
  <si>
    <r>
      <rPr>
        <u/>
        <sz val="12"/>
        <rFont val="Arial"/>
        <family val="2"/>
      </rPr>
      <t>&gt;</t>
    </r>
    <r>
      <rPr>
        <sz val="12"/>
        <rFont val="Arial"/>
        <family val="2"/>
      </rPr>
      <t xml:space="preserve"> 10% to &lt; 15%</t>
    </r>
  </si>
  <si>
    <r>
      <rPr>
        <u/>
        <sz val="12"/>
        <rFont val="Arial"/>
        <family val="2"/>
      </rPr>
      <t xml:space="preserve">&gt; </t>
    </r>
    <r>
      <rPr>
        <sz val="12"/>
        <rFont val="Arial"/>
        <family val="2"/>
      </rPr>
      <t>15% to &lt; 20%</t>
    </r>
  </si>
  <si>
    <r>
      <rPr>
        <u/>
        <sz val="12"/>
        <rFont val="Arial"/>
        <family val="2"/>
      </rPr>
      <t>&gt;</t>
    </r>
    <r>
      <rPr>
        <sz val="12"/>
        <rFont val="Arial"/>
        <family val="2"/>
      </rPr>
      <t xml:space="preserve"> 20%</t>
    </r>
  </si>
  <si>
    <t xml:space="preserve">*High voids refer to heights that are more than 9m.          </t>
  </si>
  <si>
    <t>*A design that does not have any void height greater than 9m throughout its building height will get a maximum 2 points.</t>
  </si>
  <si>
    <t>Table B: Direct Points for Designs with Varying Forms</t>
  </si>
  <si>
    <t xml:space="preserve">Maximum Offset </t>
  </si>
  <si>
    <t>NIL</t>
  </si>
  <si>
    <t>0 m to &lt; 1 m</t>
  </si>
  <si>
    <t>1 m to &lt; 2 m</t>
  </si>
  <si>
    <t>2 m to &lt; 3 m</t>
  </si>
  <si>
    <t>3 m to &lt; 4 m</t>
  </si>
  <si>
    <t>≥ 4 m</t>
  </si>
  <si>
    <t>less than 5%</t>
  </si>
  <si>
    <t>5% to &lt; 15%</t>
  </si>
  <si>
    <t>15% to &lt; 25%</t>
  </si>
  <si>
    <t>25% to &lt; 35%</t>
  </si>
  <si>
    <t>≥ 35%</t>
  </si>
  <si>
    <t xml:space="preserve">     Height of Building</t>
  </si>
  <si>
    <t>offset</t>
  </si>
  <si>
    <t>0 m to &lt; 15 m</t>
  </si>
  <si>
    <t>15 m to &lt; 45 m</t>
  </si>
  <si>
    <t>45 m to &lt; 90 m</t>
  </si>
  <si>
    <t>90 m to &lt; 135 m</t>
  </si>
  <si>
    <r>
      <rPr>
        <u/>
        <sz val="12"/>
        <rFont val="Arial"/>
        <family val="2"/>
      </rPr>
      <t>&gt;</t>
    </r>
    <r>
      <rPr>
        <sz val="12"/>
        <rFont val="Arial"/>
        <family val="2"/>
      </rPr>
      <t xml:space="preserve"> 135 m</t>
    </r>
  </si>
  <si>
    <t>(7)</t>
  </si>
  <si>
    <t>Master Bath</t>
  </si>
  <si>
    <t>Common Bath</t>
  </si>
  <si>
    <t>Maid / Yard Bath</t>
  </si>
  <si>
    <t>(8)</t>
  </si>
  <si>
    <t>Criteria for determining qualifying area for prefab MEP system:</t>
  </si>
  <si>
    <t>Item</t>
  </si>
  <si>
    <t>Criteria of Qualifying Areas 
(applicable to all development types)</t>
  </si>
  <si>
    <r>
      <rPr>
        <b/>
        <u/>
        <sz val="12"/>
        <rFont val="Arial"/>
        <family val="2"/>
      </rPr>
      <t xml:space="preserve">Prefabricated MEP modules integrated with structural or architectural system </t>
    </r>
    <r>
      <rPr>
        <b/>
        <sz val="12"/>
        <rFont val="Arial"/>
        <family val="2"/>
      </rPr>
      <t xml:space="preserve">
</t>
    </r>
    <r>
      <rPr>
        <sz val="12"/>
        <rFont val="Arial"/>
        <family val="2"/>
      </rPr>
      <t>e.g. Working platform / catwalk / façade / wall / ceiling / slab, etc.</t>
    </r>
  </si>
  <si>
    <t>Other areas proposed could be considered in MEP coverage subject to productivity improvement on a case-by-case basis.</t>
  </si>
  <si>
    <t>Points are awarded for the following industry standard pump skid sizes:</t>
  </si>
  <si>
    <t>S/N</t>
  </si>
  <si>
    <t>Industry Standard Prefabricated Pump Skid Sizes</t>
  </si>
  <si>
    <t>C. Innovation</t>
  </si>
  <si>
    <t>The following shows some examples of innovative technology which helps in achieving higher construction productivity:</t>
  </si>
  <si>
    <t>i.</t>
  </si>
  <si>
    <t>Fully integrated system such as Prefabricated Kitchen Unit (PKU) and Prefabricated Common Toilet (PCT)</t>
  </si>
  <si>
    <t>ii.</t>
  </si>
  <si>
    <t>Fully integrated sub-assemblies not classified in the scoring matrix</t>
  </si>
  <si>
    <t>iii.</t>
  </si>
  <si>
    <t>Prefabricated organic components  e.g. precast wavy façade</t>
  </si>
  <si>
    <t>iv.</t>
  </si>
  <si>
    <t>High-strength / lightweight materials - high strength steel reinforcement</t>
  </si>
  <si>
    <t>v.</t>
  </si>
  <si>
    <t>Innovative structural steel connections refer to those that do not require site welding and allow faster erection and easy on-site installation of steel members.</t>
  </si>
  <si>
    <t xml:space="preserve">Refer to Item 2 to 4
To consult BCA on case-by-case basis
</t>
  </si>
  <si>
    <r>
      <rPr>
        <b/>
        <sz val="12"/>
        <rFont val="Arial"/>
        <family val="2"/>
      </rPr>
      <t>Risers or service ducts comprising the following services, where available:
  a. Chilled water risers
  b. Plumbing and sanitary risers
  c. Fire fighting services, i.e. sprinkler, hose reel and
      dry/wet rising mains
  d. Electrical risers</t>
    </r>
    <r>
      <rPr>
        <sz val="12"/>
        <rFont val="Arial"/>
        <family val="2"/>
      </rPr>
      <t xml:space="preserve">
</t>
    </r>
    <r>
      <rPr>
        <i/>
        <sz val="12"/>
        <rFont val="Arial"/>
        <family val="2"/>
      </rPr>
      <t xml:space="preserve">
</t>
    </r>
    <r>
      <rPr>
        <b/>
        <i/>
        <u/>
        <sz val="12"/>
        <rFont val="Arial"/>
        <family val="2"/>
      </rPr>
      <t>Exclusions:</t>
    </r>
    <r>
      <rPr>
        <i/>
        <sz val="12"/>
        <rFont val="Arial"/>
        <family val="2"/>
      </rPr>
      <t xml:space="preserve">
1. Risers within dwelling units
2. Mechanical risers:
    a. 1 nos. pipe only; or
    b. 2 nos. pipes and any of them is ≤ 200mm in overall diameter 
3. Electrical risers with ≤ 2 components in cable containment
   system
4. Extra Low Voltage (ELV) and High Tension (HT) risers</t>
    </r>
  </si>
  <si>
    <r>
      <rPr>
        <b/>
        <sz val="12"/>
        <rFont val="Arial"/>
        <family val="2"/>
      </rPr>
      <t xml:space="preserve">All common corridor areas (including lift lobbies)
</t>
    </r>
    <r>
      <rPr>
        <sz val="12"/>
        <rFont val="Arial"/>
        <family val="2"/>
      </rPr>
      <t xml:space="preserve">
</t>
    </r>
    <r>
      <rPr>
        <b/>
        <i/>
        <u/>
        <sz val="12"/>
        <rFont val="Arial"/>
        <family val="2"/>
      </rPr>
      <t>Exclusions:</t>
    </r>
    <r>
      <rPr>
        <b/>
        <i/>
        <sz val="12"/>
        <rFont val="Arial"/>
        <family val="2"/>
      </rPr>
      <t xml:space="preserve">
</t>
    </r>
    <r>
      <rPr>
        <i/>
        <sz val="12"/>
        <rFont val="Arial"/>
        <family val="2"/>
      </rPr>
      <t>1. Floors with non-typical layout
2. Corridors with length totalling less than:
    a. 12m per floor (Residential (non-landed))
    b. 30m per floor (Other development types)
3. Corridors that only contains M&amp;E fixtures / services that are
    directly mounted to the ceiling soffit.</t>
    </r>
  </si>
  <si>
    <r>
      <rPr>
        <b/>
        <u/>
        <sz val="12"/>
        <rFont val="Arial"/>
        <family val="2"/>
      </rPr>
      <t xml:space="preserve">Vertical Modules </t>
    </r>
    <r>
      <rPr>
        <b/>
        <sz val="12"/>
        <rFont val="Arial"/>
        <family val="2"/>
      </rPr>
      <t xml:space="preserve">
</t>
    </r>
    <r>
      <rPr>
        <i/>
        <sz val="12"/>
        <rFont val="Arial"/>
        <family val="2"/>
      </rPr>
      <t xml:space="preserve">
</t>
    </r>
    <r>
      <rPr>
        <sz val="12"/>
        <rFont val="Arial"/>
        <family val="2"/>
      </rPr>
      <t xml:space="preserve">Coverage of Vertical modules (%) = Prefabricated Vertical Area (m²) ÷ Qualifying Vertical Area (m²)
</t>
    </r>
    <r>
      <rPr>
        <b/>
        <sz val="12"/>
        <rFont val="Arial"/>
        <family val="2"/>
      </rPr>
      <t xml:space="preserve">
</t>
    </r>
    <r>
      <rPr>
        <i/>
        <sz val="12"/>
        <rFont val="Arial"/>
        <family val="2"/>
      </rPr>
      <t xml:space="preserve">Where,
</t>
    </r>
    <r>
      <rPr>
        <sz val="12"/>
        <rFont val="Arial"/>
        <family val="2"/>
      </rPr>
      <t xml:space="preserve">
Prefabricated Vertical Area (m</t>
    </r>
    <r>
      <rPr>
        <vertAlign val="superscript"/>
        <sz val="12"/>
        <rFont val="Arial"/>
        <family val="2"/>
      </rPr>
      <t>²</t>
    </r>
    <r>
      <rPr>
        <sz val="12"/>
        <rFont val="Arial"/>
        <family val="2"/>
      </rPr>
      <t>) = 
Sum [</t>
    </r>
    <r>
      <rPr>
        <i/>
        <sz val="12"/>
        <rFont val="Arial"/>
        <family val="2"/>
      </rPr>
      <t xml:space="preserve">Internal wall-to-wall width of Riser(s) </t>
    </r>
    <r>
      <rPr>
        <sz val="12"/>
        <rFont val="Arial"/>
        <family val="2"/>
      </rPr>
      <t xml:space="preserve">x </t>
    </r>
    <r>
      <rPr>
        <i/>
        <sz val="12"/>
        <rFont val="Arial"/>
        <family val="2"/>
      </rPr>
      <t>Total height</t>
    </r>
    <r>
      <rPr>
        <sz val="12"/>
        <rFont val="Arial"/>
        <family val="2"/>
      </rPr>
      <t xml:space="preserve"> of </t>
    </r>
    <r>
      <rPr>
        <i/>
        <sz val="12"/>
        <rFont val="Arial"/>
        <family val="2"/>
      </rPr>
      <t>Riser(s) adopting prefabricated modules]</t>
    </r>
    <r>
      <rPr>
        <sz val="12"/>
        <rFont val="Arial"/>
        <family val="2"/>
      </rPr>
      <t xml:space="preserve">
Qualifying Vertical Area (m</t>
    </r>
    <r>
      <rPr>
        <vertAlign val="superscript"/>
        <sz val="12"/>
        <rFont val="Arial"/>
        <family val="2"/>
      </rPr>
      <t>²</t>
    </r>
    <r>
      <rPr>
        <sz val="12"/>
        <rFont val="Arial"/>
        <family val="2"/>
      </rPr>
      <t>) =
Sum [</t>
    </r>
    <r>
      <rPr>
        <i/>
        <sz val="12"/>
        <rFont val="Arial"/>
        <family val="2"/>
      </rPr>
      <t xml:space="preserve">Internal wall-to-wall width of Riser(s) </t>
    </r>
    <r>
      <rPr>
        <sz val="12"/>
        <rFont val="Arial"/>
        <family val="2"/>
      </rPr>
      <t xml:space="preserve">x </t>
    </r>
    <r>
      <rPr>
        <i/>
        <sz val="12"/>
        <rFont val="Arial"/>
        <family val="2"/>
      </rPr>
      <t>Total height of Riser(s)]</t>
    </r>
  </si>
  <si>
    <r>
      <t xml:space="preserve">The M&amp;E rooms </t>
    </r>
    <r>
      <rPr>
        <b/>
        <u/>
        <sz val="12"/>
        <rFont val="Arial"/>
        <family val="2"/>
      </rPr>
      <t>or</t>
    </r>
    <r>
      <rPr>
        <b/>
        <sz val="12"/>
        <rFont val="Arial"/>
        <family val="2"/>
      </rPr>
      <t xml:space="preserve"> skids containing the following:
  a. Potable water pumps
  b. NEWater pumps
  c. Sprinkler pumps
  d. Hosereel pumps
  e. Chilled water pumps
  f. Condenser water pumps
</t>
    </r>
    <r>
      <rPr>
        <b/>
        <i/>
        <u/>
        <sz val="12"/>
        <rFont val="Arial"/>
        <family val="2"/>
      </rPr>
      <t>Exclusions:</t>
    </r>
    <r>
      <rPr>
        <b/>
        <sz val="12"/>
        <rFont val="Arial"/>
        <family val="2"/>
      </rPr>
      <t xml:space="preserve">
</t>
    </r>
    <r>
      <rPr>
        <i/>
        <sz val="12"/>
        <rFont val="Arial"/>
        <family val="2"/>
      </rPr>
      <t>1. Nil</t>
    </r>
  </si>
  <si>
    <t>Qualified Person for Mechanical, Electrical and Plumbing Works (1)</t>
  </si>
  <si>
    <t>Qualified Person for Mechanical, Electrical and Plumbing Works (2)</t>
  </si>
  <si>
    <t>We confirm that we are the qualified persons appointed in respect of the building works herein described under Section 8(1)(a) of the Building Control Act (Cap 29).</t>
  </si>
  <si>
    <t>Indicate 'Yes'</t>
  </si>
  <si>
    <t xml:space="preserve">Default B-Score: 
80 </t>
  </si>
  <si>
    <t>Default B-Score: 
82</t>
  </si>
  <si>
    <t>To consult BCA on default B-Score</t>
  </si>
  <si>
    <t xml:space="preserve"> </t>
  </si>
  <si>
    <t>Min. B-Score (Superstructure)</t>
  </si>
  <si>
    <t>Min. B-Score (Basement)</t>
  </si>
  <si>
    <t>Yes</t>
  </si>
  <si>
    <r>
      <t xml:space="preserve">(a) We hereby declare that the buildable design score submitted herewith complies with the </t>
    </r>
    <r>
      <rPr>
        <u/>
        <sz val="12"/>
        <color theme="1"/>
        <rFont val="Arial"/>
        <family val="2"/>
      </rPr>
      <t>minimum buildable design score</t>
    </r>
    <r>
      <rPr>
        <sz val="12"/>
        <color theme="1"/>
        <rFont val="Arial"/>
        <family val="2"/>
      </rPr>
      <t xml:space="preserve"> requirement under the Building Control (Buildability and Productivity) Regulations and the computation of the buildable design score is as stated in Form BPD_BS01. We further declare that the particulars required for this submission and as stated in these forms are correct.</t>
    </r>
  </si>
  <si>
    <r>
      <t xml:space="preserve">(b) We hereby declare that we are submitting one of the </t>
    </r>
    <r>
      <rPr>
        <u/>
        <sz val="12"/>
        <color theme="1"/>
        <rFont val="Arial"/>
        <family val="2"/>
      </rPr>
      <t>outcome-based proposals</t>
    </r>
    <r>
      <rPr>
        <sz val="12"/>
        <color theme="1"/>
        <rFont val="Arial"/>
        <family val="2"/>
      </rPr>
      <t xml:space="preserve"> for the project in lieu of a buildable design score as stated in 1a above.</t>
    </r>
  </si>
  <si>
    <t>Buildability Framework 2022</t>
  </si>
  <si>
    <t>6a</t>
  </si>
  <si>
    <t>6b</t>
  </si>
  <si>
    <t>7a</t>
  </si>
  <si>
    <t>7b</t>
  </si>
  <si>
    <t>9</t>
  </si>
  <si>
    <t>Industry standard precast household shelters (See Note A.4)</t>
  </si>
  <si>
    <t>Industry Standardisation</t>
  </si>
  <si>
    <t>Modularisation and Others</t>
  </si>
  <si>
    <t>Modularisation</t>
  </si>
  <si>
    <t>Industry Standardisation and Others</t>
  </si>
  <si>
    <t>13.6</t>
  </si>
  <si>
    <t>13.7</t>
  </si>
  <si>
    <t>14.4</t>
  </si>
  <si>
    <t>1.3 x 1.75</t>
  </si>
  <si>
    <t>1.65 x 1.7</t>
  </si>
  <si>
    <t>1.25 x 2.35</t>
  </si>
  <si>
    <t>1.55 x 2.5</t>
  </si>
  <si>
    <t>1.85 x 2.7</t>
  </si>
  <si>
    <t>1.5 x 2.5</t>
  </si>
  <si>
    <t>1.6 x 2.6</t>
  </si>
  <si>
    <t>1.6 x 2.7</t>
  </si>
  <si>
    <t>1.6 x 2.8</t>
  </si>
  <si>
    <t>0.85 x 1.3</t>
  </si>
  <si>
    <t>1.2 x 2.35</t>
  </si>
  <si>
    <t>1.55 x 2.2</t>
  </si>
  <si>
    <t>Default B-Score: 
70</t>
  </si>
  <si>
    <t>Default B-Score: 
72</t>
  </si>
  <si>
    <t>Industry standard precast beam sizes for residential non-landed projects</t>
  </si>
  <si>
    <t>(9)</t>
  </si>
  <si>
    <t>(10)</t>
  </si>
  <si>
    <t>(11)</t>
  </si>
  <si>
    <t>200 x 400</t>
  </si>
  <si>
    <t>200 x 450</t>
  </si>
  <si>
    <t>250 x 500</t>
  </si>
  <si>
    <t>250 x 550</t>
  </si>
  <si>
    <t>300 x 550</t>
  </si>
  <si>
    <t>300 x 600</t>
  </si>
  <si>
    <t>1.3 x 1.7</t>
  </si>
  <si>
    <t>1.2 x 2.4</t>
  </si>
  <si>
    <t>1.8 x 2.6</t>
  </si>
  <si>
    <t>1.8 x 2.8</t>
  </si>
  <si>
    <t>1.5 x 2.4</t>
  </si>
  <si>
    <t>1.6 x 2.2</t>
  </si>
  <si>
    <t>Please select one of the options if you have indicated 'Yes' for Option (b)</t>
  </si>
  <si>
    <t>Single - Outer: 1.0 x 1.0, Inner: 0.8 x 0.8 or 0.8 diameter</t>
  </si>
  <si>
    <t>Single - Outer: 0.9 x 0.9, Inner 0.7 x 0.7 or 0.7 diameter</t>
  </si>
  <si>
    <t>Single - Outer: 0.9 x 1.2, Inner 0.65 x 0.65 or 0.65 diameter</t>
  </si>
  <si>
    <t>Single - Outer: 0.9 x 0.9, Inner 0.65 x 0.65 or 0.65 diameter</t>
  </si>
  <si>
    <t>Single - Outer: 0.8 x 1.1, Inner 0.6 x 0.6 or 0.6 diameter</t>
  </si>
  <si>
    <t>Single - Outer: 0.8 x 0.8, Inner 0.6 x 0.6 or 0.6 diameter</t>
  </si>
  <si>
    <t>Note: Sizes for master bath can also be used for common bath, and vice versa.</t>
  </si>
  <si>
    <t>Note: Precast household shelter (HS) design shall incorporate at least one hollow core in each of the four HS walls, except for 1.2m internal dimension HS wall where blast door is located. Design shall comply with prevailing Technical Requirements for Household Shelter.</t>
  </si>
  <si>
    <t>Precast beam sizes (mm)</t>
  </si>
  <si>
    <t>Industry standard PPVC modules for bedroom (internal width) for residential non-landed projects</t>
  </si>
  <si>
    <t>Precast façade/wall (length in module of 3M)</t>
  </si>
  <si>
    <t>Industry standard window (width) for residential non-landed projects</t>
  </si>
  <si>
    <t>Window (width) (mm)</t>
  </si>
  <si>
    <t>Default B-Score: 
66</t>
  </si>
  <si>
    <t>Default B-Score: 
68</t>
  </si>
  <si>
    <t>Option 1a (For residential non-landed projects with GFA ≥ 25,000m² only): 
Min. 65% Prefab Structural + Min. 80% Prefab Architectural + Min. 50% Prefab MEP + Min. 70% System Formwork</t>
  </si>
  <si>
    <t>Option 1b (For residential non-landed projects with GFA ≥ 25,000m² only): 
Min. 60% PPVC + Min. 70% System Formwork</t>
  </si>
  <si>
    <t>Option 1c (For residential non-landed projects with GFA ≥ 25,000m² only): 
Min. 50% PPVC + Min. 70% System Formwork
(for building with 5 storeys and below only)</t>
  </si>
  <si>
    <t>Option 2b (For Commercial Office projects with GFA ≥ 25,000m² only):
Min. 60% Prefab Structural + Min. 70% Prefab Architectural + Min. 50% Prefab MEP + Min. 70% System Formwork</t>
  </si>
  <si>
    <t>Option 2d (For Commercial Office projects with GFA ≥ 25,000m² only):
Min. 50% Steel/APCS/MET + Min. 70% Prefab Architectural + Min. 50% Prefab MEP + Min. 70% System Formwork</t>
  </si>
  <si>
    <t>Option 4 (For projects with GFA ≥ 25,000m² only): 
Open option (min. 25% productivity improvement from 2010's level)</t>
  </si>
  <si>
    <t xml:space="preserve"> From 30 April 2022</t>
  </si>
  <si>
    <t>For designs of residential non-landed projects that incorporate household shelters, it is mandatory to adopt a minimum of 65% for precast household shelters, of which, 60% shall be any of the following industry standard sizes. Points will be awarded only if project adopts minimum 80% industry standard precast household shelters.</t>
  </si>
  <si>
    <t>Internal Dimension (without finishes) (m)</t>
  </si>
  <si>
    <r>
      <t xml:space="preserve">GFA </t>
    </r>
    <r>
      <rPr>
        <sz val="12"/>
        <rFont val="Calibri"/>
        <family val="2"/>
      </rPr>
      <t>≤</t>
    </r>
    <r>
      <rPr>
        <sz val="12"/>
        <rFont val="Arial"/>
        <family val="2"/>
      </rPr>
      <t xml:space="preserve"> 40</t>
    </r>
  </si>
  <si>
    <t>Internal Dimensions of Industry Standard Prefabricated Bathroom Units (without finishes) (m)</t>
  </si>
  <si>
    <t>All residential non-landed projects are to adopt a minimum of 80% for precast refuse chutes in one of the sizes below. For precast refuse dual chutes, any of the following inner dimensions can be adopted with wall thickness of 100mm, 150mm or 200mm.</t>
  </si>
  <si>
    <r>
      <t xml:space="preserve">0.9 x 0.9 </t>
    </r>
    <r>
      <rPr>
        <u/>
        <sz val="12"/>
        <rFont val="Arial"/>
        <family val="2"/>
      </rPr>
      <t>or</t>
    </r>
    <r>
      <rPr>
        <sz val="12"/>
        <rFont val="Arial"/>
        <family val="2"/>
      </rPr>
      <t xml:space="preserve"> 0.9 x 1.2</t>
    </r>
  </si>
  <si>
    <r>
      <t xml:space="preserve">0.8 x 0.8 </t>
    </r>
    <r>
      <rPr>
        <u/>
        <sz val="12"/>
        <rFont val="Arial"/>
        <family val="2"/>
      </rPr>
      <t>or</t>
    </r>
    <r>
      <rPr>
        <sz val="12"/>
        <rFont val="Arial"/>
        <family val="2"/>
      </rPr>
      <t xml:space="preserve"> 0.8 x 1.1</t>
    </r>
  </si>
  <si>
    <r>
      <t xml:space="preserve">*Direct points to be given based on </t>
    </r>
    <r>
      <rPr>
        <b/>
        <sz val="12"/>
        <rFont val="Arial"/>
        <family val="2"/>
      </rPr>
      <t>worse scenario</t>
    </r>
    <r>
      <rPr>
        <sz val="12"/>
        <rFont val="Arial"/>
        <family val="2"/>
      </rPr>
      <t xml:space="preserve"> of the two i.e. </t>
    </r>
    <r>
      <rPr>
        <u/>
        <sz val="12"/>
        <rFont val="Arial"/>
        <family val="2"/>
      </rPr>
      <t>Maximum Offset</t>
    </r>
    <r>
      <rPr>
        <sz val="12"/>
        <rFont val="Arial"/>
        <family val="2"/>
      </rPr>
      <t xml:space="preserve"> OR </t>
    </r>
    <r>
      <rPr>
        <u/>
        <sz val="12"/>
        <rFont val="Arial"/>
        <family val="2"/>
      </rPr>
      <t>% of offset floors</t>
    </r>
    <r>
      <rPr>
        <sz val="12"/>
        <rFont val="Arial"/>
        <family val="2"/>
      </rPr>
      <t xml:space="preserve"> (% of floors with offset /no. of floors)</t>
    </r>
  </si>
  <si>
    <r>
      <rPr>
        <b/>
        <u/>
        <sz val="12"/>
        <rFont val="Arial"/>
        <family val="2"/>
      </rPr>
      <t>Horizontal Modules</t>
    </r>
    <r>
      <rPr>
        <sz val="12"/>
        <rFont val="Arial"/>
        <family val="2"/>
      </rPr>
      <t xml:space="preserve">
Coverage of Horizontal modules (%) = Prefabricated Horizontal Area (m²) ÷ Qualifying Horizontal Area (m²)
</t>
    </r>
    <r>
      <rPr>
        <i/>
        <sz val="12"/>
        <rFont val="Arial"/>
        <family val="2"/>
      </rPr>
      <t xml:space="preserve">Where,
</t>
    </r>
    <r>
      <rPr>
        <sz val="12"/>
        <rFont val="Arial"/>
        <family val="2"/>
      </rPr>
      <t xml:space="preserve">
Prefabricated Horizontal Area (m²) = 
Sum [</t>
    </r>
    <r>
      <rPr>
        <i/>
        <sz val="12"/>
        <rFont val="Arial"/>
        <family val="2"/>
      </rPr>
      <t xml:space="preserve">Internal wall-to-wall width of Corridor(s) </t>
    </r>
    <r>
      <rPr>
        <sz val="12"/>
        <rFont val="Arial"/>
        <family val="2"/>
      </rPr>
      <t xml:space="preserve">x </t>
    </r>
    <r>
      <rPr>
        <i/>
        <sz val="12"/>
        <rFont val="Arial"/>
        <family val="2"/>
      </rPr>
      <t>Total length of the Corridor(s) adopting prefabricated modules]</t>
    </r>
    <r>
      <rPr>
        <sz val="12"/>
        <rFont val="Arial"/>
        <family val="2"/>
      </rPr>
      <t xml:space="preserve">
Qualifying Area (m²) = 
Sum [</t>
    </r>
    <r>
      <rPr>
        <i/>
        <sz val="12"/>
        <rFont val="Arial"/>
        <family val="2"/>
      </rPr>
      <t xml:space="preserve">Internal wall-to-wall width of Corridor(s) </t>
    </r>
    <r>
      <rPr>
        <sz val="12"/>
        <rFont val="Arial"/>
        <family val="2"/>
      </rPr>
      <t>x</t>
    </r>
    <r>
      <rPr>
        <i/>
        <sz val="12"/>
        <rFont val="Arial"/>
        <family val="2"/>
      </rPr>
      <t xml:space="preserve"> Total length of the Corridor(s)]
Notes:
1. Up to 35% of the length of the corridor (counted in prefabricated horizontal area) will be allowed on site to account for junctions, bends and module connections.(i.e. total plan area of all modules is at least 65% of qualifying horizontal area)</t>
    </r>
  </si>
  <si>
    <r>
      <rPr>
        <b/>
        <u/>
        <sz val="12"/>
        <rFont val="Arial"/>
        <family val="2"/>
      </rPr>
      <t>Plant Modules</t>
    </r>
    <r>
      <rPr>
        <b/>
        <sz val="12"/>
        <rFont val="Arial"/>
        <family val="2"/>
      </rPr>
      <t xml:space="preserve">
</t>
    </r>
    <r>
      <rPr>
        <sz val="12"/>
        <rFont val="Arial"/>
        <family val="2"/>
      </rPr>
      <t xml:space="preserve">Coverage of Plant modules (%) = Prefabricated Plant Area (m²) ÷ Qualifying Plant Area (m²)
</t>
    </r>
    <r>
      <rPr>
        <i/>
        <sz val="12"/>
        <rFont val="Arial"/>
        <family val="2"/>
      </rPr>
      <t xml:space="preserve">Where,
Prefabricated Plant Area (m²) = 
Sum [Plan area of the Plant rooms </t>
    </r>
    <r>
      <rPr>
        <i/>
        <u/>
        <sz val="12"/>
        <rFont val="Arial"/>
        <family val="2"/>
      </rPr>
      <t>or</t>
    </r>
    <r>
      <rPr>
        <i/>
        <sz val="12"/>
        <rFont val="Arial"/>
        <family val="2"/>
      </rPr>
      <t xml:space="preserve"> Area of skids of prefabricated M&amp;E Equipment]
Qualifying Area (m²) = 
Sum [Plan area of the Plant rooms </t>
    </r>
    <r>
      <rPr>
        <i/>
        <u/>
        <sz val="12"/>
        <rFont val="Arial"/>
        <family val="2"/>
      </rPr>
      <t>or</t>
    </r>
    <r>
      <rPr>
        <i/>
        <sz val="12"/>
        <rFont val="Arial"/>
        <family val="2"/>
      </rPr>
      <t xml:space="preserve"> Skids in Qualifying Area]
Notes:
1. The area of plant room is considered if the pump(s) are enclosed in the plantroom. The area of skid is used if the pump(s) are not enclosed in a plantroom. 
2. For a plant room where ≥ 65% of the equipment (by nos.) is prefabricated, Prefabricated Plant Area (m²) = Plan area of the plant room (m²) 
3. For a plant room where &lt; 65% of the equipment (by nos.) is prefabricated,  Prefabricated Plant Area (m²) = Plan area of the plant room (m²)  x (Nos. of prefabricated equipment ÷ Total nos. of equipment)
</t>
    </r>
  </si>
  <si>
    <t xml:space="preserve">BUILDABILITY FRAMEWORK 2022  - CALCULATIONS OF BUILDABLE DESIGN SCORE </t>
  </si>
  <si>
    <r>
      <t xml:space="preserve">Option 2a (For Industrial </t>
    </r>
    <r>
      <rPr>
        <u/>
        <sz val="12"/>
        <color theme="1"/>
        <rFont val="Arial"/>
        <family val="2"/>
      </rPr>
      <t>or</t>
    </r>
    <r>
      <rPr>
        <sz val="12"/>
        <color theme="1"/>
        <rFont val="Arial"/>
        <family val="2"/>
      </rPr>
      <t xml:space="preserve"> Commercial projects with GFA ≥ 25,000m² only):
Min. 60% Prefab Structural + Min. 80% Prefab Architectural + Min. 50% Prefab MEP + Min. 70% System Formwork</t>
    </r>
  </si>
  <si>
    <r>
      <t xml:space="preserve">Option 2c (For Industrial </t>
    </r>
    <r>
      <rPr>
        <u/>
        <sz val="12"/>
        <color theme="1"/>
        <rFont val="Arial"/>
        <family val="2"/>
      </rPr>
      <t>or</t>
    </r>
    <r>
      <rPr>
        <sz val="12"/>
        <color theme="1"/>
        <rFont val="Arial"/>
        <family val="2"/>
      </rPr>
      <t xml:space="preserve"> Commercial projects with GFA ≥ 25,000m² only):
Min. 50% Steel/APCS/MET + Min. 80% Prefab Architectural + Min. 50% Prefab MEP + Min. 70% System Formwork</t>
    </r>
  </si>
  <si>
    <r>
      <t xml:space="preserve">Option 2e (For Industrial </t>
    </r>
    <r>
      <rPr>
        <u/>
        <sz val="12"/>
        <color theme="1"/>
        <rFont val="Arial"/>
        <family val="2"/>
      </rPr>
      <t>or</t>
    </r>
    <r>
      <rPr>
        <sz val="12"/>
        <color theme="1"/>
        <rFont val="Arial"/>
        <family val="2"/>
      </rPr>
      <t xml:space="preserve"> Commercial projects with GFA ≥ 25,000m² only):
Min. 60% PPVC + Min. 50% Prefab MEP + Min. 70% System Formwork</t>
    </r>
  </si>
  <si>
    <r>
      <t>Precast staircases</t>
    </r>
    <r>
      <rPr>
        <b/>
        <sz val="12"/>
        <rFont val="Arial"/>
        <family val="2"/>
      </rPr>
      <t xml:space="preserve"> </t>
    </r>
    <r>
      <rPr>
        <sz val="12"/>
        <rFont val="Arial"/>
        <family val="2"/>
      </rPr>
      <t>for typical storeys</t>
    </r>
    <r>
      <rPr>
        <b/>
        <sz val="12"/>
        <rFont val="Arial"/>
        <family val="2"/>
      </rPr>
      <t xml:space="preserve"> (≥ 80%) </t>
    </r>
    <r>
      <rPr>
        <sz val="12"/>
        <rFont val="Arial"/>
        <family val="2"/>
      </rPr>
      <t xml:space="preserve">(See Note A.2)
</t>
    </r>
  </si>
  <si>
    <r>
      <t xml:space="preserve">Repetition of typical floor height in module of 1.5M or 1.75M </t>
    </r>
    <r>
      <rPr>
        <b/>
        <sz val="12"/>
        <rFont val="Arial"/>
        <family val="2"/>
      </rPr>
      <t>(≥ 80%)</t>
    </r>
    <r>
      <rPr>
        <sz val="12"/>
        <rFont val="Arial"/>
        <family val="2"/>
      </rPr>
      <t xml:space="preserve">
</t>
    </r>
  </si>
  <si>
    <r>
      <t>Prefabricated and pre-insulated duct for air-conditioning system</t>
    </r>
    <r>
      <rPr>
        <b/>
        <sz val="12"/>
        <rFont val="Arial"/>
        <family val="2"/>
      </rPr>
      <t xml:space="preserve"> (≥ 65%)</t>
    </r>
    <r>
      <rPr>
        <sz val="12"/>
        <rFont val="Arial"/>
        <family val="2"/>
      </rPr>
      <t xml:space="preserve">
</t>
    </r>
  </si>
  <si>
    <r>
      <t xml:space="preserve">Industry standard precast household shelter </t>
    </r>
    <r>
      <rPr>
        <b/>
        <sz val="12"/>
        <rFont val="Arial"/>
        <family val="2"/>
      </rPr>
      <t>(≥ 60%)</t>
    </r>
    <r>
      <rPr>
        <sz val="12"/>
        <rFont val="Arial"/>
        <family val="2"/>
      </rPr>
      <t xml:space="preserve"> (See Note A.4)
</t>
    </r>
  </si>
  <si>
    <r>
      <t xml:space="preserve">Prefabricated Bathroom Unit (PBU) </t>
    </r>
    <r>
      <rPr>
        <b/>
        <sz val="12"/>
        <rFont val="Arial"/>
        <family val="2"/>
      </rPr>
      <t>(≥ 65%)</t>
    </r>
    <r>
      <rPr>
        <sz val="12"/>
        <rFont val="Arial"/>
        <family val="2"/>
      </rPr>
      <t xml:space="preserve"> (See Note A.5)
</t>
    </r>
  </si>
  <si>
    <r>
      <t xml:space="preserve">Industry standard Prefabricated Bathroom Unit (PBU) </t>
    </r>
    <r>
      <rPr>
        <b/>
        <sz val="12"/>
        <rFont val="Arial"/>
        <family val="2"/>
      </rPr>
      <t>(≥ 60%)</t>
    </r>
    <r>
      <rPr>
        <sz val="12"/>
        <rFont val="Arial"/>
        <family val="2"/>
      </rPr>
      <t xml:space="preserve"> (See Note A.5)
</t>
    </r>
  </si>
  <si>
    <r>
      <t>Industry standard door structural openings (width)</t>
    </r>
    <r>
      <rPr>
        <b/>
        <sz val="12"/>
        <rFont val="Arial"/>
        <family val="2"/>
      </rPr>
      <t xml:space="preserve"> (≥ 65%)</t>
    </r>
    <r>
      <rPr>
        <sz val="12"/>
        <rFont val="Arial"/>
        <family val="2"/>
      </rPr>
      <t xml:space="preserve"> (See Note A.6)
</t>
    </r>
  </si>
  <si>
    <r>
      <t>Industry standard precast refuse chutes</t>
    </r>
    <r>
      <rPr>
        <b/>
        <sz val="12"/>
        <rFont val="Arial"/>
        <family val="2"/>
      </rPr>
      <t xml:space="preserve"> (≥ 80%)</t>
    </r>
    <r>
      <rPr>
        <sz val="12"/>
        <rFont val="Arial"/>
        <family val="2"/>
      </rPr>
      <t xml:space="preserve"> (See Note A.7)
</t>
    </r>
  </si>
  <si>
    <t>All façade and parapet walls (Length)</t>
  </si>
  <si>
    <r>
      <t xml:space="preserve">All columns / walls
(Nos. </t>
    </r>
    <r>
      <rPr>
        <u/>
        <sz val="12"/>
        <rFont val="Arial"/>
        <family val="2"/>
      </rPr>
      <t>or</t>
    </r>
    <r>
      <rPr>
        <sz val="12"/>
        <rFont val="Arial"/>
        <family val="2"/>
      </rPr>
      <t xml:space="preserve"> Length for walls)</t>
    </r>
  </si>
  <si>
    <r>
      <t xml:space="preserve">All parapet walls / staircase
(Nos. </t>
    </r>
    <r>
      <rPr>
        <u/>
        <sz val="12"/>
        <rFont val="Arial"/>
        <family val="2"/>
      </rPr>
      <t>or</t>
    </r>
    <r>
      <rPr>
        <sz val="12"/>
        <rFont val="Arial"/>
        <family val="2"/>
      </rPr>
      <t xml:space="preserve"> Length for walls)</t>
    </r>
  </si>
  <si>
    <t>Total precast slab area (m2)</t>
  </si>
  <si>
    <t>Denominator
(within precast slab area)</t>
  </si>
  <si>
    <r>
      <t xml:space="preserve">Prefabricated slab and column / wall </t>
    </r>
    <r>
      <rPr>
        <u/>
        <sz val="12"/>
        <color theme="1"/>
        <rFont val="Arial"/>
        <family val="2"/>
      </rPr>
      <t>or</t>
    </r>
    <r>
      <rPr>
        <sz val="12"/>
        <color theme="1"/>
        <rFont val="Arial"/>
        <family val="2"/>
      </rPr>
      <t xml:space="preserve">
Prefabricated slab and beam</t>
    </r>
  </si>
  <si>
    <t>Buildability Matrix Point Allocation - COP 2022</t>
  </si>
  <si>
    <t>Prefabricated MEP plant module</t>
  </si>
  <si>
    <t xml:space="preserve">Prefabricated MEP modules integrated with structural or architectural system </t>
  </si>
  <si>
    <t>Prefabricated Bathroom Unit (PBU) (See Note A.5)</t>
  </si>
  <si>
    <r>
      <t xml:space="preserve">Precast columns (in module of 0.5M)
</t>
    </r>
    <r>
      <rPr>
        <b/>
        <sz val="12"/>
        <rFont val="Arial"/>
        <family val="2"/>
      </rPr>
      <t>(only if points are not claimed under Item 8.1)</t>
    </r>
  </si>
  <si>
    <r>
      <t xml:space="preserve">Industry standard precast beams (See Note B.7)
</t>
    </r>
    <r>
      <rPr>
        <b/>
        <sz val="12"/>
        <rFont val="Arial"/>
        <family val="2"/>
      </rPr>
      <t xml:space="preserve">(For Residential Non-landed projects only) </t>
    </r>
  </si>
  <si>
    <r>
      <t xml:space="preserve">All column / wall / façade wall / precast HS / refuse chute / bathrooms
(Nos. </t>
    </r>
    <r>
      <rPr>
        <u/>
        <sz val="12"/>
        <rFont val="Arial"/>
        <family val="2"/>
      </rPr>
      <t>or</t>
    </r>
    <r>
      <rPr>
        <sz val="12"/>
        <rFont val="Arial"/>
        <family val="2"/>
      </rPr>
      <t xml:space="preserve"> Length for walls)</t>
    </r>
  </si>
  <si>
    <t xml:space="preserve">Large precast panel slab (e.g. hollow core slabs ≥ 2.4m width, double T slabs ≥ 2.4m width, precast planks ≥ 2.4m width) </t>
  </si>
  <si>
    <t>All beams
(Nos.)</t>
  </si>
  <si>
    <t>Horizontal grids (in module of 3M)</t>
  </si>
  <si>
    <t>Dimension of PPVC modules (in module of 0.5M)</t>
  </si>
  <si>
    <t>Repetition of PBU (See Note A.5)</t>
  </si>
  <si>
    <t>Industry standard prefabricated bathroom / toilet units (See Note A.5)</t>
  </si>
  <si>
    <r>
      <t xml:space="preserve">Industry standard windows (width) (See Note B.9)
</t>
    </r>
    <r>
      <rPr>
        <b/>
        <sz val="12"/>
        <rFont val="Arial"/>
        <family val="2"/>
      </rPr>
      <t>(For Residential Non-landed projects only)</t>
    </r>
  </si>
  <si>
    <r>
      <t xml:space="preserve">Industry standard PPVC module for bedrooms (internal width) (See Note B.8)
</t>
    </r>
    <r>
      <rPr>
        <b/>
        <sz val="12"/>
        <rFont val="Arial"/>
        <family val="2"/>
      </rPr>
      <t>(For Residential Non-landed projects only)</t>
    </r>
  </si>
  <si>
    <t>DfMA MEP System (See Note B.10)</t>
  </si>
  <si>
    <t>Industry standard prefabricated pump skids</t>
  </si>
  <si>
    <r>
      <t xml:space="preserve">Prefab components / PPVC / PBU / MEP accredited under PAS / MAS
</t>
    </r>
    <r>
      <rPr>
        <b/>
        <sz val="12"/>
        <rFont val="Arial"/>
        <family val="2"/>
      </rPr>
      <t>(Not applicable for sites with mandatory PAS/MAS requirements)</t>
    </r>
  </si>
  <si>
    <t>(b) Architectural System</t>
  </si>
  <si>
    <t>Select Precast HS size</t>
  </si>
  <si>
    <t>Precast service ducts (width in module of 1.5M)</t>
  </si>
  <si>
    <t>Option 3a (For Institutional, School and Other projects with GFA ≥ 25,000m² only):
Min. 60% Prefab Structural + Min. 80% Prefab Architectural + Min. 50% Prefab MEP + Min. 70% System Formwork</t>
  </si>
  <si>
    <t>Option 3b (For Institutional, School and Other projects with GFA ≥ 25,000m² only):
Min. 50% Steel/APCS/MET + Min. 80% Prefab Architectural + Min. 50% Prefab MEP + Min. 70% System Formwork</t>
  </si>
  <si>
    <t>Option 3c (For Institutional, School and Other projects with GFA ≥ 25,000m² only):
Min. 60% PPVC + Min. 50% Prefab MEP + Min. 70% System Formwork</t>
  </si>
  <si>
    <t>PPVC modules for bedroom (internal width w/o finishes) (mm)</t>
  </si>
  <si>
    <t>Mechanical connection for precast beam (e.g. telescopic beam connector, grouted sleeves) / Integrated prefabricated column and beam junction (e.g. Lotus-Root system, slim floor system e.g. Deltabeam)</t>
  </si>
  <si>
    <r>
      <t xml:space="preserve">All parapet walls / staircases
(Nos. </t>
    </r>
    <r>
      <rPr>
        <u/>
        <sz val="12"/>
        <rFont val="Arial"/>
        <family val="2"/>
      </rPr>
      <t>or</t>
    </r>
    <r>
      <rPr>
        <sz val="12"/>
        <rFont val="Arial"/>
        <family val="2"/>
      </rPr>
      <t xml:space="preserve"> Length for walls)</t>
    </r>
  </si>
  <si>
    <r>
      <t xml:space="preserve">All columns / walls / façade walls / HS / refuse chutes / bathrooms
(Nos. </t>
    </r>
    <r>
      <rPr>
        <u/>
        <sz val="12"/>
        <rFont val="Arial"/>
        <family val="2"/>
      </rPr>
      <t>or</t>
    </r>
    <r>
      <rPr>
        <sz val="12"/>
        <rFont val="Arial"/>
        <family val="2"/>
      </rPr>
      <t xml:space="preserve"> Length for walls)</t>
    </r>
  </si>
  <si>
    <t>Integrated precast components (comprising at least 2 structural / architectural elements) e.g. double bay façade wall, beam-façade wall, multi-tier column/wall, precast household shelter (HS), precast refuse chute, prefabricated bathroom unit, prefinished façade walls, precast external wall with cast-in windows</t>
  </si>
  <si>
    <t>(2a)</t>
  </si>
  <si>
    <t>(2b)</t>
  </si>
  <si>
    <t>Coverage for prefabricated reinforcement cages shall be computed based on total number of cast in-situ components. Points awarded for the use of prefabricated cages in cast in-situ walls can include staircase storey shelter walls with welded mesh at the outer face of its external walls and loose reinforcing bars for the remaining faces of the walls.</t>
  </si>
  <si>
    <r>
      <t xml:space="preserve">0.8 x 0.8 </t>
    </r>
    <r>
      <rPr>
        <u/>
        <sz val="12"/>
        <rFont val="Arial"/>
        <family val="2"/>
      </rPr>
      <t>or</t>
    </r>
    <r>
      <rPr>
        <sz val="12"/>
        <rFont val="Arial"/>
        <family val="2"/>
      </rPr>
      <t xml:space="preserve"> 0.8 diameter</t>
    </r>
  </si>
  <si>
    <r>
      <t xml:space="preserve">0.7 x 0.7 </t>
    </r>
    <r>
      <rPr>
        <u/>
        <sz val="12"/>
        <rFont val="Arial"/>
        <family val="2"/>
      </rPr>
      <t>or</t>
    </r>
    <r>
      <rPr>
        <sz val="12"/>
        <rFont val="Arial"/>
        <family val="2"/>
      </rPr>
      <t xml:space="preserve"> 0.7 diameter</t>
    </r>
  </si>
  <si>
    <r>
      <t xml:space="preserve">0.65 x 0.65 </t>
    </r>
    <r>
      <rPr>
        <u/>
        <sz val="12"/>
        <rFont val="Arial"/>
        <family val="2"/>
      </rPr>
      <t>or</t>
    </r>
    <r>
      <rPr>
        <sz val="12"/>
        <rFont val="Arial"/>
        <family val="2"/>
      </rPr>
      <t xml:space="preserve"> 0.65 diameter</t>
    </r>
  </si>
  <si>
    <r>
      <t xml:space="preserve">0.6 x 0.6 </t>
    </r>
    <r>
      <rPr>
        <u/>
        <sz val="12"/>
        <rFont val="Arial"/>
        <family val="2"/>
      </rPr>
      <t xml:space="preserve">or </t>
    </r>
    <r>
      <rPr>
        <sz val="12"/>
        <rFont val="Arial"/>
        <family val="2"/>
      </rPr>
      <t xml:space="preserve">
0.6 diameter (only applicable to PWCS)</t>
    </r>
  </si>
  <si>
    <t>PWCS: Pneumatic Waste Conveyance System</t>
  </si>
  <si>
    <t>Structural steel / Hybrid system of structural steel and precast concrete (see Note B.2a)</t>
  </si>
  <si>
    <t>Prefabricated reinforcement cages for wall (see Note B.2b)</t>
  </si>
  <si>
    <t>Large format tiles (larger than 600mm x 600mm)</t>
  </si>
  <si>
    <t>13.8</t>
  </si>
  <si>
    <t>All residential non-landed projects are to adopt a minimum of 65% Prefabricated Bathroom Units (PBU), of which 60% shall be any of the following industry standard size. PBU has to be accredited under the PBU Manufacturer Accreditation Scheme (MAS). Points will be awarded only if project adopts minimum 80% industry standard PBU.</t>
  </si>
  <si>
    <t>The Prefabricated Prefinished Volumetric Construction (PPVC) system has to be accredited under the PPVC Manufacturer Accreditation Scheme (MAS).</t>
  </si>
  <si>
    <t>Prefabricated reinforcement cages for column (see Note B.2b)</t>
  </si>
  <si>
    <t>Prefabricated reinforcement cages for beam (see Note B.2b)</t>
  </si>
  <si>
    <r>
      <t xml:space="preserve">Industry standard door structural openings (3 most common sizes in 0.5M) 
</t>
    </r>
    <r>
      <rPr>
        <b/>
        <sz val="12"/>
        <rFont val="Arial"/>
        <family val="2"/>
      </rPr>
      <t>(All projects excluding Residential Non-landed)</t>
    </r>
    <r>
      <rPr>
        <sz val="12"/>
        <rFont val="Arial"/>
        <family val="2"/>
      </rPr>
      <t xml:space="preserve"> (See Note A.6)</t>
    </r>
  </si>
  <si>
    <t>All residential non-landed projects to adopt a minimum of 65% for industry standard door structural opening (up to 3 sizes). Points will be awarded only if non-residential non-landed project adopts minimum 65% industry standard door structural opening (up to 3 sizes).</t>
  </si>
  <si>
    <t>Industry Standard Door Structural Opening (Width) (mm)</t>
  </si>
  <si>
    <r>
      <t>(1) The development is on State land which is sold under the Government Land Sales (GLS) / Industrial Government Land Sales (IGLS) programme</t>
    </r>
    <r>
      <rPr>
        <b/>
        <sz val="12"/>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</si>
</sst>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quot; Repetitions&quot;"/>
  </numFmts>
  <fonts count="39">
    <font>
      <sz val="11"/>
      <color theme="1"/>
      <name val="Calibri"/>
      <family val="2"/>
      <scheme val="minor"/>
    </font>
    <font>
      <b/>
      <sz val="14"/>
      <color rgb="FFFFFFFF"/>
      <name val="Arial"/>
      <family val="2"/>
    </font>
    <font>
      <sz val="14"/>
      <color rgb="FF000000"/>
      <name val="Arial"/>
      <family val="2"/>
    </font>
    <font>
      <sz val="14"/>
      <color rgb="FFFFFFFF"/>
      <name val="Arial"/>
      <family val="2"/>
    </font>
    <font>
      <sz val="14"/>
      <name val="Arial"/>
      <family val="2"/>
    </font>
    <font>
      <b/>
      <sz val="12"/>
      <color theme="1"/>
      <name val="Arial"/>
      <family val="2"/>
    </font>
    <font>
      <sz val="12"/>
      <color theme="1"/>
      <name val="Arial"/>
      <family val="2"/>
    </font>
    <font>
      <sz val="12"/>
      <color rgb="FF0000FF"/>
      <name val="Arial"/>
      <family val="2"/>
    </font>
    <font>
      <i/>
      <sz val="12"/>
      <color theme="1"/>
      <name val="Arial"/>
      <family val="2"/>
    </font>
    <font>
      <sz val="12"/>
      <name val="Arial"/>
      <family val="2"/>
    </font>
    <font>
      <b/>
      <sz val="12"/>
      <color rgb="FF0000FF"/>
      <name val="Arial"/>
      <family val="2"/>
    </font>
    <font>
      <b/>
      <sz val="12"/>
      <name val="Arial"/>
      <family val="2"/>
    </font>
    <font>
      <u/>
      <sz val="12"/>
      <color rgb="FFFF0000"/>
      <name val="Arial"/>
      <family val="2"/>
    </font>
    <font>
      <sz val="12"/>
      <color rgb="FFFF0000"/>
      <name val="Arial"/>
      <family val="2"/>
    </font>
    <font>
      <u/>
      <sz val="12"/>
      <color rgb="FF002060"/>
      <name val="Arial"/>
      <family val="2"/>
    </font>
    <font>
      <sz val="12"/>
      <color rgb="FF002060"/>
      <name val="Arial"/>
      <family val="2"/>
    </font>
    <font>
      <b/>
      <u/>
      <sz val="12"/>
      <color theme="1"/>
      <name val="Arial"/>
      <family val="2"/>
    </font>
    <font>
      <sz val="10"/>
      <name val="Geneva"/>
      <family val="2"/>
    </font>
    <font>
      <sz val="12"/>
      <color rgb="FF000000"/>
      <name val="Arial"/>
      <family val="2"/>
    </font>
    <font>
      <b/>
      <sz val="14"/>
      <name val="Arial"/>
      <family val="2"/>
    </font>
    <font>
      <b/>
      <sz val="12"/>
      <color rgb="FF000000"/>
      <name val="Arial"/>
      <family val="2"/>
    </font>
    <font>
      <b/>
      <sz val="16"/>
      <color theme="1"/>
      <name val="Arial"/>
      <family val="2"/>
    </font>
    <font>
      <sz val="11"/>
      <color theme="1"/>
      <name val="Calibri"/>
      <family val="2"/>
    </font>
    <font>
      <u/>
      <sz val="12"/>
      <color theme="1"/>
      <name val="Arial"/>
      <family val="2"/>
    </font>
    <font>
      <b/>
      <i/>
      <sz val="12"/>
      <name val="Arial"/>
      <family val="2"/>
    </font>
    <font>
      <sz val="12"/>
      <color theme="1"/>
      <name val="Calibri"/>
      <family val="2"/>
    </font>
    <font>
      <sz val="14"/>
      <color theme="1"/>
      <name val="Arial"/>
      <family val="2"/>
    </font>
    <font>
      <b/>
      <vertAlign val="superscript"/>
      <sz val="12"/>
      <color rgb="FF000000"/>
      <name val="Arial"/>
      <family val="2"/>
    </font>
    <font>
      <b/>
      <u/>
      <sz val="12"/>
      <name val="Arial"/>
      <family val="2"/>
    </font>
    <font>
      <u/>
      <sz val="12"/>
      <name val="Arial"/>
      <family val="2"/>
    </font>
    <font>
      <i/>
      <sz val="12"/>
      <name val="Arial"/>
      <family val="2"/>
    </font>
    <font>
      <vertAlign val="superscript"/>
      <sz val="12"/>
      <name val="Arial"/>
      <family val="2"/>
    </font>
    <font>
      <b/>
      <i/>
      <u/>
      <sz val="12"/>
      <name val="Arial"/>
      <family val="2"/>
    </font>
    <font>
      <i/>
      <u/>
      <sz val="12"/>
      <name val="Arial"/>
      <family val="2"/>
    </font>
    <font>
      <sz val="11"/>
      <color theme="1"/>
      <name val="Arial"/>
      <family val="2"/>
    </font>
    <font>
      <b/>
      <u/>
      <sz val="14"/>
      <name val="Arial"/>
      <family val="2"/>
    </font>
    <font>
      <sz val="12"/>
      <name val="Calibri"/>
      <family val="2"/>
    </font>
    <font>
      <sz val="11"/>
      <name val="Calibri"/>
      <family val="2"/>
      <scheme val="minor"/>
    </font>
    <font>
      <b/>
      <sz val="11"/>
      <color theme="1"/>
      <name val="Arial"/>
      <family val="2"/>
    </font>
  </fonts>
  <fills count="29">
    <fill>
      <patternFill patternType="none"/>
    </fill>
    <fill>
      <patternFill patternType="gray125"/>
    </fill>
    <fill>
      <patternFill patternType="solid">
        <fgColor theme="5"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8" tint="0.39997558519241921"/>
        <bgColor indexed="64"/>
      </patternFill>
    </fill>
    <fill>
      <patternFill patternType="solid">
        <fgColor rgb="FF4F81BD"/>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rgb="FF00B0F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F963A3"/>
        <bgColor indexed="64"/>
      </patternFill>
    </fill>
    <fill>
      <patternFill patternType="solid">
        <fgColor rgb="FFFCBAD6"/>
        <bgColor indexed="64"/>
      </patternFill>
    </fill>
    <fill>
      <patternFill patternType="solid">
        <fgColor theme="0"/>
        <bgColor indexed="64"/>
      </patternFill>
    </fill>
    <fill>
      <patternFill patternType="solid">
        <fgColor rgb="FFFF8047"/>
        <bgColor indexed="64"/>
      </patternFill>
    </fill>
    <fill>
      <patternFill patternType="solid">
        <fgColor rgb="FF0D0D0D"/>
        <bgColor rgb="FF000000"/>
      </patternFill>
    </fill>
    <fill>
      <patternFill patternType="solid">
        <fgColor rgb="FFBDD7EE"/>
        <bgColor rgb="FF000000"/>
      </patternFill>
    </fill>
    <fill>
      <patternFill patternType="solid">
        <fgColor rgb="FFFFFF00"/>
        <bgColor rgb="FF000000"/>
      </patternFill>
    </fill>
    <fill>
      <patternFill patternType="solid">
        <fgColor rgb="FFFFC000"/>
        <bgColor rgb="FF000000"/>
      </patternFill>
    </fill>
    <fill>
      <patternFill patternType="solid">
        <fgColor rgb="FFFFFFFF"/>
        <bgColor rgb="FF000000"/>
      </patternFill>
    </fill>
    <fill>
      <patternFill patternType="solid">
        <fgColor rgb="FFA6A6A6"/>
        <bgColor rgb="FF000000"/>
      </patternFill>
    </fill>
    <fill>
      <patternFill patternType="solid">
        <fgColor rgb="FFCCFFFF"/>
        <bgColor indexed="64"/>
      </patternFill>
    </fill>
    <fill>
      <patternFill patternType="solid">
        <fgColor theme="7"/>
        <bgColor indexed="64"/>
      </patternFill>
    </fill>
    <fill>
      <patternFill patternType="solid">
        <fgColor theme="8" tint="0.59999389629810485"/>
        <bgColor indexed="64"/>
      </patternFill>
    </fill>
  </fills>
  <borders count="5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xf numFmtId="0" fontId="17" fillId="0" borderId="0"/>
  </cellStyleXfs>
  <cellXfs count="985">
    <xf numFmtId="0" fontId="0" fillId="0" borderId="0" xfId="0"/>
    <xf numFmtId="9" fontId="4" fillId="0" borderId="0" xfId="0" applyNumberFormat="1" applyFont="1" applyAlignment="1">
      <alignment horizontal="center" vertical="center" readingOrder="1"/>
    </xf>
    <xf numFmtId="9" fontId="2" fillId="0" borderId="0" xfId="0" applyNumberFormat="1" applyFont="1" applyAlignment="1">
      <alignment horizontal="center" vertical="center" wrapText="1" readingOrder="1"/>
    </xf>
    <xf numFmtId="0" fontId="6" fillId="0" borderId="0" xfId="0" applyFont="1"/>
    <xf numFmtId="0" fontId="6" fillId="0" borderId="0" xfId="0" applyFont="1" applyAlignment="1">
      <alignment vertical="center"/>
    </xf>
    <xf numFmtId="0" fontId="6" fillId="0" borderId="3" xfId="0" applyFont="1" applyBorder="1" applyAlignment="1">
      <alignment horizontal="center" vertical="center"/>
    </xf>
    <xf numFmtId="0" fontId="9" fillId="8" borderId="0" xfId="0" applyFont="1" applyFill="1" applyAlignment="1">
      <alignment horizontal="left" vertical="center" wrapText="1" readingOrder="1"/>
    </xf>
    <xf numFmtId="2" fontId="5" fillId="9" borderId="10" xfId="0" applyNumberFormat="1" applyFont="1" applyFill="1" applyBorder="1" applyAlignment="1">
      <alignment horizontal="left" vertical="center"/>
    </xf>
    <xf numFmtId="2" fontId="6" fillId="14" borderId="10" xfId="0" applyNumberFormat="1" applyFont="1" applyFill="1" applyBorder="1" applyAlignment="1">
      <alignment horizontal="center" vertical="center"/>
    </xf>
    <xf numFmtId="2" fontId="9" fillId="0" borderId="3" xfId="0" applyNumberFormat="1" applyFont="1" applyBorder="1" applyAlignment="1">
      <alignment horizontal="center" vertical="center"/>
    </xf>
    <xf numFmtId="0" fontId="6" fillId="0" borderId="0" xfId="0" applyFont="1" applyAlignment="1">
      <alignment horizontal="center" vertical="center"/>
    </xf>
    <xf numFmtId="0" fontId="15" fillId="0" borderId="0" xfId="0" applyFont="1" applyAlignment="1">
      <alignment vertical="top"/>
    </xf>
    <xf numFmtId="0" fontId="11" fillId="10" borderId="15" xfId="0" applyFont="1" applyFill="1" applyBorder="1" applyAlignment="1">
      <alignment horizontal="left" vertical="center"/>
    </xf>
    <xf numFmtId="0" fontId="11" fillId="10" borderId="16" xfId="0" applyFont="1" applyFill="1" applyBorder="1" applyAlignment="1">
      <alignment horizontal="center" vertical="center"/>
    </xf>
    <xf numFmtId="0" fontId="11" fillId="10" borderId="17" xfId="0" applyFont="1" applyFill="1" applyBorder="1" applyAlignment="1">
      <alignment horizontal="center" vertical="center"/>
    </xf>
    <xf numFmtId="0" fontId="5" fillId="10" borderId="15" xfId="0" applyFont="1" applyFill="1" applyBorder="1" applyAlignment="1">
      <alignment horizontal="left" vertical="center"/>
    </xf>
    <xf numFmtId="0" fontId="5" fillId="10" borderId="16" xfId="0" applyFont="1" applyFill="1" applyBorder="1" applyAlignment="1">
      <alignment horizontal="center" vertical="center"/>
    </xf>
    <xf numFmtId="0" fontId="5" fillId="10" borderId="17" xfId="0" applyFont="1" applyFill="1" applyBorder="1" applyAlignment="1">
      <alignment horizontal="center" vertical="center"/>
    </xf>
    <xf numFmtId="0" fontId="5" fillId="0" borderId="28" xfId="0" applyFont="1" applyBorder="1" applyAlignment="1">
      <alignment horizontal="right"/>
    </xf>
    <xf numFmtId="1" fontId="5" fillId="6" borderId="27" xfId="0" applyNumberFormat="1" applyFont="1" applyFill="1" applyBorder="1" applyAlignment="1">
      <alignment horizontal="center" vertical="center"/>
    </xf>
    <xf numFmtId="2" fontId="6" fillId="0" borderId="3" xfId="0" applyNumberFormat="1" applyFont="1" applyBorder="1" applyAlignment="1">
      <alignment horizontal="center" vertical="center"/>
    </xf>
    <xf numFmtId="9" fontId="5" fillId="6" borderId="3" xfId="0" applyNumberFormat="1" applyFont="1" applyFill="1" applyBorder="1" applyAlignment="1">
      <alignment horizontal="center" vertical="center"/>
    </xf>
    <xf numFmtId="10" fontId="6" fillId="14" borderId="10" xfId="0" applyNumberFormat="1" applyFont="1" applyFill="1" applyBorder="1" applyAlignment="1">
      <alignment horizontal="center" vertical="center"/>
    </xf>
    <xf numFmtId="10" fontId="5" fillId="14" borderId="10" xfId="0" applyNumberFormat="1" applyFont="1" applyFill="1" applyBorder="1" applyAlignment="1">
      <alignment horizontal="center" vertical="center" wrapText="1"/>
    </xf>
    <xf numFmtId="10" fontId="5" fillId="9" borderId="10" xfId="0" applyNumberFormat="1" applyFont="1" applyFill="1" applyBorder="1" applyAlignment="1">
      <alignment horizontal="center" vertical="center"/>
    </xf>
    <xf numFmtId="10" fontId="5" fillId="0" borderId="3" xfId="0" applyNumberFormat="1" applyFont="1" applyBorder="1" applyAlignment="1">
      <alignment horizontal="center" vertical="center"/>
    </xf>
    <xf numFmtId="2" fontId="5" fillId="0" borderId="3" xfId="0" applyNumberFormat="1" applyFont="1" applyBorder="1" applyAlignment="1">
      <alignment horizontal="center" vertical="center"/>
    </xf>
    <xf numFmtId="10" fontId="6" fillId="5" borderId="5" xfId="0" applyNumberFormat="1" applyFont="1" applyFill="1" applyBorder="1" applyAlignment="1" applyProtection="1">
      <alignment horizontal="center" vertical="center"/>
      <protection locked="0"/>
    </xf>
    <xf numFmtId="10" fontId="6" fillId="5" borderId="8" xfId="0" applyNumberFormat="1" applyFont="1" applyFill="1" applyBorder="1" applyAlignment="1" applyProtection="1">
      <alignment horizontal="center" vertical="center"/>
      <protection locked="0"/>
    </xf>
    <xf numFmtId="0" fontId="6" fillId="0" borderId="0" xfId="0" applyFont="1" applyAlignment="1">
      <alignment vertical="top"/>
    </xf>
    <xf numFmtId="10" fontId="9" fillId="5" borderId="3" xfId="0" applyNumberFormat="1" applyFont="1" applyFill="1" applyBorder="1" applyAlignment="1" applyProtection="1">
      <alignment horizontal="center" vertical="center"/>
      <protection locked="0"/>
    </xf>
    <xf numFmtId="10" fontId="6" fillId="0" borderId="3" xfId="0" applyNumberFormat="1" applyFont="1" applyBorder="1" applyAlignment="1">
      <alignment horizontal="center" vertical="center"/>
    </xf>
    <xf numFmtId="0" fontId="6" fillId="4" borderId="10" xfId="0" applyFont="1" applyFill="1" applyBorder="1" applyAlignment="1">
      <alignment horizontal="center" vertical="center"/>
    </xf>
    <xf numFmtId="2" fontId="6" fillId="4" borderId="10" xfId="0" applyNumberFormat="1" applyFont="1" applyFill="1" applyBorder="1" applyAlignment="1">
      <alignment horizontal="center" vertical="center"/>
    </xf>
    <xf numFmtId="10" fontId="6" fillId="4" borderId="10" xfId="0" applyNumberFormat="1" applyFont="1" applyFill="1" applyBorder="1" applyAlignment="1">
      <alignment horizontal="center" vertical="center"/>
    </xf>
    <xf numFmtId="2" fontId="6" fillId="4" borderId="10" xfId="0" applyNumberFormat="1" applyFont="1" applyFill="1" applyBorder="1" applyAlignment="1">
      <alignment horizontal="left" vertical="center"/>
    </xf>
    <xf numFmtId="2" fontId="5" fillId="14" borderId="10" xfId="0" applyNumberFormat="1" applyFont="1" applyFill="1" applyBorder="1" applyAlignment="1">
      <alignment horizontal="center" vertical="center" wrapText="1"/>
    </xf>
    <xf numFmtId="2" fontId="6" fillId="5" borderId="4" xfId="0" applyNumberFormat="1" applyFont="1" applyFill="1" applyBorder="1" applyAlignment="1" applyProtection="1">
      <alignment horizontal="center" vertical="center"/>
      <protection locked="0"/>
    </xf>
    <xf numFmtId="2" fontId="6" fillId="5" borderId="7" xfId="0" applyNumberFormat="1" applyFont="1" applyFill="1" applyBorder="1" applyAlignment="1" applyProtection="1">
      <alignment horizontal="center" vertical="center"/>
      <protection locked="0"/>
    </xf>
    <xf numFmtId="0" fontId="5" fillId="14" borderId="8" xfId="0" applyFont="1" applyFill="1" applyBorder="1" applyAlignment="1">
      <alignment horizontal="left" vertical="top"/>
    </xf>
    <xf numFmtId="0" fontId="5" fillId="14" borderId="10" xfId="0" applyFont="1" applyFill="1" applyBorder="1" applyAlignment="1">
      <alignment vertical="top"/>
    </xf>
    <xf numFmtId="0" fontId="5" fillId="14" borderId="9" xfId="0" applyFont="1" applyFill="1" applyBorder="1" applyAlignment="1">
      <alignment vertical="top"/>
    </xf>
    <xf numFmtId="0" fontId="5" fillId="14" borderId="3" xfId="0" applyFont="1" applyFill="1" applyBorder="1" applyAlignment="1">
      <alignment horizontal="center" vertical="top" wrapText="1"/>
    </xf>
    <xf numFmtId="0" fontId="9" fillId="0" borderId="0" xfId="0" applyFont="1" applyAlignment="1">
      <alignment horizontal="left" vertical="top" wrapText="1"/>
    </xf>
    <xf numFmtId="0" fontId="6" fillId="0" borderId="0" xfId="0" applyFont="1" applyAlignment="1">
      <alignment vertical="top" wrapText="1"/>
    </xf>
    <xf numFmtId="0" fontId="5" fillId="9" borderId="8" xfId="0" applyFont="1" applyFill="1" applyBorder="1" applyAlignment="1">
      <alignment horizontal="left" vertical="top"/>
    </xf>
    <xf numFmtId="0" fontId="5" fillId="9" borderId="10" xfId="0" applyFont="1" applyFill="1" applyBorder="1" applyAlignment="1">
      <alignment vertical="top"/>
    </xf>
    <xf numFmtId="0" fontId="5" fillId="9" borderId="10" xfId="0" applyFont="1" applyFill="1" applyBorder="1" applyAlignment="1">
      <alignment horizontal="center" vertical="top" wrapText="1"/>
    </xf>
    <xf numFmtId="0" fontId="6" fillId="14" borderId="10" xfId="0" applyFont="1" applyFill="1" applyBorder="1" applyAlignment="1">
      <alignment vertical="top"/>
    </xf>
    <xf numFmtId="0" fontId="5" fillId="14" borderId="10" xfId="0" applyFont="1" applyFill="1" applyBorder="1" applyAlignment="1">
      <alignment horizontal="center" vertical="top"/>
    </xf>
    <xf numFmtId="2" fontId="7" fillId="14" borderId="10" xfId="0" applyNumberFormat="1" applyFont="1" applyFill="1" applyBorder="1" applyAlignment="1">
      <alignment horizontal="center" vertical="top"/>
    </xf>
    <xf numFmtId="2" fontId="5" fillId="14" borderId="10" xfId="0" applyNumberFormat="1" applyFont="1" applyFill="1" applyBorder="1" applyAlignment="1">
      <alignment horizontal="center" vertical="center"/>
    </xf>
    <xf numFmtId="49" fontId="6" fillId="0" borderId="0" xfId="0" applyNumberFormat="1" applyFont="1" applyAlignment="1">
      <alignment vertical="top" wrapText="1"/>
    </xf>
    <xf numFmtId="10" fontId="9" fillId="0" borderId="3" xfId="0" applyNumberFormat="1" applyFont="1" applyBorder="1" applyAlignment="1">
      <alignment horizontal="center" vertical="center"/>
    </xf>
    <xf numFmtId="0" fontId="6" fillId="0" borderId="0" xfId="0" applyFont="1" applyAlignment="1">
      <alignment horizontal="center" vertical="top"/>
    </xf>
    <xf numFmtId="2" fontId="10" fillId="14" borderId="10" xfId="0" applyNumberFormat="1" applyFont="1" applyFill="1" applyBorder="1" applyAlignment="1">
      <alignment horizontal="center" vertical="top"/>
    </xf>
    <xf numFmtId="0" fontId="5" fillId="9" borderId="10" xfId="0" applyFont="1" applyFill="1" applyBorder="1" applyAlignment="1">
      <alignment horizontal="left" vertical="top"/>
    </xf>
    <xf numFmtId="0" fontId="6" fillId="9" borderId="10" xfId="0" applyFont="1" applyFill="1" applyBorder="1" applyAlignment="1">
      <alignment vertical="top"/>
    </xf>
    <xf numFmtId="0" fontId="6" fillId="0" borderId="0" xfId="0" applyFont="1" applyAlignment="1">
      <alignment horizontal="left" vertical="top" wrapText="1"/>
    </xf>
    <xf numFmtId="49" fontId="6" fillId="0" borderId="0" xfId="0" applyNumberFormat="1" applyFont="1" applyAlignment="1">
      <alignment horizontal="left" vertical="top" wrapText="1"/>
    </xf>
    <xf numFmtId="0" fontId="11" fillId="14" borderId="5" xfId="0" applyFont="1" applyFill="1" applyBorder="1" applyAlignment="1">
      <alignment horizontal="left" vertical="top"/>
    </xf>
    <xf numFmtId="0" fontId="13" fillId="0" borderId="0" xfId="0" applyFont="1" applyAlignment="1">
      <alignment vertical="top"/>
    </xf>
    <xf numFmtId="0" fontId="6" fillId="14" borderId="6" xfId="0" applyFont="1" applyFill="1" applyBorder="1" applyAlignment="1">
      <alignment vertical="top"/>
    </xf>
    <xf numFmtId="0" fontId="12" fillId="0" borderId="0" xfId="0" applyFont="1" applyAlignment="1">
      <alignment vertical="top"/>
    </xf>
    <xf numFmtId="0" fontId="5" fillId="9" borderId="10" xfId="0" applyFont="1" applyFill="1" applyBorder="1" applyAlignment="1">
      <alignment horizontal="center" vertical="top"/>
    </xf>
    <xf numFmtId="10" fontId="6" fillId="5" borderId="3" xfId="0" applyNumberFormat="1" applyFont="1" applyFill="1" applyBorder="1" applyAlignment="1" applyProtection="1">
      <alignment horizontal="center" vertical="top"/>
      <protection locked="0"/>
    </xf>
    <xf numFmtId="0" fontId="5" fillId="9" borderId="5" xfId="0" applyFont="1" applyFill="1" applyBorder="1" applyAlignment="1">
      <alignment horizontal="left" vertical="top"/>
    </xf>
    <xf numFmtId="0" fontId="6" fillId="9" borderId="14" xfId="0" applyFont="1" applyFill="1" applyBorder="1" applyAlignment="1">
      <alignment vertical="top"/>
    </xf>
    <xf numFmtId="0" fontId="5" fillId="9" borderId="14" xfId="0" applyFont="1" applyFill="1" applyBorder="1" applyAlignment="1">
      <alignment horizontal="center" vertical="top"/>
    </xf>
    <xf numFmtId="0" fontId="5" fillId="9" borderId="14" xfId="0" applyFont="1" applyFill="1" applyBorder="1" applyAlignment="1">
      <alignment horizontal="center" vertical="top" wrapText="1"/>
    </xf>
    <xf numFmtId="0" fontId="14" fillId="0" borderId="0" xfId="0" applyFont="1" applyAlignment="1">
      <alignment vertical="top"/>
    </xf>
    <xf numFmtId="0" fontId="11" fillId="9" borderId="5" xfId="0" applyFont="1" applyFill="1" applyBorder="1" applyAlignment="1">
      <alignment horizontal="left" vertical="top"/>
    </xf>
    <xf numFmtId="2" fontId="6" fillId="9" borderId="10" xfId="0" applyNumberFormat="1" applyFont="1" applyFill="1" applyBorder="1" applyAlignment="1">
      <alignment horizontal="center" vertical="center"/>
    </xf>
    <xf numFmtId="10" fontId="6" fillId="9" borderId="10" xfId="0" applyNumberFormat="1" applyFont="1" applyFill="1" applyBorder="1" applyAlignment="1">
      <alignment horizontal="center" vertical="center"/>
    </xf>
    <xf numFmtId="2" fontId="5" fillId="7" borderId="3" xfId="0" applyNumberFormat="1" applyFont="1" applyFill="1" applyBorder="1" applyAlignment="1">
      <alignment horizontal="center" vertical="top"/>
    </xf>
    <xf numFmtId="0" fontId="5" fillId="0" borderId="0" xfId="0" applyFont="1" applyAlignment="1">
      <alignment horizontal="center" vertical="top"/>
    </xf>
    <xf numFmtId="0" fontId="6" fillId="2" borderId="9" xfId="0" applyFont="1" applyFill="1" applyBorder="1" applyAlignment="1">
      <alignment vertical="top"/>
    </xf>
    <xf numFmtId="0" fontId="5" fillId="2" borderId="2"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10" borderId="8" xfId="0" applyFont="1" applyFill="1" applyBorder="1" applyAlignment="1">
      <alignment horizontal="left" vertical="top"/>
    </xf>
    <xf numFmtId="0" fontId="5" fillId="10" borderId="10" xfId="0" applyFont="1" applyFill="1" applyBorder="1" applyAlignment="1">
      <alignment horizontal="left" vertical="top"/>
    </xf>
    <xf numFmtId="0" fontId="5" fillId="10" borderId="10" xfId="0" applyFont="1" applyFill="1" applyBorder="1" applyAlignment="1">
      <alignment horizontal="center" vertical="top" wrapText="1"/>
    </xf>
    <xf numFmtId="0" fontId="5" fillId="3" borderId="8" xfId="0" applyFont="1" applyFill="1" applyBorder="1" applyAlignment="1">
      <alignment horizontal="left" vertical="top"/>
    </xf>
    <xf numFmtId="0" fontId="5" fillId="3" borderId="10" xfId="0" applyFont="1" applyFill="1" applyBorder="1" applyAlignment="1">
      <alignment horizontal="center" vertical="top"/>
    </xf>
    <xf numFmtId="0" fontId="5" fillId="3" borderId="10" xfId="0" applyFont="1" applyFill="1" applyBorder="1" applyAlignment="1">
      <alignment horizontal="center" vertical="top" wrapText="1"/>
    </xf>
    <xf numFmtId="2" fontId="6" fillId="0" borderId="13" xfId="0" applyNumberFormat="1" applyFont="1" applyBorder="1" applyAlignment="1">
      <alignment horizontal="center" vertical="top"/>
    </xf>
    <xf numFmtId="2" fontId="6" fillId="5" borderId="30" xfId="0" applyNumberFormat="1" applyFont="1" applyFill="1" applyBorder="1" applyAlignment="1" applyProtection="1">
      <alignment horizontal="center" vertical="top"/>
      <protection locked="0"/>
    </xf>
    <xf numFmtId="10" fontId="6" fillId="0" borderId="30" xfId="0" applyNumberFormat="1" applyFont="1" applyBorder="1" applyAlignment="1">
      <alignment horizontal="center" vertical="top"/>
    </xf>
    <xf numFmtId="0" fontId="5" fillId="3" borderId="8" xfId="0" quotePrefix="1" applyFont="1" applyFill="1" applyBorder="1" applyAlignment="1">
      <alignment horizontal="left" vertical="top"/>
    </xf>
    <xf numFmtId="0" fontId="6" fillId="3" borderId="10" xfId="0" applyFont="1" applyFill="1" applyBorder="1" applyAlignment="1">
      <alignment vertical="top"/>
    </xf>
    <xf numFmtId="2" fontId="6" fillId="3" borderId="10" xfId="0" applyNumberFormat="1" applyFont="1" applyFill="1" applyBorder="1" applyAlignment="1">
      <alignment vertical="top"/>
    </xf>
    <xf numFmtId="2" fontId="6" fillId="3" borderId="10" xfId="0" applyNumberFormat="1" applyFont="1" applyFill="1" applyBorder="1" applyAlignment="1">
      <alignment horizontal="center" vertical="top"/>
    </xf>
    <xf numFmtId="10" fontId="6" fillId="3" borderId="10" xfId="0" applyNumberFormat="1" applyFont="1" applyFill="1" applyBorder="1" applyAlignment="1">
      <alignment horizontal="center" vertical="top"/>
    </xf>
    <xf numFmtId="2" fontId="6" fillId="0" borderId="10" xfId="0" applyNumberFormat="1" applyFont="1" applyBorder="1" applyAlignment="1">
      <alignment horizontal="center" vertical="top"/>
    </xf>
    <xf numFmtId="2" fontId="6" fillId="0" borderId="3" xfId="0" applyNumberFormat="1" applyFont="1" applyBorder="1" applyAlignment="1">
      <alignment horizontal="center" vertical="top"/>
    </xf>
    <xf numFmtId="0" fontId="5" fillId="10" borderId="12" xfId="0" applyFont="1" applyFill="1" applyBorder="1" applyAlignment="1">
      <alignment horizontal="left" vertical="top"/>
    </xf>
    <xf numFmtId="0" fontId="5" fillId="10" borderId="0" xfId="0" applyFont="1" applyFill="1" applyAlignment="1">
      <alignment horizontal="left" vertical="top"/>
    </xf>
    <xf numFmtId="0" fontId="6" fillId="10" borderId="0" xfId="0" applyFont="1" applyFill="1" applyAlignment="1">
      <alignment vertical="top"/>
    </xf>
    <xf numFmtId="2" fontId="5" fillId="10" borderId="0" xfId="0" applyNumberFormat="1" applyFont="1" applyFill="1" applyAlignment="1">
      <alignment horizontal="left" vertical="top"/>
    </xf>
    <xf numFmtId="2" fontId="5" fillId="10" borderId="0" xfId="0" applyNumberFormat="1" applyFont="1" applyFill="1" applyAlignment="1">
      <alignment horizontal="center" vertical="top"/>
    </xf>
    <xf numFmtId="10" fontId="5" fillId="10" borderId="0" xfId="0" applyNumberFormat="1" applyFont="1" applyFill="1" applyAlignment="1">
      <alignment horizontal="center" vertical="top"/>
    </xf>
    <xf numFmtId="2" fontId="6" fillId="0" borderId="6" xfId="0" applyNumberFormat="1" applyFont="1" applyBorder="1" applyAlignment="1">
      <alignment horizontal="center" vertical="top"/>
    </xf>
    <xf numFmtId="0" fontId="5" fillId="3" borderId="5" xfId="0" applyFont="1" applyFill="1" applyBorder="1" applyAlignment="1">
      <alignment horizontal="left" vertical="top"/>
    </xf>
    <xf numFmtId="0" fontId="6" fillId="0" borderId="3" xfId="0" applyFont="1" applyBorder="1" applyAlignment="1">
      <alignment horizontal="center" vertical="top"/>
    </xf>
    <xf numFmtId="0" fontId="6" fillId="9" borderId="10" xfId="0" applyFont="1" applyFill="1" applyBorder="1" applyAlignment="1">
      <alignment horizontal="center" vertical="top"/>
    </xf>
    <xf numFmtId="0" fontId="5" fillId="9" borderId="1" xfId="0" applyFont="1" applyFill="1" applyBorder="1" applyAlignment="1">
      <alignment horizontal="left" vertical="top"/>
    </xf>
    <xf numFmtId="0" fontId="5" fillId="9" borderId="11" xfId="0" applyFont="1" applyFill="1" applyBorder="1" applyAlignment="1">
      <alignment horizontal="left" vertical="top"/>
    </xf>
    <xf numFmtId="0" fontId="6" fillId="5" borderId="3" xfId="0" applyFont="1" applyFill="1" applyBorder="1" applyAlignment="1" applyProtection="1">
      <alignment vertical="top"/>
      <protection locked="0"/>
    </xf>
    <xf numFmtId="1" fontId="5" fillId="0" borderId="0" xfId="0" applyNumberFormat="1" applyFont="1" applyAlignment="1">
      <alignment horizontal="center" vertical="center"/>
    </xf>
    <xf numFmtId="0" fontId="5" fillId="15" borderId="11" xfId="0" applyFont="1" applyFill="1" applyBorder="1" applyAlignment="1">
      <alignment horizontal="center" vertical="top"/>
    </xf>
    <xf numFmtId="0" fontId="6" fillId="9" borderId="11" xfId="0" applyFont="1" applyFill="1" applyBorder="1" applyAlignment="1">
      <alignment vertical="top"/>
    </xf>
    <xf numFmtId="0" fontId="6" fillId="9" borderId="11" xfId="0" applyFont="1" applyFill="1" applyBorder="1" applyAlignment="1">
      <alignment horizontal="center" vertical="top"/>
    </xf>
    <xf numFmtId="0" fontId="5" fillId="4" borderId="8" xfId="0" applyFont="1" applyFill="1" applyBorder="1" applyAlignment="1">
      <alignment horizontal="left" vertical="top"/>
    </xf>
    <xf numFmtId="0" fontId="5" fillId="4" borderId="10" xfId="0" applyFont="1" applyFill="1" applyBorder="1" applyAlignment="1">
      <alignment vertical="top"/>
    </xf>
    <xf numFmtId="0" fontId="5" fillId="4" borderId="10" xfId="0" applyFont="1" applyFill="1" applyBorder="1" applyAlignment="1">
      <alignment horizontal="center" vertical="top"/>
    </xf>
    <xf numFmtId="0" fontId="5" fillId="4" borderId="5" xfId="0" quotePrefix="1" applyFont="1" applyFill="1" applyBorder="1" applyAlignment="1">
      <alignment horizontal="left" vertical="top"/>
    </xf>
    <xf numFmtId="0" fontId="6" fillId="4" borderId="14" xfId="0" applyFont="1" applyFill="1" applyBorder="1" applyAlignment="1">
      <alignment vertical="top"/>
    </xf>
    <xf numFmtId="0" fontId="6" fillId="4" borderId="10" xfId="0" applyFont="1" applyFill="1" applyBorder="1" applyAlignment="1">
      <alignment horizontal="left" vertical="top"/>
    </xf>
    <xf numFmtId="0" fontId="5" fillId="4" borderId="5" xfId="0" applyFont="1" applyFill="1" applyBorder="1" applyAlignment="1">
      <alignment horizontal="left" vertical="top"/>
    </xf>
    <xf numFmtId="0" fontId="6" fillId="4" borderId="14" xfId="0" applyFont="1" applyFill="1" applyBorder="1" applyAlignment="1">
      <alignment horizontal="center" vertical="top"/>
    </xf>
    <xf numFmtId="2" fontId="6" fillId="4" borderId="14" xfId="0" applyNumberFormat="1" applyFont="1" applyFill="1" applyBorder="1" applyAlignment="1">
      <alignment horizontal="center" vertical="top"/>
    </xf>
    <xf numFmtId="10" fontId="6" fillId="4" borderId="14" xfId="0" applyNumberFormat="1" applyFont="1" applyFill="1" applyBorder="1" applyAlignment="1">
      <alignment horizontal="center" vertical="top"/>
    </xf>
    <xf numFmtId="0" fontId="6" fillId="4" borderId="10" xfId="0" applyFont="1" applyFill="1" applyBorder="1" applyAlignment="1">
      <alignment horizontal="center" vertical="top"/>
    </xf>
    <xf numFmtId="2" fontId="6" fillId="4" borderId="10" xfId="0" applyNumberFormat="1" applyFont="1" applyFill="1" applyBorder="1" applyAlignment="1">
      <alignment horizontal="center" vertical="top"/>
    </xf>
    <xf numFmtId="10" fontId="6" fillId="4" borderId="10" xfId="0" applyNumberFormat="1" applyFont="1" applyFill="1" applyBorder="1" applyAlignment="1">
      <alignment horizontal="center" vertical="top"/>
    </xf>
    <xf numFmtId="0" fontId="5" fillId="9" borderId="2" xfId="0" applyFont="1" applyFill="1" applyBorder="1" applyAlignment="1">
      <alignment horizontal="left" vertical="top"/>
    </xf>
    <xf numFmtId="0" fontId="5" fillId="9" borderId="3" xfId="0" applyFont="1" applyFill="1" applyBorder="1" applyAlignment="1">
      <alignment horizontal="left" vertical="top"/>
    </xf>
    <xf numFmtId="0" fontId="6" fillId="9" borderId="3" xfId="0" applyFont="1" applyFill="1" applyBorder="1" applyAlignment="1">
      <alignment vertical="top"/>
    </xf>
    <xf numFmtId="0" fontId="6" fillId="9" borderId="3" xfId="0" applyFont="1" applyFill="1" applyBorder="1" applyAlignment="1">
      <alignment horizontal="center" vertical="top"/>
    </xf>
    <xf numFmtId="2" fontId="5" fillId="15" borderId="3" xfId="0" applyNumberFormat="1" applyFont="1" applyFill="1" applyBorder="1" applyAlignment="1">
      <alignment horizontal="center" vertical="top"/>
    </xf>
    <xf numFmtId="9" fontId="5" fillId="0" borderId="0" xfId="0" applyNumberFormat="1" applyFont="1" applyAlignment="1">
      <alignment horizontal="center" vertical="top"/>
    </xf>
    <xf numFmtId="1" fontId="5" fillId="0" borderId="0" xfId="0" applyNumberFormat="1" applyFont="1" applyAlignment="1">
      <alignment vertical="top"/>
    </xf>
    <xf numFmtId="0" fontId="5" fillId="17" borderId="11" xfId="0" applyFont="1" applyFill="1" applyBorder="1" applyAlignment="1">
      <alignment horizontal="center" vertical="top"/>
    </xf>
    <xf numFmtId="0" fontId="5" fillId="17" borderId="3" xfId="0" applyFont="1" applyFill="1" applyBorder="1" applyAlignment="1">
      <alignment horizontal="center" vertical="top"/>
    </xf>
    <xf numFmtId="0" fontId="5" fillId="17" borderId="1" xfId="0" applyFont="1" applyFill="1" applyBorder="1" applyAlignment="1">
      <alignment horizontal="center" vertical="top" wrapText="1"/>
    </xf>
    <xf numFmtId="0" fontId="5" fillId="9" borderId="10" xfId="0" applyFont="1" applyFill="1" applyBorder="1" applyAlignment="1">
      <alignment vertical="top" wrapText="1"/>
    </xf>
    <xf numFmtId="2" fontId="5" fillId="5" borderId="9" xfId="0" applyNumberFormat="1" applyFont="1" applyFill="1" applyBorder="1" applyAlignment="1" applyProtection="1">
      <alignment horizontal="center" vertical="top"/>
      <protection locked="0"/>
    </xf>
    <xf numFmtId="10" fontId="5" fillId="5" borderId="3" xfId="0" applyNumberFormat="1" applyFont="1" applyFill="1" applyBorder="1" applyAlignment="1" applyProtection="1">
      <alignment horizontal="center" vertical="top"/>
      <protection locked="0"/>
    </xf>
    <xf numFmtId="2" fontId="5" fillId="17" borderId="3" xfId="0" applyNumberFormat="1" applyFont="1" applyFill="1" applyBorder="1" applyAlignment="1">
      <alignment horizontal="center" vertical="top"/>
    </xf>
    <xf numFmtId="10" fontId="5" fillId="6" borderId="3" xfId="0" applyNumberFormat="1" applyFont="1" applyFill="1" applyBorder="1" applyAlignment="1">
      <alignment horizontal="center" vertical="top"/>
    </xf>
    <xf numFmtId="0" fontId="6" fillId="10" borderId="16" xfId="0" applyFont="1" applyFill="1" applyBorder="1"/>
    <xf numFmtId="0" fontId="5" fillId="10" borderId="16" xfId="0" applyFont="1" applyFill="1" applyBorder="1" applyAlignment="1">
      <alignment horizontal="right" vertical="center"/>
    </xf>
    <xf numFmtId="0" fontId="9" fillId="0" borderId="0" xfId="0" applyFont="1" applyAlignment="1">
      <alignment horizontal="left" vertical="center" wrapText="1" readingOrder="1"/>
    </xf>
    <xf numFmtId="0" fontId="9" fillId="0" borderId="10" xfId="0" quotePrefix="1" applyFont="1" applyBorder="1" applyAlignment="1">
      <alignment horizontal="center" vertical="center" wrapText="1"/>
    </xf>
    <xf numFmtId="0" fontId="9" fillId="19" borderId="2" xfId="0" applyFont="1" applyFill="1" applyBorder="1" applyAlignment="1">
      <alignment vertical="top"/>
    </xf>
    <xf numFmtId="0" fontId="9" fillId="19" borderId="6" xfId="0" applyFont="1" applyFill="1" applyBorder="1" applyAlignment="1">
      <alignment vertical="top"/>
    </xf>
    <xf numFmtId="2" fontId="6" fillId="5" borderId="4" xfId="0" applyNumberFormat="1" applyFont="1" applyFill="1" applyBorder="1" applyAlignment="1" applyProtection="1">
      <alignment horizontal="center" vertical="top"/>
      <protection locked="0"/>
    </xf>
    <xf numFmtId="2" fontId="6" fillId="5" borderId="7" xfId="0" applyNumberFormat="1" applyFont="1" applyFill="1" applyBorder="1" applyAlignment="1" applyProtection="1">
      <alignment horizontal="center" vertical="top"/>
      <protection locked="0"/>
    </xf>
    <xf numFmtId="0" fontId="6" fillId="5" borderId="3" xfId="0" applyFont="1" applyFill="1" applyBorder="1" applyAlignment="1" applyProtection="1">
      <alignment horizontal="center" vertical="top" wrapText="1"/>
      <protection locked="0"/>
    </xf>
    <xf numFmtId="0" fontId="5" fillId="3" borderId="1" xfId="0" applyFont="1" applyFill="1" applyBorder="1" applyAlignment="1">
      <alignment horizontal="left" vertical="top"/>
    </xf>
    <xf numFmtId="0" fontId="6" fillId="3" borderId="11" xfId="0" applyFont="1" applyFill="1" applyBorder="1" applyAlignment="1">
      <alignment vertical="top"/>
    </xf>
    <xf numFmtId="0" fontId="5" fillId="3" borderId="10" xfId="0" applyFont="1" applyFill="1" applyBorder="1" applyAlignment="1">
      <alignment horizontal="center" vertical="center"/>
    </xf>
    <xf numFmtId="2" fontId="5" fillId="3" borderId="10" xfId="0" applyNumberFormat="1" applyFont="1" applyFill="1" applyBorder="1" applyAlignment="1">
      <alignment horizontal="center" vertical="center" wrapText="1"/>
    </xf>
    <xf numFmtId="10" fontId="5" fillId="3" borderId="10" xfId="0" applyNumberFormat="1" applyFont="1" applyFill="1" applyBorder="1" applyAlignment="1">
      <alignment horizontal="center" vertical="center" wrapText="1"/>
    </xf>
    <xf numFmtId="2" fontId="5" fillId="2" borderId="3" xfId="0" applyNumberFormat="1" applyFont="1" applyFill="1" applyBorder="1" applyAlignment="1">
      <alignment horizontal="center" vertical="top"/>
    </xf>
    <xf numFmtId="0" fontId="5" fillId="5" borderId="3" xfId="0" applyFont="1" applyFill="1" applyBorder="1" applyAlignment="1" applyProtection="1">
      <alignment horizontal="center" vertical="top"/>
      <protection locked="0"/>
    </xf>
    <xf numFmtId="0" fontId="6" fillId="2" borderId="10" xfId="0" applyFont="1" applyFill="1" applyBorder="1" applyAlignment="1">
      <alignment vertical="top"/>
    </xf>
    <xf numFmtId="0" fontId="6" fillId="12" borderId="10" xfId="0" applyFont="1" applyFill="1" applyBorder="1"/>
    <xf numFmtId="0" fontId="5" fillId="12" borderId="10" xfId="0" applyFont="1" applyFill="1" applyBorder="1" applyAlignment="1">
      <alignment horizontal="right" vertical="center"/>
    </xf>
    <xf numFmtId="0" fontId="5" fillId="12" borderId="10" xfId="0" applyFont="1" applyFill="1" applyBorder="1" applyAlignment="1">
      <alignment horizontal="center" vertical="center"/>
    </xf>
    <xf numFmtId="49" fontId="6" fillId="0" borderId="0" xfId="0" applyNumberFormat="1" applyFont="1"/>
    <xf numFmtId="49" fontId="6" fillId="0" borderId="0" xfId="0" applyNumberFormat="1" applyFont="1" applyAlignment="1">
      <alignment vertical="top"/>
    </xf>
    <xf numFmtId="0" fontId="5" fillId="9" borderId="14" xfId="0" applyFont="1" applyFill="1" applyBorder="1" applyAlignment="1">
      <alignment horizontal="left" vertical="top"/>
    </xf>
    <xf numFmtId="0" fontId="5" fillId="2" borderId="9" xfId="0" applyFont="1" applyFill="1" applyBorder="1" applyAlignment="1">
      <alignment vertical="top"/>
    </xf>
    <xf numFmtId="0" fontId="6" fillId="0" borderId="9" xfId="0" applyFont="1" applyBorder="1" applyAlignment="1">
      <alignment horizontal="center" vertical="top"/>
    </xf>
    <xf numFmtId="2" fontId="6" fillId="5" borderId="6" xfId="0" applyNumberFormat="1" applyFont="1" applyFill="1" applyBorder="1" applyAlignment="1" applyProtection="1">
      <alignment horizontal="center" vertical="center"/>
      <protection locked="0"/>
    </xf>
    <xf numFmtId="2" fontId="6" fillId="5" borderId="9" xfId="0" applyNumberFormat="1" applyFont="1" applyFill="1" applyBorder="1" applyAlignment="1" applyProtection="1">
      <alignment horizontal="center" vertical="center"/>
      <protection locked="0"/>
    </xf>
    <xf numFmtId="0" fontId="5" fillId="6" borderId="10" xfId="0" applyFont="1" applyFill="1" applyBorder="1" applyAlignment="1">
      <alignment vertical="top"/>
    </xf>
    <xf numFmtId="0" fontId="5" fillId="6" borderId="3" xfId="0" applyFont="1" applyFill="1" applyBorder="1" applyAlignment="1">
      <alignment horizontal="center" vertical="center" wrapText="1"/>
    </xf>
    <xf numFmtId="10" fontId="5" fillId="6" borderId="3" xfId="0" applyNumberFormat="1" applyFont="1" applyFill="1" applyBorder="1" applyAlignment="1">
      <alignment horizontal="center" vertical="center" wrapText="1"/>
    </xf>
    <xf numFmtId="0" fontId="5" fillId="6" borderId="3" xfId="0" applyFont="1" applyFill="1" applyBorder="1" applyAlignment="1">
      <alignment horizontal="center" vertical="top" wrapText="1"/>
    </xf>
    <xf numFmtId="9" fontId="6" fillId="18" borderId="3" xfId="0" applyNumberFormat="1" applyFont="1" applyFill="1" applyBorder="1" applyAlignment="1">
      <alignment horizontal="center"/>
    </xf>
    <xf numFmtId="9" fontId="6" fillId="5" borderId="3" xfId="0" applyNumberFormat="1" applyFont="1" applyFill="1" applyBorder="1" applyAlignment="1" applyProtection="1">
      <alignment horizontal="center" vertical="center"/>
      <protection locked="0"/>
    </xf>
    <xf numFmtId="2" fontId="9" fillId="5" borderId="9" xfId="0" applyNumberFormat="1" applyFont="1" applyFill="1" applyBorder="1" applyAlignment="1" applyProtection="1">
      <alignment horizontal="center" vertical="top"/>
      <protection locked="0"/>
    </xf>
    <xf numFmtId="2" fontId="6" fillId="0" borderId="9" xfId="0" applyNumberFormat="1" applyFont="1" applyBorder="1" applyAlignment="1">
      <alignment horizontal="center" vertical="top"/>
    </xf>
    <xf numFmtId="0" fontId="21" fillId="0" borderId="12" xfId="0" applyFont="1" applyBorder="1" applyProtection="1">
      <protection hidden="1"/>
    </xf>
    <xf numFmtId="0" fontId="6" fillId="0" borderId="0" xfId="0" applyFont="1" applyAlignment="1" applyProtection="1">
      <alignment horizontal="left"/>
      <protection hidden="1"/>
    </xf>
    <xf numFmtId="0" fontId="6" fillId="0" borderId="0" xfId="0" applyFont="1" applyAlignment="1" applyProtection="1">
      <alignment horizontal="center" vertical="center"/>
      <protection hidden="1"/>
    </xf>
    <xf numFmtId="0" fontId="6" fillId="0" borderId="0" xfId="0" applyFont="1" applyProtection="1">
      <protection hidden="1"/>
    </xf>
    <xf numFmtId="0" fontId="9" fillId="0" borderId="0" xfId="0" applyFont="1" applyAlignment="1" applyProtection="1">
      <alignment horizontal="left" vertical="center" wrapText="1" readingOrder="1"/>
      <protection hidden="1"/>
    </xf>
    <xf numFmtId="1" fontId="6" fillId="0" borderId="0" xfId="0" applyNumberFormat="1" applyFont="1" applyProtection="1">
      <protection hidden="1"/>
    </xf>
    <xf numFmtId="0" fontId="5" fillId="12" borderId="8" xfId="0" applyFont="1" applyFill="1" applyBorder="1" applyAlignment="1" applyProtection="1">
      <alignment vertical="center"/>
      <protection hidden="1"/>
    </xf>
    <xf numFmtId="0" fontId="6" fillId="12" borderId="10" xfId="0" applyFont="1" applyFill="1" applyBorder="1" applyProtection="1">
      <protection hidden="1"/>
    </xf>
    <xf numFmtId="0" fontId="5" fillId="12" borderId="10" xfId="0" applyFont="1" applyFill="1" applyBorder="1" applyAlignment="1" applyProtection="1">
      <alignment horizontal="right" vertical="center"/>
      <protection hidden="1"/>
    </xf>
    <xf numFmtId="0" fontId="5" fillId="12" borderId="10" xfId="0" applyFont="1" applyFill="1" applyBorder="1" applyAlignment="1" applyProtection="1">
      <alignment horizontal="center" vertical="center"/>
      <protection hidden="1"/>
    </xf>
    <xf numFmtId="0" fontId="6" fillId="0" borderId="10" xfId="0" applyFont="1" applyBorder="1" applyProtection="1">
      <protection hidden="1"/>
    </xf>
    <xf numFmtId="0" fontId="5" fillId="0" borderId="0" xfId="0" applyFont="1" applyAlignment="1" applyProtection="1">
      <alignment horizontal="left" vertical="center"/>
      <protection hidden="1"/>
    </xf>
    <xf numFmtId="0" fontId="6" fillId="0" borderId="13" xfId="0" applyFont="1" applyBorder="1" applyProtection="1">
      <protection hidden="1"/>
    </xf>
    <xf numFmtId="0" fontId="5" fillId="14" borderId="8" xfId="0" applyFont="1" applyFill="1" applyBorder="1" applyAlignment="1" applyProtection="1">
      <alignment horizontal="left" vertical="top"/>
      <protection hidden="1"/>
    </xf>
    <xf numFmtId="0" fontId="5" fillId="14" borderId="10" xfId="0" applyFont="1" applyFill="1" applyBorder="1" applyAlignment="1" applyProtection="1">
      <alignment vertical="top"/>
      <protection hidden="1"/>
    </xf>
    <xf numFmtId="0" fontId="5" fillId="14" borderId="9" xfId="0" applyFont="1" applyFill="1" applyBorder="1" applyAlignment="1" applyProtection="1">
      <alignment vertical="top"/>
      <protection hidden="1"/>
    </xf>
    <xf numFmtId="0" fontId="19" fillId="14" borderId="3" xfId="0" applyFont="1" applyFill="1" applyBorder="1" applyAlignment="1" applyProtection="1">
      <alignment horizontal="center" vertical="center" wrapText="1" readingOrder="1"/>
      <protection hidden="1"/>
    </xf>
    <xf numFmtId="165" fontId="5" fillId="0" borderId="0" xfId="0" applyNumberFormat="1" applyFont="1" applyAlignment="1" applyProtection="1">
      <alignment horizontal="left" vertical="top"/>
      <protection hidden="1"/>
    </xf>
    <xf numFmtId="0" fontId="5" fillId="0" borderId="0" xfId="0" applyFont="1" applyAlignment="1" applyProtection="1">
      <alignment horizontal="left" vertical="top"/>
      <protection hidden="1"/>
    </xf>
    <xf numFmtId="0" fontId="5" fillId="0" borderId="0" xfId="0" applyFont="1" applyAlignment="1" applyProtection="1">
      <alignment vertical="top"/>
      <protection hidden="1"/>
    </xf>
    <xf numFmtId="165" fontId="6" fillId="0" borderId="3" xfId="0" applyNumberFormat="1" applyFont="1" applyBorder="1" applyAlignment="1" applyProtection="1">
      <alignment horizontal="left"/>
      <protection hidden="1"/>
    </xf>
    <xf numFmtId="1" fontId="6" fillId="0" borderId="3" xfId="0" applyNumberFormat="1" applyFont="1" applyBorder="1" applyAlignment="1" applyProtection="1">
      <alignment horizontal="center" vertical="center" readingOrder="1"/>
      <protection hidden="1"/>
    </xf>
    <xf numFmtId="0" fontId="6" fillId="0" borderId="0" xfId="0" applyFont="1" applyAlignment="1" applyProtection="1">
      <alignment vertical="top"/>
      <protection hidden="1"/>
    </xf>
    <xf numFmtId="165" fontId="6" fillId="0" borderId="0" xfId="0" applyNumberFormat="1" applyFont="1" applyAlignment="1" applyProtection="1">
      <alignment horizontal="left" vertical="top" wrapText="1"/>
      <protection hidden="1"/>
    </xf>
    <xf numFmtId="0" fontId="6" fillId="0" borderId="0" xfId="0" applyFont="1" applyAlignment="1" applyProtection="1">
      <alignment vertical="top" wrapText="1"/>
      <protection hidden="1"/>
    </xf>
    <xf numFmtId="2" fontId="7" fillId="0" borderId="0" xfId="0" applyNumberFormat="1" applyFont="1" applyAlignment="1" applyProtection="1">
      <alignment horizontal="center" vertical="top"/>
      <protection hidden="1"/>
    </xf>
    <xf numFmtId="0" fontId="9" fillId="18" borderId="8" xfId="0" applyFont="1" applyFill="1" applyBorder="1" applyAlignment="1" applyProtection="1">
      <alignment horizontal="left" vertical="top" wrapText="1"/>
      <protection hidden="1"/>
    </xf>
    <xf numFmtId="0" fontId="9" fillId="18" borderId="10" xfId="0" applyFont="1" applyFill="1" applyBorder="1" applyAlignment="1" applyProtection="1">
      <alignment horizontal="left" vertical="top" wrapText="1"/>
      <protection hidden="1"/>
    </xf>
    <xf numFmtId="0" fontId="9" fillId="18" borderId="9" xfId="0" applyFont="1" applyFill="1" applyBorder="1" applyAlignment="1" applyProtection="1">
      <alignment horizontal="left" vertical="top" wrapText="1"/>
      <protection hidden="1"/>
    </xf>
    <xf numFmtId="165" fontId="9" fillId="0" borderId="0" xfId="0" applyNumberFormat="1" applyFont="1" applyAlignment="1" applyProtection="1">
      <alignment horizontal="left" vertical="top" wrapText="1"/>
      <protection hidden="1"/>
    </xf>
    <xf numFmtId="0" fontId="9" fillId="0" borderId="0" xfId="0" applyFont="1" applyAlignment="1" applyProtection="1">
      <alignment vertical="top" wrapText="1"/>
      <protection hidden="1"/>
    </xf>
    <xf numFmtId="165" fontId="9" fillId="0" borderId="0" xfId="0" quotePrefix="1" applyNumberFormat="1" applyFont="1" applyAlignment="1" applyProtection="1">
      <alignment horizontal="left" vertical="top" wrapText="1"/>
      <protection hidden="1"/>
    </xf>
    <xf numFmtId="0" fontId="9" fillId="0" borderId="0" xfId="0" quotePrefix="1" applyFont="1" applyAlignment="1" applyProtection="1">
      <alignment vertical="top" wrapText="1"/>
      <protection hidden="1"/>
    </xf>
    <xf numFmtId="0" fontId="5" fillId="11" borderId="8" xfId="0" applyFont="1" applyFill="1" applyBorder="1" applyAlignment="1" applyProtection="1">
      <alignment horizontal="left" vertical="top"/>
      <protection hidden="1"/>
    </xf>
    <xf numFmtId="0" fontId="6" fillId="11" borderId="10" xfId="0" applyFont="1" applyFill="1" applyBorder="1" applyAlignment="1" applyProtection="1">
      <alignment vertical="top"/>
      <protection hidden="1"/>
    </xf>
    <xf numFmtId="0" fontId="5" fillId="11" borderId="10" xfId="0" applyFont="1" applyFill="1" applyBorder="1" applyAlignment="1" applyProtection="1">
      <alignment horizontal="right" vertical="top"/>
      <protection hidden="1"/>
    </xf>
    <xf numFmtId="0" fontId="5" fillId="11" borderId="10" xfId="0" applyFont="1" applyFill="1" applyBorder="1" applyAlignment="1" applyProtection="1">
      <alignment horizontal="center" vertical="top"/>
      <protection hidden="1"/>
    </xf>
    <xf numFmtId="0" fontId="5" fillId="0" borderId="10" xfId="0" applyFont="1" applyBorder="1" applyAlignment="1" applyProtection="1">
      <alignment horizontal="left" vertical="top"/>
      <protection hidden="1"/>
    </xf>
    <xf numFmtId="0" fontId="6" fillId="0" borderId="0" xfId="0" applyFont="1" applyAlignment="1" applyProtection="1">
      <alignment horizontal="center" vertical="top"/>
      <protection hidden="1"/>
    </xf>
    <xf numFmtId="0" fontId="6" fillId="0" borderId="13" xfId="0" applyFont="1" applyBorder="1" applyAlignment="1" applyProtection="1">
      <alignment vertical="top"/>
      <protection hidden="1"/>
    </xf>
    <xf numFmtId="0" fontId="5" fillId="2" borderId="8" xfId="0" applyFont="1" applyFill="1" applyBorder="1" applyAlignment="1" applyProtection="1">
      <alignment vertical="top"/>
      <protection hidden="1"/>
    </xf>
    <xf numFmtId="0" fontId="5" fillId="2" borderId="10" xfId="0" applyFont="1" applyFill="1" applyBorder="1" applyAlignment="1" applyProtection="1">
      <alignment vertical="top"/>
      <protection hidden="1"/>
    </xf>
    <xf numFmtId="0" fontId="6" fillId="2" borderId="10" xfId="0" applyFont="1" applyFill="1" applyBorder="1" applyAlignment="1" applyProtection="1">
      <alignment vertical="top"/>
      <protection hidden="1"/>
    </xf>
    <xf numFmtId="0" fontId="19" fillId="2" borderId="3" xfId="0" applyFont="1" applyFill="1" applyBorder="1" applyAlignment="1" applyProtection="1">
      <alignment horizontal="center" vertical="center" wrapText="1" readingOrder="1"/>
      <protection hidden="1"/>
    </xf>
    <xf numFmtId="0" fontId="6" fillId="0" borderId="0" xfId="0" applyFont="1" applyAlignment="1" applyProtection="1">
      <alignment horizontal="left" vertical="top" wrapText="1"/>
      <protection hidden="1"/>
    </xf>
    <xf numFmtId="2" fontId="6" fillId="0" borderId="0" xfId="0" applyNumberFormat="1" applyFont="1" applyAlignment="1" applyProtection="1">
      <alignment horizontal="center" vertical="top"/>
      <protection hidden="1"/>
    </xf>
    <xf numFmtId="49" fontId="6" fillId="0" borderId="3" xfId="0" applyNumberFormat="1" applyFont="1" applyBorder="1" applyAlignment="1" applyProtection="1">
      <alignment horizontal="left"/>
      <protection hidden="1"/>
    </xf>
    <xf numFmtId="1" fontId="6" fillId="0" borderId="7" xfId="0" applyNumberFormat="1" applyFont="1" applyBorder="1" applyAlignment="1" applyProtection="1">
      <alignment horizontal="center" vertical="top"/>
      <protection hidden="1"/>
    </xf>
    <xf numFmtId="0" fontId="5" fillId="0" borderId="0" xfId="0" quotePrefix="1" applyFont="1" applyAlignment="1" applyProtection="1">
      <alignment horizontal="left" vertical="top"/>
      <protection hidden="1"/>
    </xf>
    <xf numFmtId="2" fontId="6" fillId="0" borderId="0" xfId="0" applyNumberFormat="1" applyFont="1" applyAlignment="1" applyProtection="1">
      <alignment vertical="top"/>
      <protection hidden="1"/>
    </xf>
    <xf numFmtId="1" fontId="6" fillId="0" borderId="3" xfId="0" applyNumberFormat="1" applyFont="1" applyBorder="1" applyAlignment="1" applyProtection="1">
      <alignment horizontal="center" vertical="top"/>
      <protection hidden="1"/>
    </xf>
    <xf numFmtId="0" fontId="8" fillId="0" borderId="0" xfId="0" applyFont="1" applyAlignment="1" applyProtection="1">
      <alignment vertical="top"/>
      <protection hidden="1"/>
    </xf>
    <xf numFmtId="0" fontId="6" fillId="0" borderId="0" xfId="0" applyFont="1" applyAlignment="1" applyProtection="1">
      <alignment horizontal="left" vertical="top"/>
      <protection hidden="1"/>
    </xf>
    <xf numFmtId="2" fontId="5" fillId="0" borderId="0" xfId="0" applyNumberFormat="1" applyFont="1" applyAlignment="1" applyProtection="1">
      <alignment horizontal="left" vertical="top"/>
      <protection hidden="1"/>
    </xf>
    <xf numFmtId="0" fontId="6" fillId="0" borderId="3" xfId="0" applyFont="1" applyBorder="1" applyAlignment="1" applyProtection="1">
      <alignment horizontal="left"/>
      <protection hidden="1"/>
    </xf>
    <xf numFmtId="0" fontId="5" fillId="13" borderId="8" xfId="0" applyFont="1" applyFill="1" applyBorder="1" applyAlignment="1" applyProtection="1">
      <alignment horizontal="left" vertical="top"/>
      <protection hidden="1"/>
    </xf>
    <xf numFmtId="0" fontId="6" fillId="13" borderId="10" xfId="0" applyFont="1" applyFill="1" applyBorder="1" applyAlignment="1" applyProtection="1">
      <alignment vertical="top"/>
      <protection hidden="1"/>
    </xf>
    <xf numFmtId="0" fontId="5" fillId="13" borderId="10" xfId="0" applyFont="1" applyFill="1" applyBorder="1" applyAlignment="1" applyProtection="1">
      <alignment horizontal="right" vertical="top"/>
      <protection hidden="1"/>
    </xf>
    <xf numFmtId="0" fontId="5" fillId="0" borderId="12" xfId="0" applyFont="1" applyBorder="1" applyAlignment="1" applyProtection="1">
      <alignment horizontal="left" vertical="top"/>
      <protection hidden="1"/>
    </xf>
    <xf numFmtId="0" fontId="5" fillId="15" borderId="8" xfId="0" applyFont="1" applyFill="1" applyBorder="1" applyAlignment="1" applyProtection="1">
      <alignment horizontal="left" vertical="top"/>
      <protection hidden="1"/>
    </xf>
    <xf numFmtId="0" fontId="5" fillId="15" borderId="10" xfId="0" applyFont="1" applyFill="1" applyBorder="1" applyAlignment="1" applyProtection="1">
      <alignment horizontal="center" vertical="top"/>
      <protection hidden="1"/>
    </xf>
    <xf numFmtId="0" fontId="5" fillId="15" borderId="9" xfId="0" applyFont="1" applyFill="1" applyBorder="1" applyAlignment="1" applyProtection="1">
      <alignment horizontal="center" vertical="top" wrapText="1"/>
      <protection hidden="1"/>
    </xf>
    <xf numFmtId="0" fontId="19" fillId="15" borderId="9" xfId="0" applyFont="1" applyFill="1" applyBorder="1" applyAlignment="1" applyProtection="1">
      <alignment horizontal="center" vertical="center" wrapText="1" readingOrder="1"/>
      <protection hidden="1"/>
    </xf>
    <xf numFmtId="1" fontId="6" fillId="0" borderId="3" xfId="0" applyNumberFormat="1" applyFont="1" applyBorder="1" applyAlignment="1" applyProtection="1">
      <alignment horizontal="center" vertical="center"/>
      <protection hidden="1"/>
    </xf>
    <xf numFmtId="0" fontId="9" fillId="0" borderId="0" xfId="0" applyFont="1" applyAlignment="1" applyProtection="1">
      <alignment horizontal="left" vertical="top" wrapText="1"/>
      <protection hidden="1"/>
    </xf>
    <xf numFmtId="0" fontId="1" fillId="20" borderId="3" xfId="0" applyFont="1" applyFill="1" applyBorder="1" applyAlignment="1" applyProtection="1">
      <alignment horizontal="left" vertical="center" wrapText="1" readingOrder="1"/>
      <protection hidden="1"/>
    </xf>
    <xf numFmtId="0" fontId="11" fillId="21" borderId="3" xfId="0" applyFont="1" applyFill="1" applyBorder="1" applyAlignment="1" applyProtection="1">
      <alignment horizontal="left" vertical="center" wrapText="1" readingOrder="1"/>
      <protection hidden="1"/>
    </xf>
    <xf numFmtId="0" fontId="11" fillId="22" borderId="3" xfId="0" applyFont="1" applyFill="1" applyBorder="1" applyAlignment="1" applyProtection="1">
      <alignment horizontal="center" vertical="center" wrapText="1"/>
      <protection hidden="1"/>
    </xf>
    <xf numFmtId="0" fontId="20" fillId="23" borderId="8" xfId="0" applyFont="1" applyFill="1" applyBorder="1" applyAlignment="1" applyProtection="1">
      <alignment vertical="center" wrapText="1" readingOrder="1"/>
      <protection hidden="1"/>
    </xf>
    <xf numFmtId="0" fontId="20" fillId="23" borderId="10" xfId="0" applyFont="1" applyFill="1" applyBorder="1" applyAlignment="1" applyProtection="1">
      <alignment vertical="center" wrapText="1" readingOrder="1"/>
      <protection hidden="1"/>
    </xf>
    <xf numFmtId="0" fontId="20" fillId="23" borderId="9" xfId="0" applyFont="1" applyFill="1" applyBorder="1" applyAlignment="1" applyProtection="1">
      <alignment vertical="center" wrapText="1" readingOrder="1"/>
      <protection hidden="1"/>
    </xf>
    <xf numFmtId="0" fontId="22" fillId="23" borderId="10" xfId="0" applyFont="1" applyFill="1" applyBorder="1" applyAlignment="1" applyProtection="1">
      <alignment vertical="center" wrapText="1" readingOrder="1"/>
      <protection hidden="1"/>
    </xf>
    <xf numFmtId="0" fontId="22" fillId="23" borderId="9" xfId="0" applyFont="1" applyFill="1" applyBorder="1" applyAlignment="1" applyProtection="1">
      <alignment vertical="center" wrapText="1" readingOrder="1"/>
      <protection hidden="1"/>
    </xf>
    <xf numFmtId="0" fontId="20" fillId="25" borderId="8" xfId="0" applyFont="1" applyFill="1" applyBorder="1" applyAlignment="1" applyProtection="1">
      <alignment vertical="center" wrapText="1" readingOrder="1"/>
      <protection hidden="1"/>
    </xf>
    <xf numFmtId="0" fontId="22" fillId="25" borderId="10" xfId="0" applyFont="1" applyFill="1" applyBorder="1" applyAlignment="1" applyProtection="1">
      <alignment vertical="center" wrapText="1" readingOrder="1"/>
      <protection hidden="1"/>
    </xf>
    <xf numFmtId="0" fontId="22" fillId="25" borderId="9" xfId="0" applyFont="1" applyFill="1" applyBorder="1" applyAlignment="1" applyProtection="1">
      <alignment vertical="center" wrapText="1" readingOrder="1"/>
      <protection hidden="1"/>
    </xf>
    <xf numFmtId="0" fontId="6" fillId="0" borderId="0" xfId="0" applyFont="1" applyAlignment="1">
      <alignment horizontal="left" vertical="center" wrapText="1"/>
    </xf>
    <xf numFmtId="0" fontId="6" fillId="0" borderId="0" xfId="0" applyFont="1" applyAlignment="1">
      <alignment horizontal="left" wrapText="1"/>
    </xf>
    <xf numFmtId="0" fontId="12" fillId="0" borderId="0" xfId="0" applyFont="1"/>
    <xf numFmtId="0" fontId="13" fillId="0" borderId="0" xfId="0" applyFont="1"/>
    <xf numFmtId="0" fontId="14" fillId="0" borderId="0" xfId="0" applyFont="1"/>
    <xf numFmtId="0" fontId="15" fillId="0" borderId="0" xfId="0" applyFont="1"/>
    <xf numFmtId="9" fontId="5" fillId="0" borderId="0" xfId="0" applyNumberFormat="1" applyFont="1" applyAlignment="1">
      <alignment vertical="center"/>
    </xf>
    <xf numFmtId="0" fontId="5" fillId="0" borderId="0" xfId="0" applyFont="1" applyAlignment="1">
      <alignment horizontal="center" vertical="center"/>
    </xf>
    <xf numFmtId="9" fontId="5" fillId="0" borderId="0" xfId="0" applyNumberFormat="1" applyFont="1" applyAlignment="1">
      <alignment horizontal="center" vertical="center"/>
    </xf>
    <xf numFmtId="1" fontId="5" fillId="0" borderId="0" xfId="0" applyNumberFormat="1" applyFont="1" applyAlignment="1">
      <alignment vertical="center"/>
    </xf>
    <xf numFmtId="0" fontId="6" fillId="18" borderId="0" xfId="0" applyFont="1" applyFill="1" applyAlignment="1">
      <alignment horizontal="center" vertical="center" wrapText="1"/>
    </xf>
    <xf numFmtId="0" fontId="6" fillId="18" borderId="0" xfId="0" applyFont="1" applyFill="1" applyAlignment="1">
      <alignment horizontal="left" vertical="center"/>
    </xf>
    <xf numFmtId="0" fontId="6" fillId="18" borderId="24" xfId="0" applyFont="1" applyFill="1" applyBorder="1"/>
    <xf numFmtId="0" fontId="6" fillId="18" borderId="0" xfId="0" applyFont="1" applyFill="1"/>
    <xf numFmtId="0" fontId="6" fillId="18" borderId="0" xfId="0" applyFont="1" applyFill="1" applyAlignment="1">
      <alignment horizontal="center" vertical="center"/>
    </xf>
    <xf numFmtId="0" fontId="6" fillId="18" borderId="25" xfId="0" applyFont="1" applyFill="1" applyBorder="1"/>
    <xf numFmtId="0" fontId="5" fillId="18" borderId="24" xfId="0" applyFont="1" applyFill="1" applyBorder="1"/>
    <xf numFmtId="0" fontId="6" fillId="18" borderId="24" xfId="0" applyFont="1" applyFill="1" applyBorder="1" applyAlignment="1">
      <alignment horizontal="left" vertical="center"/>
    </xf>
    <xf numFmtId="0" fontId="6" fillId="18" borderId="24" xfId="0" applyFont="1" applyFill="1" applyBorder="1" applyAlignment="1">
      <alignment horizontal="left" vertical="center" wrapText="1"/>
    </xf>
    <xf numFmtId="0" fontId="6" fillId="18" borderId="24" xfId="0" applyFont="1" applyFill="1" applyBorder="1" applyAlignment="1">
      <alignment vertical="top"/>
    </xf>
    <xf numFmtId="0" fontId="5" fillId="18" borderId="0" xfId="0" applyFont="1" applyFill="1" applyAlignment="1">
      <alignment horizontal="center" vertical="center" wrapText="1"/>
    </xf>
    <xf numFmtId="0" fontId="16" fillId="18" borderId="0" xfId="0" applyFont="1" applyFill="1"/>
    <xf numFmtId="0" fontId="5" fillId="18" borderId="3" xfId="0" applyFont="1" applyFill="1" applyBorder="1" applyAlignment="1">
      <alignment horizontal="center" vertical="center"/>
    </xf>
    <xf numFmtId="0" fontId="8" fillId="18" borderId="24" xfId="0" applyFont="1" applyFill="1" applyBorder="1"/>
    <xf numFmtId="0" fontId="5" fillId="18" borderId="25" xfId="0" applyFont="1" applyFill="1" applyBorder="1" applyAlignment="1">
      <alignment horizontal="center"/>
    </xf>
    <xf numFmtId="0" fontId="6" fillId="18" borderId="24" xfId="0" applyFont="1" applyFill="1" applyBorder="1" applyAlignment="1">
      <alignment horizontal="left" wrapText="1"/>
    </xf>
    <xf numFmtId="0" fontId="6" fillId="18" borderId="0" xfId="0" applyFont="1" applyFill="1" applyAlignment="1">
      <alignment horizontal="left" wrapText="1"/>
    </xf>
    <xf numFmtId="0" fontId="6" fillId="18" borderId="25" xfId="0" applyFont="1" applyFill="1" applyBorder="1" applyAlignment="1">
      <alignment horizontal="left" wrapText="1"/>
    </xf>
    <xf numFmtId="2" fontId="6" fillId="18" borderId="3" xfId="0" applyNumberFormat="1" applyFont="1" applyFill="1" applyBorder="1" applyAlignment="1">
      <alignment horizontal="center" vertical="center"/>
    </xf>
    <xf numFmtId="164" fontId="6" fillId="18" borderId="3" xfId="0" applyNumberFormat="1" applyFont="1" applyFill="1" applyBorder="1" applyAlignment="1">
      <alignment horizontal="center" vertical="center"/>
    </xf>
    <xf numFmtId="2" fontId="6" fillId="18" borderId="27" xfId="0" applyNumberFormat="1" applyFont="1" applyFill="1" applyBorder="1" applyAlignment="1">
      <alignment horizontal="center" vertical="center"/>
    </xf>
    <xf numFmtId="0" fontId="5" fillId="18" borderId="28" xfId="0" applyFont="1" applyFill="1" applyBorder="1" applyAlignment="1">
      <alignment horizontal="right"/>
    </xf>
    <xf numFmtId="2" fontId="5" fillId="18" borderId="3" xfId="0" applyNumberFormat="1" applyFont="1" applyFill="1" applyBorder="1" applyAlignment="1">
      <alignment horizontal="center" vertical="center"/>
    </xf>
    <xf numFmtId="164" fontId="5" fillId="18" borderId="3" xfId="0" applyNumberFormat="1" applyFont="1" applyFill="1" applyBorder="1" applyAlignment="1">
      <alignment horizontal="center" vertical="center"/>
    </xf>
    <xf numFmtId="0" fontId="6" fillId="18" borderId="24" xfId="0" applyFont="1" applyFill="1" applyBorder="1" applyAlignment="1">
      <alignment horizontal="center"/>
    </xf>
    <xf numFmtId="0" fontId="6" fillId="18" borderId="0" xfId="0" applyFont="1" applyFill="1" applyAlignment="1">
      <alignment horizontal="center"/>
    </xf>
    <xf numFmtId="0" fontId="6" fillId="18" borderId="25" xfId="0" applyFont="1" applyFill="1" applyBorder="1" applyAlignment="1">
      <alignment horizontal="center"/>
    </xf>
    <xf numFmtId="0" fontId="16" fillId="18" borderId="24" xfId="0" applyFont="1" applyFill="1" applyBorder="1" applyAlignment="1">
      <alignment horizontal="left"/>
    </xf>
    <xf numFmtId="0" fontId="5" fillId="18" borderId="0" xfId="0" applyFont="1" applyFill="1" applyAlignment="1">
      <alignment horizontal="center" vertical="center"/>
    </xf>
    <xf numFmtId="0" fontId="6" fillId="18" borderId="24" xfId="0" applyFont="1" applyFill="1" applyBorder="1" applyAlignment="1">
      <alignment horizontal="left"/>
    </xf>
    <xf numFmtId="165" fontId="6" fillId="18" borderId="3" xfId="0" applyNumberFormat="1" applyFont="1" applyFill="1" applyBorder="1" applyAlignment="1">
      <alignment horizontal="center" vertical="center"/>
    </xf>
    <xf numFmtId="0" fontId="5" fillId="18" borderId="0" xfId="0" applyFont="1" applyFill="1" applyAlignment="1">
      <alignment wrapText="1"/>
    </xf>
    <xf numFmtId="0" fontId="5" fillId="18" borderId="25" xfId="0" applyFont="1" applyFill="1" applyBorder="1"/>
    <xf numFmtId="9" fontId="5" fillId="18" borderId="0" xfId="0" applyNumberFormat="1" applyFont="1" applyFill="1" applyAlignment="1">
      <alignment horizontal="center" vertical="center"/>
    </xf>
    <xf numFmtId="0" fontId="6" fillId="18" borderId="24" xfId="0" quotePrefix="1" applyFont="1" applyFill="1" applyBorder="1"/>
    <xf numFmtId="0" fontId="6" fillId="18" borderId="0" xfId="0" applyFont="1" applyFill="1" applyAlignment="1">
      <alignment vertical="center"/>
    </xf>
    <xf numFmtId="0" fontId="5" fillId="18" borderId="0" xfId="0" applyFont="1" applyFill="1"/>
    <xf numFmtId="0" fontId="6" fillId="18" borderId="18" xfId="0" applyFont="1" applyFill="1" applyBorder="1"/>
    <xf numFmtId="0" fontId="6" fillId="18" borderId="20" xfId="0" applyFont="1" applyFill="1" applyBorder="1"/>
    <xf numFmtId="0" fontId="11" fillId="18" borderId="0" xfId="0" applyFont="1" applyFill="1" applyAlignment="1">
      <alignment vertical="top" wrapText="1"/>
    </xf>
    <xf numFmtId="0" fontId="5" fillId="18" borderId="0" xfId="0" applyFont="1" applyFill="1" applyAlignment="1">
      <alignment horizontal="center" vertical="top" wrapText="1"/>
    </xf>
    <xf numFmtId="0" fontId="6" fillId="18" borderId="14" xfId="0" applyFont="1" applyFill="1" applyBorder="1"/>
    <xf numFmtId="0" fontId="5" fillId="18" borderId="0" xfId="0" applyFont="1" applyFill="1" applyAlignment="1">
      <alignment horizontal="left" vertical="center"/>
    </xf>
    <xf numFmtId="0" fontId="6" fillId="18" borderId="11" xfId="0" applyFont="1" applyFill="1" applyBorder="1" applyAlignment="1">
      <alignment horizontal="left" vertical="top"/>
    </xf>
    <xf numFmtId="0" fontId="6" fillId="18" borderId="0" xfId="0" applyFont="1" applyFill="1" applyAlignment="1">
      <alignment vertical="top"/>
    </xf>
    <xf numFmtId="0" fontId="5" fillId="18" borderId="0" xfId="0" applyFont="1" applyFill="1" applyAlignment="1">
      <alignment horizontal="right" vertical="center"/>
    </xf>
    <xf numFmtId="0" fontId="6" fillId="18" borderId="0" xfId="0" applyFont="1" applyFill="1" applyAlignment="1">
      <alignment horizontal="left" vertical="top"/>
    </xf>
    <xf numFmtId="0" fontId="5" fillId="18" borderId="0" xfId="0" applyFont="1" applyFill="1" applyAlignment="1">
      <alignment vertical="top"/>
    </xf>
    <xf numFmtId="0" fontId="9" fillId="18" borderId="0" xfId="0" applyFont="1" applyFill="1" applyAlignment="1">
      <alignment vertical="top"/>
    </xf>
    <xf numFmtId="0" fontId="11" fillId="18" borderId="0" xfId="0" applyFont="1" applyFill="1" applyAlignment="1">
      <alignment horizontal="right" vertical="top"/>
    </xf>
    <xf numFmtId="0" fontId="6" fillId="18" borderId="0" xfId="0" applyFont="1" applyFill="1" applyAlignment="1">
      <alignment horizontal="right" vertical="top"/>
    </xf>
    <xf numFmtId="0" fontId="5" fillId="18" borderId="0" xfId="0" applyFont="1" applyFill="1" applyAlignment="1">
      <alignment horizontal="right" vertical="top"/>
    </xf>
    <xf numFmtId="0" fontId="5" fillId="18" borderId="14" xfId="0" applyFont="1" applyFill="1" applyBorder="1" applyAlignment="1">
      <alignment horizontal="left" vertical="top"/>
    </xf>
    <xf numFmtId="0" fontId="6" fillId="18" borderId="0" xfId="0" applyFont="1" applyFill="1" applyAlignment="1">
      <alignment horizontal="center" vertical="top"/>
    </xf>
    <xf numFmtId="2" fontId="5" fillId="18" borderId="3" xfId="0" applyNumberFormat="1" applyFont="1" applyFill="1" applyBorder="1" applyAlignment="1">
      <alignment horizontal="center" vertical="top"/>
    </xf>
    <xf numFmtId="10" fontId="5" fillId="18" borderId="3" xfId="0" applyNumberFormat="1" applyFont="1" applyFill="1" applyBorder="1" applyAlignment="1">
      <alignment horizontal="center" vertical="top"/>
    </xf>
    <xf numFmtId="2" fontId="5" fillId="18" borderId="6" xfId="0" applyNumberFormat="1" applyFont="1" applyFill="1" applyBorder="1" applyAlignment="1">
      <alignment horizontal="center" vertical="top"/>
    </xf>
    <xf numFmtId="10" fontId="5" fillId="18" borderId="7" xfId="0" applyNumberFormat="1" applyFont="1" applyFill="1" applyBorder="1" applyAlignment="1">
      <alignment horizontal="center" vertical="top"/>
    </xf>
    <xf numFmtId="2" fontId="6" fillId="18" borderId="0" xfId="0" applyNumberFormat="1" applyFont="1" applyFill="1" applyAlignment="1">
      <alignment horizontal="center" vertical="top"/>
    </xf>
    <xf numFmtId="0" fontId="6" fillId="18" borderId="14" xfId="0" applyFont="1" applyFill="1" applyBorder="1" applyAlignment="1">
      <alignment horizontal="left" vertical="top"/>
    </xf>
    <xf numFmtId="0" fontId="5" fillId="18" borderId="0" xfId="0" applyFont="1" applyFill="1" applyAlignment="1">
      <alignment horizontal="center" vertical="top"/>
    </xf>
    <xf numFmtId="10" fontId="5" fillId="18" borderId="3" xfId="0" applyNumberFormat="1" applyFont="1" applyFill="1" applyBorder="1" applyAlignment="1">
      <alignment horizontal="center" vertical="center"/>
    </xf>
    <xf numFmtId="0" fontId="6" fillId="18" borderId="14" xfId="0" applyFont="1" applyFill="1" applyBorder="1" applyAlignment="1">
      <alignment vertical="top"/>
    </xf>
    <xf numFmtId="0" fontId="5" fillId="18" borderId="14" xfId="0" applyFont="1" applyFill="1" applyBorder="1" applyAlignment="1">
      <alignment horizontal="center" vertical="top"/>
    </xf>
    <xf numFmtId="0" fontId="5" fillId="18" borderId="14" xfId="0" applyFont="1" applyFill="1" applyBorder="1" applyAlignment="1">
      <alignment horizontal="right" vertical="top"/>
    </xf>
    <xf numFmtId="0" fontId="6" fillId="18" borderId="0" xfId="0" applyFont="1" applyFill="1" applyAlignment="1">
      <alignment horizontal="left" vertical="top" wrapText="1"/>
    </xf>
    <xf numFmtId="0" fontId="16" fillId="18" borderId="0" xfId="0" applyFont="1" applyFill="1" applyAlignment="1">
      <alignment horizontal="left" vertical="top"/>
    </xf>
    <xf numFmtId="0" fontId="5" fillId="18" borderId="0" xfId="0" applyFont="1" applyFill="1" applyAlignment="1">
      <alignment horizontal="left" vertical="top"/>
    </xf>
    <xf numFmtId="0" fontId="5" fillId="18" borderId="10" xfId="0" applyFont="1" applyFill="1" applyBorder="1" applyAlignment="1">
      <alignment horizontal="left" vertical="top"/>
    </xf>
    <xf numFmtId="0" fontId="6" fillId="6" borderId="3" xfId="0" applyFont="1" applyFill="1" applyBorder="1" applyAlignment="1">
      <alignment horizontal="center" vertical="center" wrapText="1"/>
    </xf>
    <xf numFmtId="0" fontId="5" fillId="18" borderId="0" xfId="0" applyFont="1" applyFill="1" applyAlignment="1">
      <alignment horizontal="center"/>
    </xf>
    <xf numFmtId="0" fontId="6" fillId="18" borderId="3" xfId="0" applyFont="1" applyFill="1" applyBorder="1" applyAlignment="1">
      <alignment horizontal="center" vertical="center" wrapText="1"/>
    </xf>
    <xf numFmtId="0" fontId="9" fillId="18" borderId="3" xfId="1" applyFont="1" applyFill="1" applyBorder="1" applyAlignment="1">
      <alignment horizontal="center" vertical="top" wrapText="1"/>
    </xf>
    <xf numFmtId="0" fontId="6" fillId="18" borderId="3" xfId="0" applyFont="1" applyFill="1" applyBorder="1" applyAlignment="1">
      <alignment horizontal="center"/>
    </xf>
    <xf numFmtId="9" fontId="5" fillId="5" borderId="3" xfId="0" applyNumberFormat="1" applyFont="1" applyFill="1" applyBorder="1" applyAlignment="1" applyProtection="1">
      <alignment horizontal="center" vertical="center"/>
      <protection locked="0"/>
    </xf>
    <xf numFmtId="0" fontId="5" fillId="0" borderId="3" xfId="0" applyFont="1" applyBorder="1" applyAlignment="1">
      <alignment horizontal="center"/>
    </xf>
    <xf numFmtId="0" fontId="6" fillId="0" borderId="26" xfId="0" applyFont="1" applyBorder="1" applyAlignment="1">
      <alignment horizontal="left" vertical="top" wrapText="1"/>
    </xf>
    <xf numFmtId="0" fontId="6" fillId="0" borderId="22" xfId="0" applyFont="1" applyBorder="1"/>
    <xf numFmtId="0" fontId="6" fillId="0" borderId="18" xfId="0" applyFont="1" applyBorder="1"/>
    <xf numFmtId="0" fontId="6" fillId="0" borderId="23" xfId="0" applyFont="1" applyBorder="1"/>
    <xf numFmtId="0" fontId="5" fillId="26" borderId="26" xfId="0" applyFont="1" applyFill="1" applyBorder="1" applyAlignment="1">
      <alignment vertical="center"/>
    </xf>
    <xf numFmtId="0" fontId="5" fillId="26" borderId="3" xfId="0" applyFont="1" applyFill="1" applyBorder="1" applyAlignment="1">
      <alignment horizontal="center" vertical="center" wrapText="1"/>
    </xf>
    <xf numFmtId="0" fontId="5" fillId="26" borderId="27" xfId="0" applyFont="1" applyFill="1" applyBorder="1" applyAlignment="1">
      <alignment horizontal="center" vertical="center" wrapText="1"/>
    </xf>
    <xf numFmtId="0" fontId="5" fillId="26" borderId="26" xfId="0" applyFont="1" applyFill="1" applyBorder="1"/>
    <xf numFmtId="0" fontId="6" fillId="0" borderId="0" xfId="0" applyFont="1" applyAlignment="1">
      <alignment horizontal="center"/>
    </xf>
    <xf numFmtId="0" fontId="6" fillId="0" borderId="3" xfId="0" applyFont="1" applyBorder="1" applyAlignment="1">
      <alignment horizontal="center"/>
    </xf>
    <xf numFmtId="10" fontId="5" fillId="0" borderId="3" xfId="0" applyNumberFormat="1" applyFont="1" applyBorder="1" applyAlignment="1">
      <alignment horizontal="center" vertical="top"/>
    </xf>
    <xf numFmtId="1" fontId="20" fillId="22" borderId="3" xfId="0" applyNumberFormat="1" applyFont="1" applyFill="1" applyBorder="1" applyAlignment="1" applyProtection="1">
      <alignment horizontal="center" vertical="center"/>
      <protection hidden="1"/>
    </xf>
    <xf numFmtId="0" fontId="18" fillId="24" borderId="3" xfId="0" applyFont="1" applyFill="1" applyBorder="1" applyAlignment="1" applyProtection="1">
      <alignment horizontal="left" vertical="center" wrapText="1" readingOrder="1"/>
      <protection hidden="1"/>
    </xf>
    <xf numFmtId="1" fontId="20" fillId="22" borderId="3" xfId="0" applyNumberFormat="1" applyFont="1" applyFill="1" applyBorder="1" applyAlignment="1" applyProtection="1">
      <alignment horizontal="center" vertical="center" wrapText="1" readingOrder="1"/>
      <protection hidden="1"/>
    </xf>
    <xf numFmtId="0" fontId="18" fillId="24" borderId="3" xfId="0" applyFont="1" applyFill="1" applyBorder="1" applyAlignment="1" applyProtection="1">
      <alignment vertical="center" wrapText="1" readingOrder="1"/>
      <protection hidden="1"/>
    </xf>
    <xf numFmtId="165" fontId="20" fillId="22" borderId="3" xfId="0" applyNumberFormat="1" applyFont="1" applyFill="1" applyBorder="1" applyAlignment="1" applyProtection="1">
      <alignment horizontal="center" vertical="center" wrapText="1" readingOrder="1"/>
      <protection hidden="1"/>
    </xf>
    <xf numFmtId="0" fontId="6" fillId="0" borderId="10" xfId="0" applyFont="1" applyBorder="1" applyAlignment="1">
      <alignment vertical="top" wrapText="1"/>
    </xf>
    <xf numFmtId="0" fontId="6" fillId="18" borderId="18" xfId="0" applyFont="1" applyFill="1" applyBorder="1" applyAlignment="1">
      <alignment horizontal="center" vertical="top"/>
    </xf>
    <xf numFmtId="0" fontId="6" fillId="13" borderId="34" xfId="0" applyFont="1" applyFill="1" applyBorder="1" applyAlignment="1">
      <alignment vertical="top"/>
    </xf>
    <xf numFmtId="0" fontId="5" fillId="13" borderId="34" xfId="0" applyFont="1" applyFill="1" applyBorder="1" applyAlignment="1">
      <alignment horizontal="right" vertical="top"/>
    </xf>
    <xf numFmtId="0" fontId="5" fillId="13" borderId="34" xfId="0" applyFont="1" applyFill="1" applyBorder="1" applyAlignment="1">
      <alignment horizontal="center" vertical="top"/>
    </xf>
    <xf numFmtId="0" fontId="6" fillId="11" borderId="34" xfId="0" applyFont="1" applyFill="1" applyBorder="1" applyAlignment="1">
      <alignment vertical="top"/>
    </xf>
    <xf numFmtId="0" fontId="5" fillId="11" borderId="34" xfId="0" applyFont="1" applyFill="1" applyBorder="1" applyAlignment="1">
      <alignment horizontal="right" vertical="top"/>
    </xf>
    <xf numFmtId="0" fontId="5" fillId="11" borderId="34" xfId="0" applyFont="1" applyFill="1" applyBorder="1" applyAlignment="1">
      <alignment horizontal="center" vertical="top"/>
    </xf>
    <xf numFmtId="0" fontId="6" fillId="18" borderId="18" xfId="0" applyFont="1" applyFill="1" applyBorder="1" applyAlignment="1">
      <alignment horizontal="left" vertical="top"/>
    </xf>
    <xf numFmtId="0" fontId="6" fillId="18" borderId="18" xfId="0" applyFont="1" applyFill="1" applyBorder="1" applyAlignment="1">
      <alignment vertical="top"/>
    </xf>
    <xf numFmtId="0" fontId="5" fillId="18" borderId="18" xfId="0" applyFont="1" applyFill="1" applyBorder="1" applyAlignment="1">
      <alignment horizontal="center" vertical="top"/>
    </xf>
    <xf numFmtId="0" fontId="5" fillId="18" borderId="18" xfId="0" applyFont="1" applyFill="1" applyBorder="1" applyAlignment="1">
      <alignment horizontal="right" vertical="top"/>
    </xf>
    <xf numFmtId="49" fontId="5" fillId="0" borderId="0" xfId="0" applyNumberFormat="1" applyFont="1" applyAlignment="1">
      <alignment horizontal="center"/>
    </xf>
    <xf numFmtId="0" fontId="3" fillId="0" borderId="0" xfId="0" applyFont="1" applyAlignment="1">
      <alignment horizontal="left" vertical="center" wrapText="1" readingOrder="1"/>
    </xf>
    <xf numFmtId="0" fontId="26" fillId="0" borderId="0" xfId="0" applyFont="1"/>
    <xf numFmtId="0" fontId="4" fillId="0" borderId="0" xfId="0" applyFont="1" applyAlignment="1">
      <alignment horizontal="left" vertical="center" wrapText="1" readingOrder="1"/>
    </xf>
    <xf numFmtId="0" fontId="4" fillId="0" borderId="9" xfId="0" applyFont="1" applyBorder="1" applyAlignment="1">
      <alignment horizontal="left" vertical="center" wrapText="1" readingOrder="1"/>
    </xf>
    <xf numFmtId="0" fontId="26" fillId="0" borderId="0" xfId="0" applyFont="1" applyAlignment="1">
      <alignment vertical="top"/>
    </xf>
    <xf numFmtId="9" fontId="4" fillId="0" borderId="3" xfId="0" applyNumberFormat="1" applyFont="1" applyBorder="1" applyAlignment="1">
      <alignment horizontal="center" vertical="center" readingOrder="1"/>
    </xf>
    <xf numFmtId="9" fontId="4" fillId="0" borderId="4" xfId="0" applyNumberFormat="1" applyFont="1" applyBorder="1" applyAlignment="1">
      <alignment horizontal="center" vertical="center" readingOrder="1"/>
    </xf>
    <xf numFmtId="0" fontId="19" fillId="0" borderId="6" xfId="0" applyFont="1" applyBorder="1" applyAlignment="1">
      <alignment vertical="center" wrapText="1" readingOrder="1"/>
    </xf>
    <xf numFmtId="0" fontId="19" fillId="0" borderId="7" xfId="0" applyFont="1" applyBorder="1" applyAlignment="1">
      <alignment horizontal="center" vertical="center" wrapText="1" readingOrder="1"/>
    </xf>
    <xf numFmtId="0" fontId="19" fillId="0" borderId="5" xfId="0" applyFont="1" applyBorder="1" applyAlignment="1">
      <alignment horizontal="center" vertical="center" wrapText="1" readingOrder="1"/>
    </xf>
    <xf numFmtId="0" fontId="19" fillId="0" borderId="9" xfId="0" applyFont="1" applyBorder="1" applyAlignment="1">
      <alignment vertical="center" wrapText="1" readingOrder="1"/>
    </xf>
    <xf numFmtId="0" fontId="4" fillId="0" borderId="8" xfId="0" applyFont="1" applyBorder="1" applyAlignment="1">
      <alignment horizontal="center" vertical="center" wrapText="1" readingOrder="1"/>
    </xf>
    <xf numFmtId="0" fontId="4" fillId="0" borderId="3" xfId="0" applyFont="1" applyBorder="1" applyAlignment="1">
      <alignment horizontal="center" vertical="center" wrapText="1" readingOrder="1"/>
    </xf>
    <xf numFmtId="9" fontId="4" fillId="0" borderId="8" xfId="0" applyNumberFormat="1" applyFont="1" applyBorder="1" applyAlignment="1">
      <alignment vertical="center" readingOrder="1"/>
    </xf>
    <xf numFmtId="9" fontId="4" fillId="0" borderId="8" xfId="0" applyNumberFormat="1" applyFont="1" applyBorder="1" applyAlignment="1">
      <alignment horizontal="center" vertical="center" readingOrder="1"/>
    </xf>
    <xf numFmtId="0" fontId="4" fillId="0" borderId="9" xfId="0" applyFont="1" applyBorder="1" applyAlignment="1">
      <alignment vertical="top"/>
    </xf>
    <xf numFmtId="0" fontId="4" fillId="0" borderId="2" xfId="0" applyFont="1" applyBorder="1" applyAlignment="1">
      <alignment horizontal="left" vertical="center" wrapText="1" readingOrder="1"/>
    </xf>
    <xf numFmtId="9" fontId="4" fillId="0" borderId="1" xfId="0" applyNumberFormat="1" applyFont="1" applyBorder="1" applyAlignment="1">
      <alignment horizontal="center" vertical="center" wrapText="1" readingOrder="1"/>
    </xf>
    <xf numFmtId="0" fontId="6" fillId="18" borderId="0" xfId="0" applyFont="1" applyFill="1" applyAlignment="1">
      <alignment horizontal="left" vertical="center" wrapText="1"/>
    </xf>
    <xf numFmtId="0" fontId="6" fillId="0" borderId="4" xfId="0" applyFont="1" applyBorder="1" applyAlignment="1">
      <alignment horizontal="center" vertical="center"/>
    </xf>
    <xf numFmtId="0" fontId="6" fillId="18" borderId="3" xfId="0" applyFont="1" applyFill="1" applyBorder="1" applyAlignment="1">
      <alignment horizontal="left" vertical="top"/>
    </xf>
    <xf numFmtId="0" fontId="6" fillId="18" borderId="3" xfId="0" applyFont="1" applyFill="1" applyBorder="1" applyAlignment="1">
      <alignment horizontal="left" vertical="center" wrapText="1"/>
    </xf>
    <xf numFmtId="0" fontId="5" fillId="10" borderId="3" xfId="0" applyFont="1" applyFill="1" applyBorder="1" applyAlignment="1">
      <alignment horizontal="left" vertical="center" wrapText="1"/>
    </xf>
    <xf numFmtId="2" fontId="6" fillId="18" borderId="3" xfId="0" applyNumberFormat="1" applyFont="1" applyFill="1" applyBorder="1" applyAlignment="1">
      <alignment horizontal="center" vertical="top"/>
    </xf>
    <xf numFmtId="10" fontId="6" fillId="18" borderId="3" xfId="0" applyNumberFormat="1" applyFont="1" applyFill="1" applyBorder="1" applyAlignment="1">
      <alignment horizontal="center" vertical="top"/>
    </xf>
    <xf numFmtId="0" fontId="6" fillId="5" borderId="3" xfId="0" applyFont="1" applyFill="1" applyBorder="1" applyAlignment="1" applyProtection="1">
      <alignment horizontal="center" vertical="center"/>
      <protection locked="0"/>
    </xf>
    <xf numFmtId="0" fontId="6" fillId="0" borderId="0" xfId="0" applyFont="1" applyAlignment="1">
      <alignment horizontal="center" vertical="center" wrapText="1"/>
    </xf>
    <xf numFmtId="0" fontId="6" fillId="5" borderId="28" xfId="0" applyFont="1" applyFill="1" applyBorder="1" applyAlignment="1" applyProtection="1">
      <alignment horizontal="left" vertical="center"/>
      <protection locked="0"/>
    </xf>
    <xf numFmtId="0" fontId="5" fillId="18" borderId="24" xfId="0" applyFont="1" applyFill="1" applyBorder="1" applyAlignment="1">
      <alignment horizontal="left" vertical="center" wrapText="1"/>
    </xf>
    <xf numFmtId="0" fontId="5" fillId="18" borderId="0" xfId="0" applyFont="1" applyFill="1" applyAlignment="1">
      <alignment horizontal="left" vertical="center" wrapText="1"/>
    </xf>
    <xf numFmtId="0" fontId="5" fillId="26" borderId="3" xfId="0" applyFont="1" applyFill="1" applyBorder="1" applyAlignment="1">
      <alignment horizontal="center"/>
    </xf>
    <xf numFmtId="0" fontId="9" fillId="18" borderId="0" xfId="0" applyFont="1" applyFill="1"/>
    <xf numFmtId="0" fontId="19" fillId="18" borderId="0" xfId="0" applyFont="1" applyFill="1" applyAlignment="1">
      <alignment vertical="top"/>
    </xf>
    <xf numFmtId="0" fontId="28" fillId="18" borderId="0" xfId="0" applyFont="1" applyFill="1" applyAlignment="1">
      <alignment vertical="top"/>
    </xf>
    <xf numFmtId="2" fontId="9" fillId="18" borderId="0" xfId="1" quotePrefix="1" applyNumberFormat="1" applyFont="1" applyFill="1" applyAlignment="1">
      <alignment horizontal="center" vertical="top"/>
    </xf>
    <xf numFmtId="2" fontId="9" fillId="0" borderId="0" xfId="1" quotePrefix="1" applyNumberFormat="1" applyFont="1" applyAlignment="1">
      <alignment horizontal="center" vertical="top"/>
    </xf>
    <xf numFmtId="0" fontId="6" fillId="18" borderId="30" xfId="0" applyFont="1" applyFill="1" applyBorder="1" applyAlignment="1">
      <alignment horizontal="center" vertical="center" wrapText="1"/>
    </xf>
    <xf numFmtId="2" fontId="9" fillId="18" borderId="0" xfId="1" quotePrefix="1" applyNumberFormat="1" applyFont="1" applyFill="1" applyAlignment="1">
      <alignment horizontal="left" vertical="top"/>
    </xf>
    <xf numFmtId="2" fontId="11" fillId="11" borderId="3" xfId="1" applyNumberFormat="1" applyFont="1" applyFill="1" applyBorder="1" applyAlignment="1">
      <alignment horizontal="center" vertical="center"/>
    </xf>
    <xf numFmtId="0" fontId="9" fillId="18" borderId="0" xfId="1" applyFont="1" applyFill="1"/>
    <xf numFmtId="1" fontId="9" fillId="18" borderId="3" xfId="1" applyNumberFormat="1" applyFont="1" applyFill="1" applyBorder="1" applyAlignment="1">
      <alignment horizontal="center" vertical="center"/>
    </xf>
    <xf numFmtId="1" fontId="9" fillId="18" borderId="0" xfId="1" applyNumberFormat="1" applyFont="1" applyFill="1" applyAlignment="1">
      <alignment horizontal="center" vertical="center"/>
    </xf>
    <xf numFmtId="0" fontId="9" fillId="18" borderId="0" xfId="1" applyFont="1" applyFill="1" applyAlignment="1">
      <alignment horizontal="center" vertical="center"/>
    </xf>
    <xf numFmtId="0" fontId="11" fillId="11" borderId="3" xfId="1" applyFont="1" applyFill="1" applyBorder="1" applyAlignment="1">
      <alignment horizontal="center" vertical="center" wrapText="1"/>
    </xf>
    <xf numFmtId="2" fontId="28" fillId="18" borderId="0" xfId="1" applyNumberFormat="1" applyFont="1" applyFill="1" applyAlignment="1">
      <alignment horizontal="left" vertical="top"/>
    </xf>
    <xf numFmtId="0" fontId="9" fillId="18" borderId="0" xfId="1" quotePrefix="1" applyFont="1" applyFill="1" applyAlignment="1">
      <alignment horizontal="center" vertical="top"/>
    </xf>
    <xf numFmtId="0" fontId="9" fillId="0" borderId="0" xfId="0" applyFont="1"/>
    <xf numFmtId="2" fontId="9" fillId="18" borderId="0" xfId="1" applyNumberFormat="1" applyFont="1" applyFill="1" applyAlignment="1">
      <alignment horizontal="center" vertical="top"/>
    </xf>
    <xf numFmtId="0" fontId="9" fillId="18" borderId="0" xfId="1" quotePrefix="1" applyFont="1" applyFill="1" applyAlignment="1">
      <alignment horizontal="left" vertical="top"/>
    </xf>
    <xf numFmtId="0" fontId="9" fillId="0" borderId="0" xfId="1" quotePrefix="1" applyFont="1" applyAlignment="1">
      <alignment horizontal="center" vertical="top"/>
    </xf>
    <xf numFmtId="0" fontId="11" fillId="18" borderId="0" xfId="0" applyFont="1" applyFill="1"/>
    <xf numFmtId="2" fontId="9" fillId="18" borderId="0" xfId="1" applyNumberFormat="1" applyFont="1" applyFill="1" applyAlignment="1">
      <alignment horizontal="left" vertical="top"/>
    </xf>
    <xf numFmtId="0" fontId="28" fillId="28" borderId="4" xfId="1" quotePrefix="1" applyFont="1" applyFill="1" applyBorder="1" applyAlignment="1">
      <alignment horizontal="center" wrapText="1"/>
    </xf>
    <xf numFmtId="0" fontId="11" fillId="28" borderId="7" xfId="1" quotePrefix="1" applyFont="1" applyFill="1" applyBorder="1" applyAlignment="1">
      <alignment horizontal="center" wrapText="1"/>
    </xf>
    <xf numFmtId="0" fontId="9" fillId="18" borderId="3" xfId="0" applyFont="1" applyFill="1" applyBorder="1" applyAlignment="1">
      <alignment horizontal="center" vertical="center"/>
    </xf>
    <xf numFmtId="165" fontId="9" fillId="18" borderId="3" xfId="0" applyNumberFormat="1" applyFont="1" applyFill="1" applyBorder="1" applyAlignment="1">
      <alignment horizontal="center" vertical="center"/>
    </xf>
    <xf numFmtId="165" fontId="9" fillId="18" borderId="3" xfId="1" applyNumberFormat="1" applyFont="1" applyFill="1" applyBorder="1" applyAlignment="1">
      <alignment horizontal="center" vertical="center"/>
    </xf>
    <xf numFmtId="0" fontId="11" fillId="18" borderId="0" xfId="1" applyFont="1" applyFill="1" applyAlignment="1">
      <alignment horizontal="right"/>
    </xf>
    <xf numFmtId="0" fontId="11" fillId="28" borderId="3" xfId="1" applyFont="1" applyFill="1" applyBorder="1" applyAlignment="1">
      <alignment horizontal="center"/>
    </xf>
    <xf numFmtId="0" fontId="9" fillId="0" borderId="0" xfId="1" applyFont="1"/>
    <xf numFmtId="2" fontId="9" fillId="0" borderId="0" xfId="1" applyNumberFormat="1" applyFont="1" applyAlignment="1">
      <alignment horizontal="left" vertical="top"/>
    </xf>
    <xf numFmtId="0" fontId="9" fillId="28" borderId="1" xfId="1" applyFont="1" applyFill="1" applyBorder="1" applyAlignment="1">
      <alignment horizontal="center" vertical="center"/>
    </xf>
    <xf numFmtId="0" fontId="11" fillId="28" borderId="2" xfId="0" applyFont="1" applyFill="1" applyBorder="1" applyAlignment="1">
      <alignment horizontal="right" vertical="center"/>
    </xf>
    <xf numFmtId="0" fontId="9" fillId="28" borderId="12" xfId="1" applyFont="1" applyFill="1" applyBorder="1" applyAlignment="1">
      <alignment horizontal="center" vertical="center"/>
    </xf>
    <xf numFmtId="0" fontId="11" fillId="28" borderId="13" xfId="0" applyFont="1" applyFill="1" applyBorder="1" applyAlignment="1">
      <alignment horizontal="right" vertical="top"/>
    </xf>
    <xf numFmtId="0" fontId="11" fillId="28" borderId="3" xfId="0" applyFont="1" applyFill="1" applyBorder="1" applyAlignment="1">
      <alignment horizontal="center" vertical="center" wrapText="1"/>
    </xf>
    <xf numFmtId="0" fontId="11" fillId="28" borderId="5" xfId="1" applyFont="1" applyFill="1" applyBorder="1" applyAlignment="1">
      <alignment horizontal="left" vertical="center"/>
    </xf>
    <xf numFmtId="0" fontId="9" fillId="28" borderId="6" xfId="0" applyFont="1" applyFill="1" applyBorder="1" applyAlignment="1">
      <alignment horizontal="left" vertical="center"/>
    </xf>
    <xf numFmtId="2" fontId="9" fillId="18" borderId="3" xfId="0" applyNumberFormat="1" applyFont="1" applyFill="1" applyBorder="1" applyAlignment="1">
      <alignment horizontal="center" vertical="center"/>
    </xf>
    <xf numFmtId="2" fontId="9" fillId="18" borderId="3" xfId="1" applyNumberFormat="1" applyFont="1" applyFill="1" applyBorder="1" applyAlignment="1">
      <alignment horizontal="center" vertical="center"/>
    </xf>
    <xf numFmtId="2" fontId="9" fillId="18" borderId="0" xfId="0" applyNumberFormat="1" applyFont="1" applyFill="1" applyAlignment="1">
      <alignment horizontal="center" vertical="center"/>
    </xf>
    <xf numFmtId="2" fontId="11" fillId="13" borderId="4" xfId="1" applyNumberFormat="1" applyFont="1" applyFill="1" applyBorder="1" applyAlignment="1">
      <alignment horizontal="center" vertical="center"/>
    </xf>
    <xf numFmtId="165" fontId="9" fillId="18" borderId="0" xfId="1" applyNumberFormat="1" applyFont="1" applyFill="1"/>
    <xf numFmtId="0" fontId="11" fillId="18" borderId="0" xfId="1" applyFont="1" applyFill="1" applyAlignment="1">
      <alignment horizontal="right" vertical="center" wrapText="1"/>
    </xf>
    <xf numFmtId="0" fontId="9" fillId="18" borderId="0" xfId="0" applyFont="1" applyFill="1" applyAlignment="1">
      <alignment horizontal="right"/>
    </xf>
    <xf numFmtId="2" fontId="11" fillId="18" borderId="0" xfId="1" applyNumberFormat="1" applyFont="1" applyFill="1" applyAlignment="1">
      <alignment horizontal="center" vertical="center"/>
    </xf>
    <xf numFmtId="0" fontId="9" fillId="18" borderId="0" xfId="1" quotePrefix="1" applyFont="1" applyFill="1" applyAlignment="1">
      <alignment horizontal="center" vertical="center"/>
    </xf>
    <xf numFmtId="2" fontId="9" fillId="18" borderId="0" xfId="1" applyNumberFormat="1" applyFont="1" applyFill="1" applyAlignment="1">
      <alignment horizontal="right" vertical="top" wrapText="1"/>
    </xf>
    <xf numFmtId="2" fontId="9" fillId="0" borderId="0" xfId="1" applyNumberFormat="1" applyFont="1" applyAlignment="1">
      <alignment horizontal="center" vertical="center"/>
    </xf>
    <xf numFmtId="2" fontId="9" fillId="0" borderId="0" xfId="1" applyNumberFormat="1" applyFont="1" applyAlignment="1">
      <alignment horizontal="center" vertical="top"/>
    </xf>
    <xf numFmtId="0" fontId="5" fillId="18" borderId="25" xfId="0" applyFont="1" applyFill="1" applyBorder="1" applyAlignment="1">
      <alignment horizontal="center" vertical="center" wrapText="1"/>
    </xf>
    <xf numFmtId="0" fontId="5" fillId="18" borderId="24" xfId="0" applyFont="1" applyFill="1" applyBorder="1" applyAlignment="1">
      <alignment horizontal="right"/>
    </xf>
    <xf numFmtId="2" fontId="5" fillId="18" borderId="0" xfId="0" applyNumberFormat="1" applyFont="1" applyFill="1" applyAlignment="1">
      <alignment horizontal="center" vertical="center"/>
    </xf>
    <xf numFmtId="164" fontId="5" fillId="18" borderId="0" xfId="0" applyNumberFormat="1" applyFont="1" applyFill="1" applyAlignment="1">
      <alignment horizontal="center" vertical="center"/>
    </xf>
    <xf numFmtId="0" fontId="6" fillId="18" borderId="30" xfId="0" applyFont="1" applyFill="1" applyBorder="1" applyAlignment="1">
      <alignment horizontal="left" vertical="center" wrapText="1"/>
    </xf>
    <xf numFmtId="0" fontId="5" fillId="6" borderId="27" xfId="0" applyFont="1" applyFill="1" applyBorder="1" applyAlignment="1">
      <alignment horizontal="center"/>
    </xf>
    <xf numFmtId="0" fontId="5" fillId="5" borderId="27" xfId="0" applyFont="1" applyFill="1" applyBorder="1" applyAlignment="1" applyProtection="1">
      <alignment horizontal="center" vertical="center" wrapText="1"/>
      <protection locked="0"/>
    </xf>
    <xf numFmtId="0" fontId="5" fillId="5" borderId="3" xfId="0" applyFont="1" applyFill="1" applyBorder="1" applyAlignment="1" applyProtection="1">
      <alignment horizontal="center" vertical="center"/>
      <protection locked="0"/>
    </xf>
    <xf numFmtId="0" fontId="6" fillId="5" borderId="26" xfId="0" applyFont="1" applyFill="1" applyBorder="1" applyProtection="1">
      <protection locked="0"/>
    </xf>
    <xf numFmtId="0" fontId="6" fillId="16" borderId="34" xfId="0" applyFont="1" applyFill="1" applyBorder="1" applyAlignment="1">
      <alignment vertical="top"/>
    </xf>
    <xf numFmtId="0" fontId="5" fillId="16" borderId="34" xfId="0" applyFont="1" applyFill="1" applyBorder="1" applyAlignment="1">
      <alignment horizontal="right" vertical="top"/>
    </xf>
    <xf numFmtId="0" fontId="5" fillId="16" borderId="34" xfId="0" applyFont="1" applyFill="1" applyBorder="1" applyAlignment="1">
      <alignment horizontal="center" vertical="top"/>
    </xf>
    <xf numFmtId="0" fontId="5" fillId="2" borderId="34" xfId="0" applyFont="1" applyFill="1" applyBorder="1" applyAlignment="1">
      <alignment vertical="top"/>
    </xf>
    <xf numFmtId="0" fontId="5" fillId="2" borderId="37" xfId="0" applyFont="1" applyFill="1" applyBorder="1" applyAlignment="1">
      <alignment horizontal="center" vertical="top" wrapText="1"/>
    </xf>
    <xf numFmtId="0" fontId="5" fillId="2" borderId="41" xfId="0" applyFont="1" applyFill="1" applyBorder="1" applyAlignment="1">
      <alignment horizontal="center" vertical="top" wrapText="1"/>
    </xf>
    <xf numFmtId="0" fontId="6" fillId="14" borderId="37" xfId="0" applyFont="1" applyFill="1" applyBorder="1" applyAlignment="1">
      <alignment vertical="top"/>
    </xf>
    <xf numFmtId="0" fontId="6" fillId="18" borderId="19" xfId="0" applyFont="1" applyFill="1" applyBorder="1"/>
    <xf numFmtId="0" fontId="6" fillId="18" borderId="20" xfId="0" applyFont="1" applyFill="1" applyBorder="1" applyAlignment="1">
      <alignment horizontal="center" vertical="center"/>
    </xf>
    <xf numFmtId="0" fontId="6" fillId="18" borderId="21" xfId="0" applyFont="1" applyFill="1" applyBorder="1"/>
    <xf numFmtId="0" fontId="6" fillId="18" borderId="22" xfId="0" applyFont="1" applyFill="1" applyBorder="1" applyAlignment="1">
      <alignment horizontal="center"/>
    </xf>
    <xf numFmtId="0" fontId="6" fillId="18" borderId="18" xfId="0" applyFont="1" applyFill="1" applyBorder="1" applyAlignment="1">
      <alignment horizontal="center"/>
    </xf>
    <xf numFmtId="0" fontId="6" fillId="18" borderId="18" xfId="0" applyFont="1" applyFill="1" applyBorder="1" applyAlignment="1">
      <alignment horizontal="center" vertical="center"/>
    </xf>
    <xf numFmtId="0" fontId="6" fillId="0" borderId="23" xfId="0" applyFont="1" applyBorder="1" applyAlignment="1">
      <alignment horizontal="center"/>
    </xf>
    <xf numFmtId="0" fontId="6" fillId="0" borderId="3" xfId="0" applyFont="1" applyBorder="1" applyAlignment="1">
      <alignment horizontal="center" vertical="center" wrapText="1"/>
    </xf>
    <xf numFmtId="0" fontId="11" fillId="3" borderId="8" xfId="0" applyFont="1" applyFill="1" applyBorder="1" applyAlignment="1">
      <alignment horizontal="left" vertical="top"/>
    </xf>
    <xf numFmtId="0" fontId="5" fillId="0" borderId="9" xfId="0" applyFont="1" applyBorder="1" applyAlignment="1">
      <alignment horizontal="center"/>
    </xf>
    <xf numFmtId="0" fontId="6" fillId="0" borderId="9" xfId="0" applyFont="1" applyBorder="1"/>
    <xf numFmtId="0" fontId="9" fillId="0" borderId="3" xfId="0" applyFont="1" applyBorder="1" applyAlignment="1">
      <alignment horizontal="center" vertical="center" wrapText="1"/>
    </xf>
    <xf numFmtId="0" fontId="9" fillId="0" borderId="3" xfId="0" applyFont="1" applyBorder="1" applyAlignment="1">
      <alignment horizontal="center"/>
    </xf>
    <xf numFmtId="0" fontId="9" fillId="18" borderId="9" xfId="1" applyFont="1" applyFill="1" applyBorder="1" applyAlignment="1">
      <alignment horizontal="center" vertical="center"/>
    </xf>
    <xf numFmtId="0" fontId="9" fillId="18" borderId="0" xfId="0" applyFont="1" applyFill="1" applyAlignment="1">
      <alignment horizontal="center" vertical="center"/>
    </xf>
    <xf numFmtId="0" fontId="9" fillId="18" borderId="5" xfId="0" applyFont="1" applyFill="1" applyBorder="1" applyAlignment="1">
      <alignment horizontal="center" vertical="center" wrapText="1"/>
    </xf>
    <xf numFmtId="0" fontId="9" fillId="18" borderId="14" xfId="0" applyFont="1" applyFill="1" applyBorder="1" applyAlignment="1">
      <alignment horizontal="center" vertical="center" wrapText="1"/>
    </xf>
    <xf numFmtId="0" fontId="9" fillId="18" borderId="10" xfId="0" applyFont="1" applyFill="1" applyBorder="1" applyAlignment="1">
      <alignment horizontal="center" vertical="center" wrapText="1"/>
    </xf>
    <xf numFmtId="0" fontId="11" fillId="11" borderId="9" xfId="1" applyFont="1" applyFill="1" applyBorder="1" applyAlignment="1">
      <alignment horizontal="center" vertical="center" wrapText="1"/>
    </xf>
    <xf numFmtId="2" fontId="9" fillId="18" borderId="0" xfId="1" applyNumberFormat="1" applyFont="1" applyFill="1" applyAlignment="1">
      <alignment horizontal="left" vertical="center" wrapText="1"/>
    </xf>
    <xf numFmtId="0" fontId="9" fillId="18" borderId="8" xfId="0" applyFont="1" applyFill="1" applyBorder="1" applyAlignment="1">
      <alignment horizontal="center" vertical="center" wrapText="1"/>
    </xf>
    <xf numFmtId="0" fontId="9" fillId="18" borderId="3" xfId="0" applyFont="1" applyFill="1" applyBorder="1" applyAlignment="1">
      <alignment horizontal="center" vertical="center" wrapText="1"/>
    </xf>
    <xf numFmtId="0" fontId="9" fillId="18" borderId="0" xfId="1" applyFont="1" applyFill="1" applyAlignment="1">
      <alignment horizontal="left" vertical="center" wrapText="1"/>
    </xf>
    <xf numFmtId="0" fontId="9" fillId="18" borderId="0" xfId="1" applyFont="1" applyFill="1" applyAlignment="1">
      <alignment horizontal="left" vertical="top" wrapText="1"/>
    </xf>
    <xf numFmtId="0" fontId="9" fillId="18" borderId="0" xfId="1" applyFont="1" applyFill="1" applyAlignment="1">
      <alignment vertical="top" wrapText="1"/>
    </xf>
    <xf numFmtId="0" fontId="9" fillId="18" borderId="0" xfId="0" applyFont="1" applyFill="1" applyAlignment="1">
      <alignment vertical="top" wrapText="1"/>
    </xf>
    <xf numFmtId="0" fontId="11" fillId="28" borderId="3" xfId="0" applyFont="1" applyFill="1" applyBorder="1" applyAlignment="1">
      <alignment horizontal="center" vertical="center"/>
    </xf>
    <xf numFmtId="0" fontId="9" fillId="18" borderId="3" xfId="1" applyFont="1" applyFill="1" applyBorder="1" applyAlignment="1">
      <alignment horizontal="center" vertical="center"/>
    </xf>
    <xf numFmtId="0" fontId="6" fillId="18" borderId="7" xfId="0" applyFont="1" applyFill="1" applyBorder="1" applyAlignment="1">
      <alignment horizontal="center" vertical="center" wrapText="1"/>
    </xf>
    <xf numFmtId="0" fontId="9" fillId="18" borderId="0" xfId="0" applyFont="1" applyFill="1" applyAlignment="1">
      <alignment horizontal="left" vertical="top" wrapText="1"/>
    </xf>
    <xf numFmtId="0" fontId="20" fillId="0" borderId="3" xfId="0" applyFont="1" applyBorder="1" applyAlignment="1">
      <alignment horizontal="center" vertical="center" wrapText="1"/>
    </xf>
    <xf numFmtId="0" fontId="11" fillId="27" borderId="3" xfId="0" applyFont="1" applyFill="1" applyBorder="1" applyAlignment="1">
      <alignment horizontal="center" vertical="center" wrapText="1"/>
    </xf>
    <xf numFmtId="0" fontId="9" fillId="18" borderId="0" xfId="0" applyFont="1" applyFill="1" applyAlignment="1">
      <alignment horizontal="center" vertical="center" wrapText="1"/>
    </xf>
    <xf numFmtId="0" fontId="37" fillId="18" borderId="3" xfId="0" applyFont="1" applyFill="1" applyBorder="1" applyAlignment="1">
      <alignment horizontal="center" vertical="top" wrapText="1"/>
    </xf>
    <xf numFmtId="0" fontId="37" fillId="18" borderId="0" xfId="0" applyFont="1" applyFill="1" applyAlignment="1">
      <alignment horizontal="center" vertical="top" wrapText="1"/>
    </xf>
    <xf numFmtId="0" fontId="9" fillId="18" borderId="3" xfId="0" applyFont="1" applyFill="1" applyBorder="1" applyAlignment="1">
      <alignment horizontal="center" vertical="center" readingOrder="1"/>
    </xf>
    <xf numFmtId="0" fontId="9" fillId="18" borderId="0" xfId="0" applyFont="1" applyFill="1" applyAlignment="1">
      <alignment horizontal="left" vertical="center" readingOrder="1"/>
    </xf>
    <xf numFmtId="0" fontId="11" fillId="13" borderId="3" xfId="0" applyFont="1" applyFill="1" applyBorder="1" applyAlignment="1">
      <alignment horizontal="center" vertical="center" wrapText="1"/>
    </xf>
    <xf numFmtId="0" fontId="11" fillId="18" borderId="0" xfId="0" applyFont="1" applyFill="1" applyAlignment="1">
      <alignment vertical="center" wrapText="1"/>
    </xf>
    <xf numFmtId="0" fontId="9" fillId="18" borderId="0" xfId="0" applyFont="1" applyFill="1" applyAlignment="1">
      <alignment vertical="center"/>
    </xf>
    <xf numFmtId="0" fontId="9" fillId="18" borderId="0" xfId="0" applyFont="1" applyFill="1" applyAlignment="1">
      <alignment horizontal="right" vertical="top"/>
    </xf>
    <xf numFmtId="0" fontId="9" fillId="18" borderId="0" xfId="0" applyFont="1" applyFill="1" applyAlignment="1">
      <alignment horizontal="left" vertical="center"/>
    </xf>
    <xf numFmtId="0" fontId="30" fillId="18" borderId="0" xfId="0" applyFont="1" applyFill="1" applyAlignment="1">
      <alignment horizontal="left" vertical="center"/>
    </xf>
    <xf numFmtId="0" fontId="9" fillId="0" borderId="0" xfId="0" applyFont="1" applyAlignment="1">
      <alignment vertical="top"/>
    </xf>
    <xf numFmtId="0" fontId="35" fillId="0" borderId="0" xfId="0" applyFont="1" applyAlignment="1">
      <alignment vertical="top"/>
    </xf>
    <xf numFmtId="0" fontId="9" fillId="18" borderId="3" xfId="0" applyFont="1" applyFill="1" applyBorder="1" applyAlignment="1">
      <alignment horizontal="center"/>
    </xf>
    <xf numFmtId="0" fontId="9" fillId="18" borderId="3" xfId="0" applyFont="1" applyFill="1" applyBorder="1"/>
    <xf numFmtId="0" fontId="9" fillId="18" borderId="4" xfId="0" applyFont="1" applyFill="1" applyBorder="1" applyAlignment="1">
      <alignment horizontal="center" vertical="center" wrapText="1"/>
    </xf>
    <xf numFmtId="0" fontId="38" fillId="18" borderId="44" xfId="0" applyFont="1" applyFill="1" applyBorder="1" applyAlignment="1">
      <alignment horizontal="center" vertical="center" wrapText="1"/>
    </xf>
    <xf numFmtId="0" fontId="9" fillId="18" borderId="10" xfId="0" applyFont="1" applyFill="1" applyBorder="1" applyAlignment="1">
      <alignment horizontal="center" vertical="center"/>
    </xf>
    <xf numFmtId="10" fontId="9" fillId="18" borderId="3" xfId="0" applyNumberFormat="1" applyFont="1" applyFill="1" applyBorder="1" applyAlignment="1">
      <alignment horizontal="center" vertical="center"/>
    </xf>
    <xf numFmtId="0" fontId="6" fillId="18" borderId="10" xfId="0" applyFont="1" applyFill="1" applyBorder="1" applyAlignment="1">
      <alignment horizontal="center" vertical="center" wrapText="1"/>
    </xf>
    <xf numFmtId="10" fontId="6" fillId="18" borderId="3" xfId="0" applyNumberFormat="1" applyFont="1" applyFill="1" applyBorder="1" applyAlignment="1">
      <alignment horizontal="center" vertical="center"/>
    </xf>
    <xf numFmtId="0" fontId="6" fillId="18" borderId="8" xfId="0" applyFont="1" applyFill="1" applyBorder="1" applyAlignment="1">
      <alignment horizontal="center" vertical="center"/>
    </xf>
    <xf numFmtId="0" fontId="9" fillId="18" borderId="8" xfId="0" applyFont="1" applyFill="1" applyBorder="1" applyAlignment="1">
      <alignment horizontal="center" vertical="center"/>
    </xf>
    <xf numFmtId="10" fontId="9" fillId="18" borderId="8" xfId="0" applyNumberFormat="1" applyFont="1" applyFill="1" applyBorder="1" applyAlignment="1">
      <alignment horizontal="center" vertical="center"/>
    </xf>
    <xf numFmtId="10" fontId="6" fillId="5" borderId="1" xfId="0" applyNumberFormat="1" applyFont="1" applyFill="1" applyBorder="1" applyAlignment="1" applyProtection="1">
      <alignment horizontal="center" vertical="center"/>
      <protection locked="0"/>
    </xf>
    <xf numFmtId="0" fontId="6" fillId="0" borderId="10" xfId="0" applyFont="1" applyBorder="1" applyAlignment="1">
      <alignment vertical="center" wrapText="1"/>
    </xf>
    <xf numFmtId="0" fontId="6" fillId="5" borderId="9" xfId="0" applyFont="1" applyFill="1" applyBorder="1" applyAlignment="1" applyProtection="1">
      <alignment vertical="center"/>
      <protection locked="0"/>
    </xf>
    <xf numFmtId="2" fontId="9" fillId="18" borderId="3" xfId="0" applyNumberFormat="1" applyFont="1" applyFill="1" applyBorder="1" applyAlignment="1">
      <alignment horizontal="center" vertical="center" wrapText="1"/>
    </xf>
    <xf numFmtId="0" fontId="9" fillId="18" borderId="6" xfId="0" applyFont="1" applyFill="1" applyBorder="1" applyAlignment="1">
      <alignment horizontal="center" vertical="center"/>
    </xf>
    <xf numFmtId="2" fontId="9" fillId="18" borderId="7" xfId="0" applyNumberFormat="1" applyFont="1" applyFill="1" applyBorder="1" applyAlignment="1">
      <alignment horizontal="center" vertical="center"/>
    </xf>
    <xf numFmtId="0" fontId="9" fillId="18" borderId="6" xfId="0" applyFont="1" applyFill="1" applyBorder="1" applyAlignment="1">
      <alignment horizontal="center" vertical="center" wrapText="1"/>
    </xf>
    <xf numFmtId="2" fontId="9" fillId="18" borderId="7" xfId="0" applyNumberFormat="1" applyFont="1" applyFill="1" applyBorder="1" applyAlignment="1">
      <alignment horizontal="center" vertical="center" wrapText="1"/>
    </xf>
    <xf numFmtId="10" fontId="9" fillId="18" borderId="5" xfId="0" applyNumberFormat="1" applyFont="1" applyFill="1" applyBorder="1" applyAlignment="1" applyProtection="1">
      <alignment horizontal="center" vertical="center"/>
      <protection locked="0"/>
    </xf>
    <xf numFmtId="0" fontId="9" fillId="0" borderId="7" xfId="0" applyFont="1" applyBorder="1" applyAlignment="1">
      <alignment horizontal="center" vertical="center"/>
    </xf>
    <xf numFmtId="2" fontId="9" fillId="0" borderId="7" xfId="0" applyNumberFormat="1" applyFont="1" applyBorder="1" applyAlignment="1">
      <alignment horizontal="center" vertical="center"/>
    </xf>
    <xf numFmtId="10" fontId="9" fillId="5" borderId="5" xfId="0" applyNumberFormat="1" applyFont="1" applyFill="1" applyBorder="1" applyAlignment="1" applyProtection="1">
      <alignment horizontal="center" vertical="center"/>
      <protection locked="0"/>
    </xf>
    <xf numFmtId="0" fontId="9" fillId="18" borderId="7" xfId="0" applyFont="1" applyFill="1" applyBorder="1" applyAlignment="1">
      <alignment horizontal="center" vertical="center"/>
    </xf>
    <xf numFmtId="0" fontId="11" fillId="9" borderId="1" xfId="0" applyFont="1" applyFill="1" applyBorder="1" applyAlignment="1">
      <alignment horizontal="left" vertical="top"/>
    </xf>
    <xf numFmtId="10" fontId="9" fillId="18" borderId="5" xfId="0" applyNumberFormat="1" applyFont="1" applyFill="1" applyBorder="1" applyAlignment="1">
      <alignment horizontal="center" vertical="center"/>
    </xf>
    <xf numFmtId="49" fontId="5" fillId="13" borderId="34" xfId="0" applyNumberFormat="1" applyFont="1" applyFill="1" applyBorder="1" applyAlignment="1">
      <alignment horizontal="center" vertical="top"/>
    </xf>
    <xf numFmtId="10" fontId="38" fillId="18" borderId="0" xfId="0" applyNumberFormat="1" applyFont="1" applyFill="1" applyAlignment="1">
      <alignment horizontal="center" vertical="center" wrapText="1"/>
    </xf>
    <xf numFmtId="0" fontId="5" fillId="5" borderId="35" xfId="0" applyFont="1" applyFill="1" applyBorder="1" applyAlignment="1" applyProtection="1">
      <alignment horizontal="center" vertical="center" wrapText="1"/>
      <protection locked="0"/>
    </xf>
    <xf numFmtId="0" fontId="9" fillId="18" borderId="7" xfId="0" applyFont="1" applyFill="1" applyBorder="1" applyAlignment="1">
      <alignment horizontal="center" vertical="center" wrapText="1"/>
    </xf>
    <xf numFmtId="2" fontId="6" fillId="5" borderId="3" xfId="0" applyNumberFormat="1" applyFont="1" applyFill="1" applyBorder="1" applyAlignment="1" applyProtection="1">
      <alignment horizontal="center" vertical="center"/>
      <protection locked="0"/>
    </xf>
    <xf numFmtId="2" fontId="6" fillId="5" borderId="3" xfId="0" applyNumberFormat="1" applyFont="1" applyFill="1" applyBorder="1" applyAlignment="1" applyProtection="1">
      <alignment horizontal="center" vertical="top"/>
      <protection locked="0"/>
    </xf>
    <xf numFmtId="10" fontId="6" fillId="0" borderId="3" xfId="0" applyNumberFormat="1" applyFont="1" applyBorder="1" applyAlignment="1">
      <alignment horizontal="center" vertical="top"/>
    </xf>
    <xf numFmtId="0" fontId="9" fillId="0" borderId="8" xfId="0" applyFont="1" applyBorder="1" applyAlignment="1">
      <alignment horizontal="left" vertical="top" wrapText="1"/>
    </xf>
    <xf numFmtId="0" fontId="6" fillId="0" borderId="8" xfId="0" applyFont="1" applyBorder="1" applyAlignment="1">
      <alignment horizontal="left" vertical="top"/>
    </xf>
    <xf numFmtId="0" fontId="9" fillId="0" borderId="8" xfId="0" applyFont="1" applyBorder="1" applyAlignment="1">
      <alignment horizontal="left" vertical="top"/>
    </xf>
    <xf numFmtId="0" fontId="6" fillId="0" borderId="8" xfId="0" applyFont="1" applyBorder="1" applyAlignment="1">
      <alignment horizontal="left" vertical="top" wrapText="1"/>
    </xf>
    <xf numFmtId="0" fontId="9" fillId="0" borderId="1" xfId="0" applyFont="1" applyBorder="1" applyAlignment="1">
      <alignment horizontal="left" vertical="top" wrapText="1"/>
    </xf>
    <xf numFmtId="0" fontId="5" fillId="15" borderId="3" xfId="0" applyFont="1" applyFill="1" applyBorder="1" applyAlignment="1">
      <alignment horizontal="center" vertical="top" wrapText="1"/>
    </xf>
    <xf numFmtId="2" fontId="6" fillId="0" borderId="4" xfId="0" applyNumberFormat="1" applyFont="1" applyBorder="1" applyAlignment="1">
      <alignment horizontal="center" vertical="center"/>
    </xf>
    <xf numFmtId="2" fontId="6" fillId="0" borderId="7" xfId="0" applyNumberFormat="1" applyFont="1" applyBorder="1" applyAlignment="1">
      <alignment horizontal="center" vertical="top"/>
    </xf>
    <xf numFmtId="0" fontId="6" fillId="5" borderId="3" xfId="0" applyFont="1" applyFill="1" applyBorder="1" applyAlignment="1" applyProtection="1">
      <alignment horizontal="center" vertical="top"/>
      <protection locked="0"/>
    </xf>
    <xf numFmtId="0" fontId="5" fillId="2" borderId="38" xfId="0" applyFont="1" applyFill="1" applyBorder="1" applyAlignment="1">
      <alignment horizontal="center" vertical="top" wrapText="1"/>
    </xf>
    <xf numFmtId="0" fontId="5" fillId="2" borderId="3" xfId="0" applyFont="1" applyFill="1" applyBorder="1" applyAlignment="1">
      <alignment horizontal="center" vertical="top" wrapText="1"/>
    </xf>
    <xf numFmtId="10" fontId="6" fillId="5" borderId="4" xfId="0" applyNumberFormat="1" applyFont="1" applyFill="1" applyBorder="1" applyAlignment="1" applyProtection="1">
      <alignment horizontal="center" vertical="center"/>
      <protection locked="0"/>
    </xf>
    <xf numFmtId="10" fontId="6" fillId="5" borderId="7" xfId="0" applyNumberFormat="1" applyFont="1" applyFill="1" applyBorder="1" applyAlignment="1" applyProtection="1">
      <alignment horizontal="center" vertical="center"/>
      <protection locked="0"/>
    </xf>
    <xf numFmtId="10" fontId="6" fillId="5" borderId="3" xfId="0" applyNumberFormat="1" applyFont="1" applyFill="1" applyBorder="1" applyAlignment="1" applyProtection="1">
      <alignment horizontal="center" vertical="center"/>
      <protection locked="0"/>
    </xf>
    <xf numFmtId="2" fontId="9" fillId="18" borderId="8" xfId="0" applyNumberFormat="1" applyFont="1" applyFill="1" applyBorder="1" applyAlignment="1">
      <alignment horizontal="center" vertical="center"/>
    </xf>
    <xf numFmtId="2" fontId="6" fillId="5" borderId="9" xfId="0" applyNumberFormat="1" applyFont="1" applyFill="1" applyBorder="1" applyAlignment="1" applyProtection="1">
      <alignment horizontal="center" vertical="top"/>
      <protection locked="0"/>
    </xf>
    <xf numFmtId="0" fontId="5" fillId="2" borderId="10" xfId="0" applyFont="1" applyFill="1" applyBorder="1" applyAlignment="1">
      <alignment horizontal="left" vertical="top"/>
    </xf>
    <xf numFmtId="2" fontId="6" fillId="18" borderId="7" xfId="0" applyNumberFormat="1" applyFont="1" applyFill="1" applyBorder="1" applyAlignment="1">
      <alignment horizontal="center" vertical="center"/>
    </xf>
    <xf numFmtId="49" fontId="11" fillId="10" borderId="8" xfId="0" applyNumberFormat="1" applyFont="1" applyFill="1" applyBorder="1" applyAlignment="1">
      <alignment horizontal="left" vertical="center"/>
    </xf>
    <xf numFmtId="0" fontId="11" fillId="10" borderId="10" xfId="0" applyFont="1" applyFill="1" applyBorder="1" applyAlignment="1">
      <alignment horizontal="center" vertical="center"/>
    </xf>
    <xf numFmtId="0" fontId="11" fillId="10" borderId="9" xfId="0" applyFont="1" applyFill="1" applyBorder="1" applyAlignment="1">
      <alignment horizontal="center" vertical="center"/>
    </xf>
    <xf numFmtId="49" fontId="6" fillId="18" borderId="12" xfId="0" applyNumberFormat="1" applyFont="1" applyFill="1" applyBorder="1"/>
    <xf numFmtId="0" fontId="6" fillId="18" borderId="13" xfId="0" applyFont="1" applyFill="1" applyBorder="1"/>
    <xf numFmtId="49" fontId="5" fillId="18" borderId="12" xfId="0" applyNumberFormat="1" applyFont="1" applyFill="1" applyBorder="1"/>
    <xf numFmtId="0" fontId="5" fillId="18" borderId="13" xfId="0" applyFont="1" applyFill="1" applyBorder="1" applyAlignment="1">
      <alignment horizontal="center"/>
    </xf>
    <xf numFmtId="2" fontId="5" fillId="6" borderId="3" xfId="0" applyNumberFormat="1" applyFont="1" applyFill="1" applyBorder="1" applyAlignment="1">
      <alignment horizontal="center"/>
    </xf>
    <xf numFmtId="0" fontId="6" fillId="0" borderId="13" xfId="0" applyFont="1" applyBorder="1" applyAlignment="1">
      <alignment vertical="center" wrapText="1"/>
    </xf>
    <xf numFmtId="49" fontId="5" fillId="10" borderId="46" xfId="0" applyNumberFormat="1" applyFont="1" applyFill="1" applyBorder="1" applyAlignment="1">
      <alignment vertical="center"/>
    </xf>
    <xf numFmtId="0" fontId="5" fillId="10" borderId="47" xfId="0" applyFont="1" applyFill="1" applyBorder="1" applyAlignment="1">
      <alignment vertical="center"/>
    </xf>
    <xf numFmtId="0" fontId="9" fillId="18" borderId="13" xfId="0" applyFont="1" applyFill="1" applyBorder="1" applyAlignment="1">
      <alignment horizontal="left" vertical="center" wrapText="1" readingOrder="1"/>
    </xf>
    <xf numFmtId="49" fontId="5" fillId="6" borderId="8" xfId="0" applyNumberFormat="1" applyFont="1" applyFill="1" applyBorder="1" applyAlignment="1">
      <alignment vertical="top"/>
    </xf>
    <xf numFmtId="0" fontId="6" fillId="18" borderId="13" xfId="0" applyFont="1" applyFill="1" applyBorder="1" applyAlignment="1">
      <alignment vertical="top"/>
    </xf>
    <xf numFmtId="49" fontId="6" fillId="18" borderId="3" xfId="0" applyNumberFormat="1" applyFont="1" applyFill="1" applyBorder="1"/>
    <xf numFmtId="0" fontId="34" fillId="18" borderId="0" xfId="0" applyFont="1" applyFill="1" applyAlignment="1">
      <alignment horizontal="left" vertical="center"/>
    </xf>
    <xf numFmtId="0" fontId="6" fillId="18" borderId="13" xfId="0" applyFont="1" applyFill="1" applyBorder="1" applyAlignment="1">
      <alignment horizontal="center"/>
    </xf>
    <xf numFmtId="49" fontId="6" fillId="18" borderId="3" xfId="0" applyNumberFormat="1" applyFont="1" applyFill="1" applyBorder="1" applyAlignment="1">
      <alignment vertical="top"/>
    </xf>
    <xf numFmtId="49" fontId="5" fillId="6" borderId="3" xfId="0" applyNumberFormat="1" applyFont="1" applyFill="1" applyBorder="1" applyAlignment="1">
      <alignment vertical="top"/>
    </xf>
    <xf numFmtId="49" fontId="9" fillId="18" borderId="3" xfId="0" applyNumberFormat="1" applyFont="1" applyFill="1" applyBorder="1" applyAlignment="1">
      <alignment vertical="top"/>
    </xf>
    <xf numFmtId="49" fontId="5" fillId="12" borderId="8" xfId="0" applyNumberFormat="1" applyFont="1" applyFill="1" applyBorder="1" applyAlignment="1">
      <alignment vertical="center"/>
    </xf>
    <xf numFmtId="0" fontId="5" fillId="12" borderId="9" xfId="0" applyFont="1" applyFill="1" applyBorder="1" applyAlignment="1">
      <alignment vertical="center"/>
    </xf>
    <xf numFmtId="49" fontId="5" fillId="14" borderId="8" xfId="0" applyNumberFormat="1" applyFont="1" applyFill="1" applyBorder="1" applyAlignment="1">
      <alignment horizontal="left" vertical="top"/>
    </xf>
    <xf numFmtId="165" fontId="5" fillId="9" borderId="8" xfId="0" applyNumberFormat="1" applyFont="1" applyFill="1" applyBorder="1" applyAlignment="1">
      <alignment horizontal="left" vertical="top"/>
    </xf>
    <xf numFmtId="0" fontId="5" fillId="9" borderId="9" xfId="0" applyFont="1" applyFill="1" applyBorder="1" applyAlignment="1">
      <alignment horizontal="center" vertical="top" wrapText="1"/>
    </xf>
    <xf numFmtId="165" fontId="5" fillId="14" borderId="8" xfId="0" applyNumberFormat="1" applyFont="1" applyFill="1" applyBorder="1" applyAlignment="1">
      <alignment horizontal="left" vertical="top"/>
    </xf>
    <xf numFmtId="0" fontId="6" fillId="14" borderId="9" xfId="0" applyFont="1" applyFill="1" applyBorder="1" applyAlignment="1">
      <alignment vertical="top"/>
    </xf>
    <xf numFmtId="2" fontId="6" fillId="14" borderId="9" xfId="0" applyNumberFormat="1" applyFont="1" applyFill="1" applyBorder="1" applyAlignment="1">
      <alignment horizontal="center" vertical="center"/>
    </xf>
    <xf numFmtId="165" fontId="6" fillId="0" borderId="8" xfId="0" applyNumberFormat="1" applyFont="1" applyBorder="1" applyAlignment="1">
      <alignment horizontal="left" vertical="top" wrapText="1"/>
    </xf>
    <xf numFmtId="165" fontId="9" fillId="0" borderId="8" xfId="0" quotePrefix="1" applyNumberFormat="1" applyFont="1" applyBorder="1" applyAlignment="1">
      <alignment horizontal="left" vertical="top" wrapText="1"/>
    </xf>
    <xf numFmtId="2" fontId="6" fillId="14" borderId="9" xfId="0" applyNumberFormat="1" applyFont="1" applyFill="1" applyBorder="1" applyAlignment="1">
      <alignment vertical="center"/>
    </xf>
    <xf numFmtId="0" fontId="6" fillId="18" borderId="8" xfId="0" applyFont="1" applyFill="1" applyBorder="1" applyAlignment="1">
      <alignment horizontal="left" vertical="top" wrapText="1"/>
    </xf>
    <xf numFmtId="2" fontId="5" fillId="9" borderId="9" xfId="0" applyNumberFormat="1" applyFont="1" applyFill="1" applyBorder="1" applyAlignment="1">
      <alignment horizontal="left" vertical="center"/>
    </xf>
    <xf numFmtId="0" fontId="6" fillId="18" borderId="8" xfId="0" applyFont="1" applyFill="1" applyBorder="1" applyAlignment="1">
      <alignment horizontal="left" vertical="top"/>
    </xf>
    <xf numFmtId="49" fontId="6" fillId="18" borderId="12" xfId="0" applyNumberFormat="1" applyFont="1" applyFill="1" applyBorder="1" applyAlignment="1">
      <alignment vertical="top"/>
    </xf>
    <xf numFmtId="2" fontId="5" fillId="6" borderId="3" xfId="0" applyNumberFormat="1" applyFont="1" applyFill="1" applyBorder="1" applyAlignment="1">
      <alignment horizontal="center" vertical="center"/>
    </xf>
    <xf numFmtId="49" fontId="6" fillId="18" borderId="48" xfId="0" applyNumberFormat="1" applyFont="1" applyFill="1" applyBorder="1" applyAlignment="1">
      <alignment vertical="top"/>
    </xf>
    <xf numFmtId="0" fontId="6" fillId="18" borderId="49" xfId="0" applyFont="1" applyFill="1" applyBorder="1" applyAlignment="1">
      <alignment vertical="top"/>
    </xf>
    <xf numFmtId="0" fontId="5" fillId="9" borderId="9" xfId="0" applyFont="1" applyFill="1" applyBorder="1" applyAlignment="1">
      <alignment horizontal="center" vertical="top"/>
    </xf>
    <xf numFmtId="0" fontId="6" fillId="0" borderId="3" xfId="0" applyFont="1" applyBorder="1" applyAlignment="1">
      <alignment horizontal="left" vertical="top"/>
    </xf>
    <xf numFmtId="49" fontId="6" fillId="0" borderId="3" xfId="0" applyNumberFormat="1" applyFont="1" applyBorder="1" applyAlignment="1">
      <alignment horizontal="left" vertical="top"/>
    </xf>
    <xf numFmtId="0" fontId="6" fillId="0" borderId="9" xfId="0" applyFont="1" applyBorder="1" applyAlignment="1">
      <alignment vertical="top" wrapText="1"/>
    </xf>
    <xf numFmtId="0" fontId="6" fillId="18" borderId="5" xfId="0" applyFont="1" applyFill="1" applyBorder="1" applyAlignment="1">
      <alignment horizontal="left" vertical="top"/>
    </xf>
    <xf numFmtId="0" fontId="5" fillId="9" borderId="6" xfId="0" applyFont="1" applyFill="1" applyBorder="1" applyAlignment="1">
      <alignment horizontal="center" vertical="top"/>
    </xf>
    <xf numFmtId="0" fontId="9" fillId="18" borderId="3" xfId="0" applyFont="1" applyFill="1" applyBorder="1" applyAlignment="1">
      <alignment horizontal="left" vertical="top"/>
    </xf>
    <xf numFmtId="2" fontId="6" fillId="9" borderId="9" xfId="0" applyNumberFormat="1" applyFont="1" applyFill="1" applyBorder="1" applyAlignment="1">
      <alignment vertical="center"/>
    </xf>
    <xf numFmtId="49" fontId="6" fillId="18" borderId="1" xfId="0" applyNumberFormat="1" applyFont="1" applyFill="1" applyBorder="1" applyAlignment="1">
      <alignment vertical="top"/>
    </xf>
    <xf numFmtId="2" fontId="11" fillId="6" borderId="7" xfId="0" applyNumberFormat="1" applyFont="1" applyFill="1" applyBorder="1" applyAlignment="1">
      <alignment horizontal="center" vertical="top"/>
    </xf>
    <xf numFmtId="2" fontId="5" fillId="18" borderId="49" xfId="0" applyNumberFormat="1" applyFont="1" applyFill="1" applyBorder="1" applyAlignment="1">
      <alignment horizontal="center" vertical="top"/>
    </xf>
    <xf numFmtId="0" fontId="5" fillId="11" borderId="39" xfId="0" applyFont="1" applyFill="1" applyBorder="1" applyAlignment="1">
      <alignment horizontal="left" vertical="top"/>
    </xf>
    <xf numFmtId="0" fontId="5" fillId="11" borderId="40" xfId="0" applyFont="1" applyFill="1" applyBorder="1" applyAlignment="1">
      <alignment vertical="top"/>
    </xf>
    <xf numFmtId="0" fontId="5" fillId="2" borderId="8" xfId="0" applyFont="1" applyFill="1" applyBorder="1" applyAlignment="1">
      <alignment horizontal="left" vertical="top"/>
    </xf>
    <xf numFmtId="0" fontId="5" fillId="10" borderId="9" xfId="0" applyFont="1" applyFill="1" applyBorder="1" applyAlignment="1">
      <alignment horizontal="center" vertical="top"/>
    </xf>
    <xf numFmtId="0" fontId="5" fillId="3" borderId="9" xfId="0" applyFont="1" applyFill="1" applyBorder="1" applyAlignment="1">
      <alignment horizontal="center" vertical="top"/>
    </xf>
    <xf numFmtId="2" fontId="6" fillId="0" borderId="30" xfId="0" applyNumberFormat="1" applyFont="1" applyBorder="1" applyAlignment="1">
      <alignment horizontal="center" vertical="top"/>
    </xf>
    <xf numFmtId="2" fontId="6" fillId="3" borderId="9" xfId="0" applyNumberFormat="1" applyFont="1" applyFill="1" applyBorder="1" applyAlignment="1">
      <alignment vertical="top"/>
    </xf>
    <xf numFmtId="2" fontId="6" fillId="3" borderId="9" xfId="0" applyNumberFormat="1" applyFont="1" applyFill="1" applyBorder="1" applyAlignment="1">
      <alignment horizontal="center" vertical="top"/>
    </xf>
    <xf numFmtId="2" fontId="6" fillId="10" borderId="13" xfId="0" applyNumberFormat="1" applyFont="1" applyFill="1" applyBorder="1" applyAlignment="1">
      <alignment vertical="top"/>
    </xf>
    <xf numFmtId="2" fontId="6" fillId="0" borderId="4" xfId="0" applyNumberFormat="1" applyFont="1" applyBorder="1" applyAlignment="1">
      <alignment horizontal="center" vertical="top"/>
    </xf>
    <xf numFmtId="2" fontId="5" fillId="6" borderId="3" xfId="0" applyNumberFormat="1" applyFont="1" applyFill="1" applyBorder="1" applyAlignment="1">
      <alignment horizontal="center" vertical="top"/>
    </xf>
    <xf numFmtId="0" fontId="5" fillId="2" borderId="39" xfId="0" applyFont="1" applyFill="1" applyBorder="1" applyAlignment="1">
      <alignment vertical="top"/>
    </xf>
    <xf numFmtId="0" fontId="6" fillId="0" borderId="1" xfId="0" applyFont="1" applyBorder="1" applyAlignment="1">
      <alignment horizontal="left" vertical="top"/>
    </xf>
    <xf numFmtId="0" fontId="6" fillId="18" borderId="8" xfId="0" applyFont="1" applyFill="1" applyBorder="1" applyAlignment="1" applyProtection="1">
      <alignment horizontal="left" vertical="top"/>
      <protection locked="0"/>
    </xf>
    <xf numFmtId="2" fontId="5" fillId="6" borderId="7" xfId="0" applyNumberFormat="1" applyFont="1" applyFill="1" applyBorder="1" applyAlignment="1">
      <alignment horizontal="center" vertical="top"/>
    </xf>
    <xf numFmtId="49" fontId="6" fillId="18" borderId="5" xfId="0" applyNumberFormat="1" applyFont="1" applyFill="1" applyBorder="1" applyAlignment="1">
      <alignment vertical="top"/>
    </xf>
    <xf numFmtId="0" fontId="5" fillId="2" borderId="3" xfId="0" applyFont="1" applyFill="1" applyBorder="1" applyAlignment="1">
      <alignment horizontal="center" vertical="top"/>
    </xf>
    <xf numFmtId="0" fontId="6" fillId="9" borderId="9" xfId="0" applyFont="1" applyFill="1" applyBorder="1" applyAlignment="1">
      <alignment vertical="top"/>
    </xf>
    <xf numFmtId="49" fontId="6" fillId="0" borderId="3" xfId="0" applyNumberFormat="1" applyFont="1" applyBorder="1" applyAlignment="1">
      <alignment vertical="top"/>
    </xf>
    <xf numFmtId="2" fontId="6" fillId="18" borderId="13" xfId="0" applyNumberFormat="1" applyFont="1" applyFill="1" applyBorder="1" applyAlignment="1">
      <alignment horizontal="center" vertical="top"/>
    </xf>
    <xf numFmtId="2" fontId="5" fillId="18" borderId="13" xfId="0" applyNumberFormat="1" applyFont="1" applyFill="1" applyBorder="1" applyAlignment="1">
      <alignment horizontal="center" vertical="top"/>
    </xf>
    <xf numFmtId="0" fontId="6" fillId="9" borderId="2" xfId="0" applyFont="1" applyFill="1" applyBorder="1" applyAlignment="1">
      <alignment vertical="top"/>
    </xf>
    <xf numFmtId="2" fontId="5" fillId="3" borderId="9" xfId="0" applyNumberFormat="1" applyFont="1" applyFill="1" applyBorder="1" applyAlignment="1">
      <alignment horizontal="center" vertical="center"/>
    </xf>
    <xf numFmtId="49" fontId="9" fillId="18" borderId="3" xfId="0" applyNumberFormat="1" applyFont="1" applyFill="1" applyBorder="1" applyAlignment="1">
      <alignment horizontal="left" vertical="top"/>
    </xf>
    <xf numFmtId="49" fontId="9" fillId="18" borderId="4" xfId="0" applyNumberFormat="1" applyFont="1" applyFill="1" applyBorder="1" applyAlignment="1">
      <alignment horizontal="left" vertical="top"/>
    </xf>
    <xf numFmtId="49" fontId="9" fillId="18" borderId="8" xfId="0" applyNumberFormat="1" applyFont="1" applyFill="1" applyBorder="1" applyAlignment="1">
      <alignment horizontal="left" vertical="top"/>
    </xf>
    <xf numFmtId="2" fontId="6" fillId="0" borderId="7" xfId="0" applyNumberFormat="1" applyFont="1" applyBorder="1" applyAlignment="1">
      <alignment horizontal="center" vertical="center"/>
    </xf>
    <xf numFmtId="2" fontId="11" fillId="6" borderId="3" xfId="0" applyNumberFormat="1" applyFont="1" applyFill="1" applyBorder="1" applyAlignment="1">
      <alignment horizontal="center" vertical="top"/>
    </xf>
    <xf numFmtId="0" fontId="5" fillId="13" borderId="39" xfId="0" applyFont="1" applyFill="1" applyBorder="1" applyAlignment="1">
      <alignment horizontal="left" vertical="top"/>
    </xf>
    <xf numFmtId="0" fontId="5" fillId="13" borderId="40" xfId="0" applyFont="1" applyFill="1" applyBorder="1" applyAlignment="1">
      <alignment vertical="top"/>
    </xf>
    <xf numFmtId="0" fontId="6" fillId="4" borderId="9" xfId="0" applyFont="1" applyFill="1" applyBorder="1" applyAlignment="1">
      <alignment vertical="top"/>
    </xf>
    <xf numFmtId="0" fontId="6" fillId="4" borderId="9" xfId="0" applyFont="1" applyFill="1" applyBorder="1" applyAlignment="1">
      <alignment vertical="center"/>
    </xf>
    <xf numFmtId="0" fontId="6" fillId="4" borderId="9" xfId="0" applyFont="1" applyFill="1" applyBorder="1" applyAlignment="1">
      <alignment horizontal="left" vertical="center"/>
    </xf>
    <xf numFmtId="0" fontId="6" fillId="4" borderId="6" xfId="0" applyFont="1" applyFill="1" applyBorder="1" applyAlignment="1">
      <alignment vertical="top"/>
    </xf>
    <xf numFmtId="2" fontId="6" fillId="4" borderId="9" xfId="0" applyNumberFormat="1" applyFont="1" applyFill="1" applyBorder="1" applyAlignment="1">
      <alignment vertical="top"/>
    </xf>
    <xf numFmtId="0" fontId="5" fillId="16" borderId="39" xfId="0" applyFont="1" applyFill="1" applyBorder="1" applyAlignment="1">
      <alignment horizontal="left" vertical="top"/>
    </xf>
    <xf numFmtId="0" fontId="5" fillId="16" borderId="40" xfId="0" applyFont="1" applyFill="1" applyBorder="1" applyAlignment="1">
      <alignment vertical="top"/>
    </xf>
    <xf numFmtId="0" fontId="5" fillId="17" borderId="4" xfId="0" applyFont="1" applyFill="1" applyBorder="1" applyAlignment="1">
      <alignment horizontal="center" vertical="top" wrapText="1"/>
    </xf>
    <xf numFmtId="0" fontId="5" fillId="9" borderId="9" xfId="0" applyFont="1" applyFill="1" applyBorder="1" applyAlignment="1">
      <alignment vertical="top" wrapText="1"/>
    </xf>
    <xf numFmtId="0" fontId="6" fillId="18" borderId="13" xfId="0" applyFont="1" applyFill="1" applyBorder="1" applyAlignment="1">
      <alignment horizontal="center" vertical="top"/>
    </xf>
    <xf numFmtId="49" fontId="5" fillId="18" borderId="12" xfId="0" applyNumberFormat="1" applyFont="1" applyFill="1" applyBorder="1" applyAlignment="1">
      <alignment horizontal="right" vertical="top"/>
    </xf>
    <xf numFmtId="0" fontId="6" fillId="0" borderId="14" xfId="0" applyFont="1" applyBorder="1" applyAlignment="1">
      <alignment horizontal="center" vertical="top"/>
    </xf>
    <xf numFmtId="0" fontId="6" fillId="18" borderId="6" xfId="0" applyFont="1" applyFill="1" applyBorder="1" applyAlignment="1">
      <alignment vertical="top"/>
    </xf>
    <xf numFmtId="0" fontId="1" fillId="20" borderId="8" xfId="0" applyFont="1" applyFill="1" applyBorder="1" applyAlignment="1" applyProtection="1">
      <alignment horizontal="left" vertical="center" wrapText="1" readingOrder="1"/>
      <protection hidden="1"/>
    </xf>
    <xf numFmtId="0" fontId="1" fillId="20" borderId="10" xfId="0" applyFont="1" applyFill="1" applyBorder="1" applyAlignment="1" applyProtection="1">
      <alignment horizontal="left" vertical="center" wrapText="1" readingOrder="1"/>
      <protection hidden="1"/>
    </xf>
    <xf numFmtId="0" fontId="1" fillId="20" borderId="9" xfId="0" applyFont="1" applyFill="1" applyBorder="1" applyAlignment="1" applyProtection="1">
      <alignment horizontal="left" vertical="center" wrapText="1" readingOrder="1"/>
      <protection hidden="1"/>
    </xf>
    <xf numFmtId="0" fontId="18" fillId="24" borderId="3" xfId="0" applyFont="1" applyFill="1" applyBorder="1" applyAlignment="1" applyProtection="1">
      <alignment horizontal="left" vertical="center" wrapText="1" readingOrder="1"/>
      <protection hidden="1"/>
    </xf>
    <xf numFmtId="1" fontId="20" fillId="22" borderId="3" xfId="0" applyNumberFormat="1" applyFont="1" applyFill="1" applyBorder="1" applyAlignment="1" applyProtection="1">
      <alignment horizontal="center" vertical="center" wrapText="1" readingOrder="1"/>
      <protection hidden="1"/>
    </xf>
    <xf numFmtId="0" fontId="1" fillId="20" borderId="8" xfId="0" applyFont="1" applyFill="1" applyBorder="1" applyAlignment="1" applyProtection="1">
      <alignment horizontal="left" vertical="center" wrapText="1"/>
      <protection hidden="1"/>
    </xf>
    <xf numFmtId="0" fontId="1" fillId="20" borderId="10" xfId="0" applyFont="1" applyFill="1" applyBorder="1" applyAlignment="1" applyProtection="1">
      <alignment horizontal="left" vertical="center" wrapText="1"/>
      <protection hidden="1"/>
    </xf>
    <xf numFmtId="0" fontId="1" fillId="20" borderId="9" xfId="0" applyFont="1" applyFill="1" applyBorder="1" applyAlignment="1" applyProtection="1">
      <alignment horizontal="left" vertical="center" wrapText="1"/>
      <protection hidden="1"/>
    </xf>
    <xf numFmtId="1" fontId="20" fillId="22" borderId="3" xfId="0" applyNumberFormat="1" applyFont="1" applyFill="1" applyBorder="1" applyAlignment="1" applyProtection="1">
      <alignment horizontal="center" vertical="center"/>
      <protection hidden="1"/>
    </xf>
    <xf numFmtId="0" fontId="18" fillId="24" borderId="3" xfId="0" applyFont="1" applyFill="1" applyBorder="1" applyAlignment="1" applyProtection="1">
      <alignment vertical="center" wrapText="1" readingOrder="1"/>
      <protection hidden="1"/>
    </xf>
    <xf numFmtId="1" fontId="20" fillId="22" borderId="30" xfId="0" applyNumberFormat="1" applyFont="1" applyFill="1" applyBorder="1" applyAlignment="1" applyProtection="1">
      <alignment horizontal="center" vertical="center" wrapText="1" readingOrder="1"/>
      <protection hidden="1"/>
    </xf>
    <xf numFmtId="1" fontId="20" fillId="22" borderId="7" xfId="0" applyNumberFormat="1" applyFont="1" applyFill="1" applyBorder="1" applyAlignment="1" applyProtection="1">
      <alignment horizontal="center" vertical="center" wrapText="1" readingOrder="1"/>
      <protection hidden="1"/>
    </xf>
    <xf numFmtId="0" fontId="6" fillId="0" borderId="8" xfId="0" applyFont="1" applyBorder="1" applyAlignment="1" applyProtection="1">
      <alignment horizontal="left" vertical="top" wrapText="1"/>
      <protection hidden="1"/>
    </xf>
    <xf numFmtId="0" fontId="6" fillId="0" borderId="10" xfId="0" applyFont="1" applyBorder="1" applyAlignment="1" applyProtection="1">
      <alignment horizontal="left" vertical="top"/>
      <protection hidden="1"/>
    </xf>
    <xf numFmtId="0" fontId="6" fillId="0" borderId="9" xfId="0" applyFont="1" applyBorder="1" applyAlignment="1" applyProtection="1">
      <alignment horizontal="left" vertical="top"/>
      <protection hidden="1"/>
    </xf>
    <xf numFmtId="0" fontId="6" fillId="0" borderId="8" xfId="0" applyFont="1" applyBorder="1" applyAlignment="1" applyProtection="1">
      <alignment horizontal="left" vertical="top"/>
      <protection hidden="1"/>
    </xf>
    <xf numFmtId="0" fontId="6" fillId="0" borderId="10" xfId="0" applyFont="1" applyBorder="1" applyAlignment="1" applyProtection="1">
      <alignment horizontal="left" vertical="top" wrapText="1"/>
      <protection hidden="1"/>
    </xf>
    <xf numFmtId="0" fontId="6" fillId="0" borderId="9" xfId="0" applyFont="1" applyBorder="1" applyAlignment="1" applyProtection="1">
      <alignment horizontal="left" vertical="top" wrapText="1"/>
      <protection hidden="1"/>
    </xf>
    <xf numFmtId="0" fontId="9" fillId="0" borderId="8" xfId="0" quotePrefix="1" applyFont="1" applyBorder="1" applyAlignment="1" applyProtection="1">
      <alignment horizontal="left" vertical="top" wrapText="1"/>
      <protection hidden="1"/>
    </xf>
    <xf numFmtId="0" fontId="9" fillId="0" borderId="10" xfId="0" quotePrefix="1" applyFont="1" applyBorder="1" applyAlignment="1" applyProtection="1">
      <alignment horizontal="left" vertical="top" wrapText="1"/>
      <protection hidden="1"/>
    </xf>
    <xf numFmtId="0" fontId="9" fillId="0" borderId="9" xfId="0" quotePrefix="1" applyFont="1" applyBorder="1" applyAlignment="1" applyProtection="1">
      <alignment horizontal="left" vertical="top" wrapText="1"/>
      <protection hidden="1"/>
    </xf>
    <xf numFmtId="0" fontId="9" fillId="0" borderId="8" xfId="0" applyFont="1" applyBorder="1" applyAlignment="1" applyProtection="1">
      <alignment horizontal="left" vertical="top"/>
      <protection hidden="1"/>
    </xf>
    <xf numFmtId="0" fontId="9" fillId="0" borderId="10" xfId="0" applyFont="1" applyBorder="1" applyAlignment="1" applyProtection="1">
      <alignment horizontal="left" vertical="top"/>
      <protection hidden="1"/>
    </xf>
    <xf numFmtId="0" fontId="9" fillId="0" borderId="9" xfId="0" applyFont="1" applyBorder="1" applyAlignment="1" applyProtection="1">
      <alignment horizontal="left" vertical="top"/>
      <protection hidden="1"/>
    </xf>
    <xf numFmtId="0" fontId="6" fillId="0" borderId="8" xfId="0" quotePrefix="1" applyFont="1" applyBorder="1" applyAlignment="1" applyProtection="1">
      <alignment horizontal="left" vertical="top"/>
      <protection hidden="1"/>
    </xf>
    <xf numFmtId="0" fontId="6" fillId="0" borderId="10" xfId="0" quotePrefix="1" applyFont="1" applyBorder="1" applyAlignment="1" applyProtection="1">
      <alignment horizontal="left" vertical="top"/>
      <protection hidden="1"/>
    </xf>
    <xf numFmtId="0" fontId="6" fillId="0" borderId="9" xfId="0" quotePrefix="1" applyFont="1" applyBorder="1" applyAlignment="1" applyProtection="1">
      <alignment horizontal="left" vertical="top"/>
      <protection hidden="1"/>
    </xf>
    <xf numFmtId="0" fontId="9" fillId="0" borderId="8"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0" fontId="9" fillId="0" borderId="9" xfId="0" applyFont="1" applyBorder="1" applyAlignment="1" applyProtection="1">
      <alignment horizontal="left" vertical="top" wrapText="1"/>
      <protection hidden="1"/>
    </xf>
    <xf numFmtId="0" fontId="9" fillId="18" borderId="8" xfId="0" applyFont="1" applyFill="1" applyBorder="1" applyAlignment="1" applyProtection="1">
      <alignment horizontal="left" vertical="top" wrapText="1"/>
      <protection hidden="1"/>
    </xf>
    <xf numFmtId="0" fontId="9" fillId="18" borderId="10" xfId="0" applyFont="1" applyFill="1" applyBorder="1" applyAlignment="1" applyProtection="1">
      <alignment horizontal="left" vertical="top" wrapText="1"/>
      <protection hidden="1"/>
    </xf>
    <xf numFmtId="0" fontId="9" fillId="18" borderId="9" xfId="0" applyFont="1" applyFill="1" applyBorder="1" applyAlignment="1" applyProtection="1">
      <alignment horizontal="left" vertical="top" wrapText="1"/>
      <protection hidden="1"/>
    </xf>
    <xf numFmtId="0" fontId="9" fillId="24" borderId="1" xfId="0" applyFont="1" applyFill="1" applyBorder="1" applyAlignment="1" applyProtection="1">
      <alignment horizontal="center" vertical="center" wrapText="1"/>
      <protection hidden="1"/>
    </xf>
    <xf numFmtId="0" fontId="9" fillId="24" borderId="11" xfId="0" applyFont="1" applyFill="1" applyBorder="1" applyAlignment="1" applyProtection="1">
      <alignment horizontal="center" vertical="center" wrapText="1"/>
      <protection hidden="1"/>
    </xf>
    <xf numFmtId="0" fontId="9" fillId="24" borderId="2" xfId="0" applyFont="1" applyFill="1" applyBorder="1" applyAlignment="1" applyProtection="1">
      <alignment horizontal="center" vertical="center" wrapText="1"/>
      <protection hidden="1"/>
    </xf>
    <xf numFmtId="0" fontId="9" fillId="24" borderId="12" xfId="0" applyFont="1" applyFill="1" applyBorder="1" applyAlignment="1" applyProtection="1">
      <alignment horizontal="center" vertical="center" wrapText="1"/>
      <protection hidden="1"/>
    </xf>
    <xf numFmtId="0" fontId="9" fillId="24" borderId="0" xfId="0" applyFont="1" applyFill="1" applyAlignment="1" applyProtection="1">
      <alignment horizontal="center" vertical="center" wrapText="1"/>
      <protection hidden="1"/>
    </xf>
    <xf numFmtId="0" fontId="9" fillId="24" borderId="13" xfId="0" applyFont="1" applyFill="1" applyBorder="1" applyAlignment="1" applyProtection="1">
      <alignment horizontal="center" vertical="center" wrapText="1"/>
      <protection hidden="1"/>
    </xf>
    <xf numFmtId="0" fontId="9" fillId="24" borderId="5" xfId="0" applyFont="1" applyFill="1" applyBorder="1" applyAlignment="1" applyProtection="1">
      <alignment horizontal="center" vertical="center" wrapText="1"/>
      <protection hidden="1"/>
    </xf>
    <xf numFmtId="0" fontId="9" fillId="24" borderId="14" xfId="0" applyFont="1" applyFill="1" applyBorder="1" applyAlignment="1" applyProtection="1">
      <alignment horizontal="center" vertical="center" wrapText="1"/>
      <protection hidden="1"/>
    </xf>
    <xf numFmtId="0" fontId="9" fillId="24" borderId="6" xfId="0" applyFont="1" applyFill="1" applyBorder="1" applyAlignment="1" applyProtection="1">
      <alignment horizontal="center" vertical="center" wrapText="1"/>
      <protection hidden="1"/>
    </xf>
    <xf numFmtId="1" fontId="20" fillId="22" borderId="4" xfId="0" applyNumberFormat="1" applyFont="1" applyFill="1" applyBorder="1" applyAlignment="1" applyProtection="1">
      <alignment horizontal="center" vertical="center"/>
      <protection hidden="1"/>
    </xf>
    <xf numFmtId="1" fontId="20" fillId="22" borderId="7" xfId="0" applyNumberFormat="1" applyFont="1" applyFill="1" applyBorder="1" applyAlignment="1" applyProtection="1">
      <alignment horizontal="center" vertical="center"/>
      <protection hidden="1"/>
    </xf>
    <xf numFmtId="0" fontId="18" fillId="24" borderId="4" xfId="0" applyFont="1" applyFill="1" applyBorder="1" applyAlignment="1" applyProtection="1">
      <alignment horizontal="left" vertical="center" wrapText="1" readingOrder="1"/>
      <protection hidden="1"/>
    </xf>
    <xf numFmtId="0" fontId="18" fillId="24" borderId="30" xfId="0" applyFont="1" applyFill="1" applyBorder="1" applyAlignment="1" applyProtection="1">
      <alignment horizontal="left" vertical="center" wrapText="1" readingOrder="1"/>
      <protection hidden="1"/>
    </xf>
    <xf numFmtId="0" fontId="18" fillId="24" borderId="7" xfId="0" applyFont="1" applyFill="1" applyBorder="1" applyAlignment="1" applyProtection="1">
      <alignment horizontal="left" vertical="center" wrapText="1" readingOrder="1"/>
      <protection hidden="1"/>
    </xf>
    <xf numFmtId="1" fontId="20" fillId="22" borderId="30" xfId="0" applyNumberFormat="1" applyFont="1" applyFill="1" applyBorder="1" applyAlignment="1" applyProtection="1">
      <alignment horizontal="center" vertical="center"/>
      <protection hidden="1"/>
    </xf>
    <xf numFmtId="0" fontId="11" fillId="10" borderId="3" xfId="0" applyFont="1" applyFill="1" applyBorder="1" applyAlignment="1">
      <alignment horizontal="center" vertical="center" wrapText="1"/>
    </xf>
    <xf numFmtId="0" fontId="20" fillId="18" borderId="3" xfId="0" applyFont="1" applyFill="1" applyBorder="1" applyAlignment="1">
      <alignment horizontal="left" vertical="center" wrapText="1"/>
    </xf>
    <xf numFmtId="0" fontId="20" fillId="0" borderId="3" xfId="0" applyFont="1" applyBorder="1" applyAlignment="1">
      <alignment horizontal="center" vertical="center" wrapText="1"/>
    </xf>
    <xf numFmtId="0" fontId="9" fillId="18" borderId="0" xfId="0" applyFont="1" applyFill="1" applyAlignment="1">
      <alignment horizontal="left" vertical="center" wrapText="1"/>
    </xf>
    <xf numFmtId="0" fontId="9" fillId="18" borderId="3" xfId="1" applyFont="1" applyFill="1" applyBorder="1" applyAlignment="1">
      <alignment horizontal="center" vertical="center"/>
    </xf>
    <xf numFmtId="0" fontId="9" fillId="18" borderId="8" xfId="1" applyFont="1" applyFill="1" applyBorder="1" applyAlignment="1">
      <alignment horizontal="center" vertical="center"/>
    </xf>
    <xf numFmtId="0" fontId="9" fillId="18" borderId="9" xfId="0" applyFont="1" applyFill="1" applyBorder="1" applyAlignment="1">
      <alignment horizontal="center" vertical="center"/>
    </xf>
    <xf numFmtId="0" fontId="9" fillId="18" borderId="0" xfId="1" applyFont="1" applyFill="1" applyAlignment="1">
      <alignment vertical="top" wrapText="1"/>
    </xf>
    <xf numFmtId="0" fontId="9" fillId="18" borderId="0" xfId="0" applyFont="1" applyFill="1" applyAlignment="1">
      <alignment vertical="top" wrapText="1"/>
    </xf>
    <xf numFmtId="0" fontId="11" fillId="11" borderId="8" xfId="1" applyFont="1" applyFill="1" applyBorder="1" applyAlignment="1">
      <alignment horizontal="center" wrapText="1"/>
    </xf>
    <xf numFmtId="0" fontId="9" fillId="11" borderId="9" xfId="0" applyFont="1" applyFill="1" applyBorder="1" applyAlignment="1">
      <alignment horizontal="center" wrapText="1"/>
    </xf>
    <xf numFmtId="0" fontId="9" fillId="18" borderId="0" xfId="1" applyFont="1" applyFill="1" applyAlignment="1">
      <alignment horizontal="left" wrapText="1"/>
    </xf>
    <xf numFmtId="0" fontId="11" fillId="11" borderId="3" xfId="0" applyFont="1" applyFill="1" applyBorder="1" applyAlignment="1">
      <alignment horizontal="center" vertical="center" wrapText="1"/>
    </xf>
    <xf numFmtId="0" fontId="9" fillId="18" borderId="3" xfId="0" applyFont="1" applyFill="1" applyBorder="1" applyAlignment="1">
      <alignment horizontal="center" vertical="center" wrapText="1"/>
    </xf>
    <xf numFmtId="0" fontId="9" fillId="18" borderId="4" xfId="0" applyFont="1" applyFill="1" applyBorder="1" applyAlignment="1">
      <alignment horizontal="center" vertical="center" wrapText="1"/>
    </xf>
    <xf numFmtId="0" fontId="9" fillId="18" borderId="30" xfId="0" applyFont="1" applyFill="1" applyBorder="1" applyAlignment="1">
      <alignment horizontal="center" vertical="center" wrapText="1"/>
    </xf>
    <xf numFmtId="0" fontId="9" fillId="18" borderId="7" xfId="0" applyFont="1" applyFill="1" applyBorder="1" applyAlignment="1">
      <alignment horizontal="center" vertical="center" wrapText="1"/>
    </xf>
    <xf numFmtId="0" fontId="9" fillId="18" borderId="0" xfId="0" applyFont="1" applyFill="1" applyAlignment="1">
      <alignment horizontal="left" vertical="top" wrapText="1"/>
    </xf>
    <xf numFmtId="0" fontId="9" fillId="18" borderId="0" xfId="1" applyFont="1" applyFill="1" applyAlignment="1">
      <alignment wrapText="1"/>
    </xf>
    <xf numFmtId="0" fontId="9" fillId="18" borderId="0" xfId="0" applyFont="1" applyFill="1" applyAlignment="1">
      <alignment wrapText="1"/>
    </xf>
    <xf numFmtId="0" fontId="9" fillId="0" borderId="0" xfId="0" applyFont="1" applyAlignment="1">
      <alignment horizontal="left" vertical="top" wrapText="1"/>
    </xf>
    <xf numFmtId="0" fontId="11" fillId="27" borderId="3" xfId="0" applyFont="1" applyFill="1" applyBorder="1" applyAlignment="1">
      <alignment horizontal="center" vertical="center" wrapText="1"/>
    </xf>
    <xf numFmtId="0" fontId="9" fillId="18" borderId="8" xfId="0" applyFont="1" applyFill="1" applyBorder="1" applyAlignment="1">
      <alignment horizontal="center" vertical="center" wrapText="1"/>
    </xf>
    <xf numFmtId="0" fontId="9" fillId="18" borderId="9" xfId="0" applyFont="1" applyFill="1" applyBorder="1" applyAlignment="1">
      <alignment horizontal="center" vertical="center" wrapText="1"/>
    </xf>
    <xf numFmtId="0" fontId="9" fillId="18" borderId="3" xfId="1" applyFont="1" applyFill="1" applyBorder="1" applyAlignment="1">
      <alignment horizontal="center"/>
    </xf>
    <xf numFmtId="0" fontId="9" fillId="18" borderId="3" xfId="1" applyFont="1" applyFill="1" applyBorder="1" applyAlignment="1">
      <alignment horizontal="center" vertical="center" wrapText="1"/>
    </xf>
    <xf numFmtId="2" fontId="9" fillId="18" borderId="0" xfId="1" quotePrefix="1" applyNumberFormat="1" applyFont="1" applyFill="1" applyAlignment="1">
      <alignment horizontal="left" vertical="top" wrapText="1"/>
    </xf>
    <xf numFmtId="0" fontId="9" fillId="18" borderId="8" xfId="1" applyFont="1" applyFill="1" applyBorder="1" applyAlignment="1">
      <alignment horizontal="left" vertical="top" wrapText="1"/>
    </xf>
    <xf numFmtId="0" fontId="9" fillId="18" borderId="10" xfId="1" applyFont="1" applyFill="1" applyBorder="1" applyAlignment="1">
      <alignment horizontal="left" vertical="top" wrapText="1"/>
    </xf>
    <xf numFmtId="0" fontId="9" fillId="18" borderId="9" xfId="1" applyFont="1" applyFill="1" applyBorder="1" applyAlignment="1">
      <alignment horizontal="left" vertical="top" wrapText="1"/>
    </xf>
    <xf numFmtId="0" fontId="9" fillId="0" borderId="0" xfId="1" applyFont="1" applyAlignment="1">
      <alignment horizontal="left" vertical="center" wrapText="1"/>
    </xf>
    <xf numFmtId="0" fontId="11" fillId="11" borderId="9" xfId="1" applyFont="1" applyFill="1" applyBorder="1" applyAlignment="1">
      <alignment horizontal="center" wrapText="1"/>
    </xf>
    <xf numFmtId="0" fontId="9" fillId="18" borderId="3" xfId="0" applyFont="1" applyFill="1" applyBorder="1" applyAlignment="1">
      <alignment horizontal="center"/>
    </xf>
    <xf numFmtId="0" fontId="11" fillId="0" borderId="3" xfId="1" applyFont="1" applyBorder="1" applyAlignment="1">
      <alignment horizontal="left" vertical="top" wrapText="1"/>
    </xf>
    <xf numFmtId="0" fontId="11" fillId="18" borderId="8" xfId="1" applyFont="1" applyFill="1" applyBorder="1" applyAlignment="1">
      <alignment horizontal="left" vertical="top" wrapText="1"/>
    </xf>
    <xf numFmtId="0" fontId="9" fillId="18" borderId="11" xfId="1" applyFont="1" applyFill="1" applyBorder="1" applyAlignment="1">
      <alignment horizontal="left" vertical="top" wrapText="1"/>
    </xf>
    <xf numFmtId="0" fontId="9" fillId="18" borderId="0" xfId="1" applyFont="1" applyFill="1" applyAlignment="1">
      <alignment horizontal="left" vertical="center" wrapText="1"/>
    </xf>
    <xf numFmtId="0" fontId="11" fillId="13" borderId="3" xfId="0" applyFont="1" applyFill="1" applyBorder="1" applyAlignment="1">
      <alignment horizontal="center" vertical="center" wrapText="1"/>
    </xf>
    <xf numFmtId="0" fontId="11" fillId="13" borderId="3" xfId="1" applyFont="1" applyFill="1" applyBorder="1" applyAlignment="1">
      <alignment horizontal="center" vertical="center" wrapText="1"/>
    </xf>
    <xf numFmtId="0" fontId="11" fillId="13" borderId="8" xfId="1" applyFont="1" applyFill="1" applyBorder="1" applyAlignment="1">
      <alignment horizontal="center" vertical="center" wrapText="1"/>
    </xf>
    <xf numFmtId="0" fontId="11" fillId="13" borderId="10" xfId="1" applyFont="1" applyFill="1" applyBorder="1" applyAlignment="1">
      <alignment horizontal="center" vertical="center" wrapText="1"/>
    </xf>
    <xf numFmtId="0" fontId="11" fillId="13" borderId="9" xfId="1" applyFont="1" applyFill="1" applyBorder="1" applyAlignment="1">
      <alignment horizontal="center" vertical="center" wrapText="1"/>
    </xf>
    <xf numFmtId="0" fontId="9" fillId="18" borderId="0" xfId="1" applyFont="1" applyFill="1" applyAlignment="1">
      <alignment horizontal="left" vertical="top" wrapText="1"/>
    </xf>
    <xf numFmtId="0" fontId="11" fillId="28" borderId="3" xfId="1" applyFont="1" applyFill="1" applyBorder="1" applyAlignment="1">
      <alignment horizontal="center" vertical="center"/>
    </xf>
    <xf numFmtId="0" fontId="11" fillId="28" borderId="3" xfId="0" applyFont="1" applyFill="1" applyBorder="1" applyAlignment="1">
      <alignment horizontal="center" vertical="center"/>
    </xf>
    <xf numFmtId="0" fontId="9" fillId="28" borderId="3" xfId="0" applyFont="1" applyFill="1" applyBorder="1" applyAlignment="1">
      <alignment horizontal="center" vertical="center"/>
    </xf>
    <xf numFmtId="0" fontId="9" fillId="18" borderId="8" xfId="0" applyFont="1" applyFill="1" applyBorder="1" applyAlignment="1">
      <alignment horizontal="center" vertical="center"/>
    </xf>
    <xf numFmtId="0" fontId="9" fillId="0" borderId="3" xfId="1" applyFont="1" applyBorder="1" applyAlignment="1">
      <alignment horizontal="center" vertical="top" wrapText="1"/>
    </xf>
    <xf numFmtId="2" fontId="9" fillId="18" borderId="0" xfId="1" applyNumberFormat="1" applyFont="1" applyFill="1" applyAlignment="1">
      <alignment horizontal="left" vertical="center" wrapText="1"/>
    </xf>
    <xf numFmtId="0" fontId="9" fillId="18" borderId="0" xfId="0" applyFont="1" applyFill="1" applyAlignment="1">
      <alignment horizontal="left" vertical="top"/>
    </xf>
    <xf numFmtId="0" fontId="9" fillId="18" borderId="1" xfId="0" applyFont="1" applyFill="1" applyBorder="1" applyAlignment="1">
      <alignment horizontal="center" vertical="center" wrapText="1"/>
    </xf>
    <xf numFmtId="0" fontId="9" fillId="18" borderId="2" xfId="0" applyFont="1" applyFill="1" applyBorder="1" applyAlignment="1">
      <alignment horizontal="center" vertical="center" wrapText="1"/>
    </xf>
    <xf numFmtId="0" fontId="9" fillId="18" borderId="12" xfId="0" applyFont="1" applyFill="1" applyBorder="1" applyAlignment="1">
      <alignment horizontal="center" vertical="center" wrapText="1"/>
    </xf>
    <xf numFmtId="0" fontId="9" fillId="18" borderId="13" xfId="0" applyFont="1" applyFill="1" applyBorder="1" applyAlignment="1">
      <alignment horizontal="center" vertical="center" wrapText="1"/>
    </xf>
    <xf numFmtId="0" fontId="11" fillId="28" borderId="3" xfId="0" applyFont="1" applyFill="1" applyBorder="1" applyAlignment="1">
      <alignment horizontal="center" vertical="center" wrapText="1"/>
    </xf>
    <xf numFmtId="0" fontId="9" fillId="0" borderId="3" xfId="0" applyFont="1" applyBorder="1" applyAlignment="1">
      <alignment horizontal="center"/>
    </xf>
    <xf numFmtId="0" fontId="9" fillId="18" borderId="3" xfId="1" applyFont="1" applyFill="1" applyBorder="1" applyAlignment="1">
      <alignment horizontal="left" vertical="top" wrapText="1"/>
    </xf>
    <xf numFmtId="0" fontId="5" fillId="5" borderId="35" xfId="0" applyFont="1" applyFill="1" applyBorder="1" applyAlignment="1" applyProtection="1">
      <alignment horizontal="center" vertical="center"/>
      <protection locked="0"/>
    </xf>
    <xf numFmtId="0" fontId="5" fillId="5" borderId="45" xfId="0" applyFont="1" applyFill="1" applyBorder="1" applyAlignment="1" applyProtection="1">
      <alignment horizontal="center" vertical="center"/>
      <protection locked="0"/>
    </xf>
    <xf numFmtId="0" fontId="11" fillId="5" borderId="43" xfId="0" applyFont="1" applyFill="1" applyBorder="1" applyAlignment="1" applyProtection="1">
      <alignment horizontal="center" vertical="center" wrapText="1"/>
      <protection locked="0"/>
    </xf>
    <xf numFmtId="0" fontId="11" fillId="5" borderId="36" xfId="0" applyFont="1" applyFill="1" applyBorder="1" applyAlignment="1" applyProtection="1">
      <alignment horizontal="center" vertical="center" wrapText="1"/>
      <protection locked="0"/>
    </xf>
    <xf numFmtId="0" fontId="6" fillId="18" borderId="26" xfId="0" applyFont="1" applyFill="1" applyBorder="1" applyAlignment="1">
      <alignment horizontal="left" vertical="center" wrapText="1"/>
    </xf>
    <xf numFmtId="0" fontId="6" fillId="18" borderId="3" xfId="0" applyFont="1" applyFill="1" applyBorder="1" applyAlignment="1">
      <alignment horizontal="left" vertical="center" wrapText="1"/>
    </xf>
    <xf numFmtId="0" fontId="6" fillId="18" borderId="8" xfId="0" applyFont="1" applyFill="1" applyBorder="1" applyAlignment="1">
      <alignment horizontal="left" vertical="center" wrapText="1"/>
    </xf>
    <xf numFmtId="0" fontId="6" fillId="5" borderId="8" xfId="0" applyFont="1" applyFill="1" applyBorder="1" applyAlignment="1" applyProtection="1">
      <alignment horizontal="left" vertical="center"/>
      <protection locked="0"/>
    </xf>
    <xf numFmtId="0" fontId="6" fillId="5" borderId="10" xfId="0" applyFont="1" applyFill="1" applyBorder="1" applyAlignment="1" applyProtection="1">
      <alignment horizontal="left" vertical="center"/>
      <protection locked="0"/>
    </xf>
    <xf numFmtId="0" fontId="6" fillId="5" borderId="29" xfId="0" applyFont="1" applyFill="1" applyBorder="1" applyAlignment="1" applyProtection="1">
      <alignment horizontal="left" vertical="center"/>
      <protection locked="0"/>
    </xf>
    <xf numFmtId="0" fontId="6" fillId="5" borderId="8" xfId="0" applyFont="1" applyFill="1" applyBorder="1" applyAlignment="1" applyProtection="1">
      <alignment horizontal="left" vertical="top"/>
      <protection locked="0"/>
    </xf>
    <xf numFmtId="0" fontId="6" fillId="5" borderId="10" xfId="0" applyFont="1" applyFill="1" applyBorder="1" applyAlignment="1" applyProtection="1">
      <alignment horizontal="left" vertical="top"/>
      <protection locked="0"/>
    </xf>
    <xf numFmtId="0" fontId="6" fillId="5" borderId="29" xfId="0" applyFont="1" applyFill="1" applyBorder="1" applyAlignment="1" applyProtection="1">
      <alignment horizontal="left" vertical="top"/>
      <protection locked="0"/>
    </xf>
    <xf numFmtId="0" fontId="5" fillId="18" borderId="0" xfId="0" applyFont="1" applyFill="1" applyAlignment="1">
      <alignment horizontal="center" wrapText="1"/>
    </xf>
    <xf numFmtId="0" fontId="6" fillId="0" borderId="31" xfId="0" applyFont="1" applyBorder="1" applyAlignment="1">
      <alignment horizontal="left" vertical="top" wrapText="1"/>
    </xf>
    <xf numFmtId="0" fontId="6" fillId="0" borderId="32" xfId="0" applyFont="1" applyBorder="1" applyAlignment="1">
      <alignment horizontal="left" vertical="top" wrapText="1"/>
    </xf>
    <xf numFmtId="0" fontId="6" fillId="0" borderId="33" xfId="0" applyFont="1" applyBorder="1" applyAlignment="1">
      <alignment horizontal="left" vertical="top" wrapText="1"/>
    </xf>
    <xf numFmtId="0" fontId="6" fillId="5" borderId="8" xfId="0" applyFont="1" applyFill="1" applyBorder="1" applyAlignment="1" applyProtection="1">
      <alignment horizontal="center" vertical="center"/>
      <protection locked="0"/>
    </xf>
    <xf numFmtId="0" fontId="6" fillId="5" borderId="29" xfId="0"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protection locked="0"/>
    </xf>
    <xf numFmtId="0" fontId="6" fillId="5" borderId="27" xfId="0" applyFont="1" applyFill="1" applyBorder="1" applyAlignment="1" applyProtection="1">
      <alignment horizontal="center" vertical="center"/>
      <protection locked="0"/>
    </xf>
    <xf numFmtId="0" fontId="6" fillId="5" borderId="3" xfId="0" applyFont="1" applyFill="1" applyBorder="1" applyAlignment="1" applyProtection="1">
      <alignment horizontal="left" vertical="center"/>
      <protection locked="0"/>
    </xf>
    <xf numFmtId="0" fontId="5" fillId="26" borderId="3" xfId="0" applyFont="1" applyFill="1" applyBorder="1" applyAlignment="1">
      <alignment horizontal="left"/>
    </xf>
    <xf numFmtId="0" fontId="6" fillId="18" borderId="28" xfId="0" applyFont="1" applyFill="1" applyBorder="1" applyAlignment="1">
      <alignment horizontal="left" vertical="center" wrapText="1"/>
    </xf>
    <xf numFmtId="0" fontId="6" fillId="18" borderId="10" xfId="0" applyFont="1" applyFill="1" applyBorder="1" applyAlignment="1">
      <alignment horizontal="left" vertical="center" wrapText="1"/>
    </xf>
    <xf numFmtId="0" fontId="6" fillId="18" borderId="9" xfId="0" applyFont="1" applyFill="1" applyBorder="1" applyAlignment="1">
      <alignment horizontal="left" vertical="center" wrapText="1"/>
    </xf>
    <xf numFmtId="0" fontId="5" fillId="18" borderId="24" xfId="0" applyFont="1" applyFill="1" applyBorder="1" applyAlignment="1">
      <alignment horizontal="left" wrapText="1"/>
    </xf>
    <xf numFmtId="0" fontId="6" fillId="0" borderId="0" xfId="0" applyFont="1" applyAlignment="1">
      <alignment horizontal="center" vertical="center" wrapText="1"/>
    </xf>
    <xf numFmtId="0" fontId="9" fillId="18" borderId="26" xfId="0" applyFont="1" applyFill="1" applyBorder="1" applyAlignment="1">
      <alignment horizontal="left" vertical="center" wrapText="1"/>
    </xf>
    <xf numFmtId="0" fontId="9" fillId="18" borderId="3" xfId="0" applyFont="1" applyFill="1" applyBorder="1" applyAlignment="1">
      <alignment horizontal="left" vertical="center" wrapText="1"/>
    </xf>
    <xf numFmtId="0" fontId="11" fillId="18" borderId="19" xfId="0" applyFont="1" applyFill="1" applyBorder="1" applyAlignment="1">
      <alignment horizontal="center" vertical="center"/>
    </xf>
    <xf numFmtId="0" fontId="11" fillId="18" borderId="20" xfId="0" applyFont="1" applyFill="1" applyBorder="1" applyAlignment="1">
      <alignment horizontal="center" vertical="center"/>
    </xf>
    <xf numFmtId="0" fontId="11" fillId="18" borderId="21" xfId="0" applyFont="1" applyFill="1" applyBorder="1" applyAlignment="1">
      <alignment horizontal="center" vertical="center"/>
    </xf>
    <xf numFmtId="0" fontId="11" fillId="18" borderId="22" xfId="0" applyFont="1" applyFill="1" applyBorder="1" applyAlignment="1">
      <alignment horizontal="center" vertical="center"/>
    </xf>
    <xf numFmtId="0" fontId="11" fillId="18" borderId="18" xfId="0" applyFont="1" applyFill="1" applyBorder="1" applyAlignment="1">
      <alignment horizontal="center" vertical="center"/>
    </xf>
    <xf numFmtId="0" fontId="11" fillId="18" borderId="23" xfId="0" applyFont="1" applyFill="1" applyBorder="1" applyAlignment="1">
      <alignment horizontal="center" vertical="center"/>
    </xf>
    <xf numFmtId="0" fontId="6" fillId="5" borderId="28" xfId="0" applyFont="1" applyFill="1" applyBorder="1" applyAlignment="1" applyProtection="1">
      <alignment horizontal="left" vertical="center"/>
      <protection locked="0"/>
    </xf>
    <xf numFmtId="0" fontId="6" fillId="5" borderId="28" xfId="0" applyFont="1" applyFill="1" applyBorder="1" applyAlignment="1" applyProtection="1">
      <alignment horizontal="left" vertical="top" wrapText="1"/>
      <protection locked="0"/>
    </xf>
    <xf numFmtId="0" fontId="6" fillId="5" borderId="10" xfId="0" applyFont="1" applyFill="1" applyBorder="1" applyAlignment="1" applyProtection="1">
      <alignment horizontal="left" vertical="top" wrapText="1"/>
      <protection locked="0"/>
    </xf>
    <xf numFmtId="0" fontId="6" fillId="5" borderId="29" xfId="0" applyFont="1" applyFill="1" applyBorder="1" applyAlignment="1" applyProtection="1">
      <alignment horizontal="left" vertical="top" wrapText="1"/>
      <protection locked="0"/>
    </xf>
    <xf numFmtId="0" fontId="6" fillId="5" borderId="28" xfId="0" applyFont="1" applyFill="1" applyBorder="1" applyAlignment="1" applyProtection="1">
      <alignment horizontal="left"/>
      <protection locked="0"/>
    </xf>
    <xf numFmtId="0" fontId="6" fillId="5" borderId="10" xfId="0" applyFont="1" applyFill="1" applyBorder="1" applyAlignment="1" applyProtection="1">
      <alignment horizontal="left"/>
      <protection locked="0"/>
    </xf>
    <xf numFmtId="0" fontId="6" fillId="5" borderId="29" xfId="0" applyFont="1" applyFill="1" applyBorder="1" applyAlignment="1" applyProtection="1">
      <alignment horizontal="left"/>
      <protection locked="0"/>
    </xf>
    <xf numFmtId="0" fontId="5" fillId="18" borderId="24" xfId="0" applyFont="1" applyFill="1" applyBorder="1" applyAlignment="1">
      <alignment horizontal="left" vertical="center" wrapText="1"/>
    </xf>
    <xf numFmtId="0" fontId="5" fillId="18" borderId="0" xfId="0" applyFont="1" applyFill="1" applyAlignment="1">
      <alignment horizontal="left" vertical="center" wrapText="1"/>
    </xf>
    <xf numFmtId="0" fontId="5" fillId="18" borderId="25" xfId="0" applyFont="1" applyFill="1" applyBorder="1" applyAlignment="1">
      <alignment horizontal="left" vertical="center" wrapText="1"/>
    </xf>
    <xf numFmtId="0" fontId="6" fillId="5" borderId="8" xfId="0" applyFont="1" applyFill="1" applyBorder="1" applyAlignment="1" applyProtection="1">
      <alignment horizontal="left" vertical="top" wrapText="1"/>
      <protection locked="0"/>
    </xf>
    <xf numFmtId="14" fontId="6" fillId="5" borderId="8" xfId="0" applyNumberFormat="1" applyFont="1" applyFill="1" applyBorder="1" applyAlignment="1" applyProtection="1">
      <alignment horizontal="left" vertical="center"/>
      <protection locked="0"/>
    </xf>
    <xf numFmtId="0" fontId="6" fillId="5" borderId="9" xfId="0" applyFont="1" applyFill="1" applyBorder="1" applyAlignment="1" applyProtection="1">
      <alignment horizontal="left" vertical="center"/>
      <protection locked="0"/>
    </xf>
    <xf numFmtId="0" fontId="5" fillId="18" borderId="0" xfId="0" applyFont="1" applyFill="1" applyAlignment="1">
      <alignment horizontal="center"/>
    </xf>
    <xf numFmtId="165" fontId="6" fillId="18" borderId="8" xfId="0" applyNumberFormat="1" applyFont="1" applyFill="1" applyBorder="1" applyAlignment="1">
      <alignment horizontal="center"/>
    </xf>
    <xf numFmtId="165" fontId="6" fillId="18" borderId="9" xfId="0" applyNumberFormat="1" applyFont="1" applyFill="1" applyBorder="1" applyAlignment="1">
      <alignment horizontal="center"/>
    </xf>
    <xf numFmtId="0" fontId="5" fillId="26" borderId="3" xfId="0" applyFont="1" applyFill="1" applyBorder="1" applyAlignment="1">
      <alignment horizontal="center"/>
    </xf>
    <xf numFmtId="0" fontId="5" fillId="26" borderId="27" xfId="0" applyFont="1" applyFill="1" applyBorder="1" applyAlignment="1">
      <alignment horizontal="center"/>
    </xf>
    <xf numFmtId="0" fontId="6" fillId="18" borderId="0" xfId="0" applyFont="1" applyFill="1" applyAlignment="1">
      <alignment horizontal="center" vertical="center" wrapText="1"/>
    </xf>
    <xf numFmtId="0" fontId="8" fillId="5" borderId="3" xfId="0" applyFont="1" applyFill="1" applyBorder="1" applyAlignment="1" applyProtection="1">
      <alignment horizontal="left" vertical="top" wrapText="1"/>
      <protection locked="0"/>
    </xf>
    <xf numFmtId="2" fontId="6" fillId="0" borderId="3" xfId="0" applyNumberFormat="1" applyFont="1" applyBorder="1" applyAlignment="1">
      <alignment horizontal="center" vertical="center"/>
    </xf>
    <xf numFmtId="2" fontId="6" fillId="5" borderId="3" xfId="0" applyNumberFormat="1" applyFont="1" applyFill="1" applyBorder="1" applyAlignment="1" applyProtection="1">
      <alignment horizontal="center" vertical="center"/>
      <protection locked="0"/>
    </xf>
    <xf numFmtId="10" fontId="6" fillId="0" borderId="3" xfId="0" applyNumberFormat="1" applyFont="1" applyBorder="1" applyAlignment="1">
      <alignment horizontal="center" vertical="center"/>
    </xf>
    <xf numFmtId="0" fontId="6" fillId="0" borderId="4" xfId="0" applyFont="1" applyBorder="1" applyAlignment="1">
      <alignment horizontal="left" vertical="top"/>
    </xf>
    <xf numFmtId="0" fontId="6" fillId="0" borderId="7" xfId="0" applyFont="1" applyBorder="1" applyAlignment="1">
      <alignment horizontal="left" vertical="top"/>
    </xf>
    <xf numFmtId="0" fontId="8" fillId="5" borderId="8" xfId="0" applyFont="1" applyFill="1" applyBorder="1" applyAlignment="1" applyProtection="1">
      <alignment horizontal="left" vertical="top"/>
      <protection locked="0"/>
    </xf>
    <xf numFmtId="0" fontId="8" fillId="5" borderId="10" xfId="0" applyFont="1" applyFill="1" applyBorder="1" applyAlignment="1" applyProtection="1">
      <alignment horizontal="left" vertical="top"/>
      <protection locked="0"/>
    </xf>
    <xf numFmtId="0" fontId="8" fillId="5" borderId="9" xfId="0" applyFont="1" applyFill="1" applyBorder="1" applyAlignment="1" applyProtection="1">
      <alignment horizontal="left" vertical="top"/>
      <protection locked="0"/>
    </xf>
    <xf numFmtId="2" fontId="6" fillId="0" borderId="3" xfId="0" applyNumberFormat="1" applyFont="1" applyBorder="1" applyAlignment="1">
      <alignment horizontal="center" vertical="top"/>
    </xf>
    <xf numFmtId="2" fontId="6" fillId="5" borderId="3" xfId="0" applyNumberFormat="1" applyFont="1" applyFill="1" applyBorder="1" applyAlignment="1" applyProtection="1">
      <alignment horizontal="center" vertical="top"/>
      <protection locked="0"/>
    </xf>
    <xf numFmtId="10" fontId="6" fillId="0" borderId="3" xfId="0" applyNumberFormat="1" applyFont="1" applyBorder="1" applyAlignment="1">
      <alignment horizontal="center" vertical="top"/>
    </xf>
    <xf numFmtId="0" fontId="6" fillId="0" borderId="8" xfId="0" applyFont="1" applyBorder="1" applyAlignment="1">
      <alignment horizontal="left" vertical="top"/>
    </xf>
    <xf numFmtId="0" fontId="6" fillId="0" borderId="10" xfId="0" applyFont="1" applyBorder="1" applyAlignment="1">
      <alignment horizontal="left" vertical="top"/>
    </xf>
    <xf numFmtId="0" fontId="6" fillId="0" borderId="9" xfId="0" applyFont="1" applyBorder="1" applyAlignment="1">
      <alignment horizontal="left" vertical="top"/>
    </xf>
    <xf numFmtId="0" fontId="9" fillId="18" borderId="8" xfId="0" applyFont="1" applyFill="1" applyBorder="1" applyAlignment="1">
      <alignment horizontal="left" vertical="top" wrapText="1"/>
    </xf>
    <xf numFmtId="0" fontId="9" fillId="18" borderId="10" xfId="0" applyFont="1" applyFill="1" applyBorder="1" applyAlignment="1">
      <alignment horizontal="left" vertical="top" wrapText="1"/>
    </xf>
    <xf numFmtId="0" fontId="9" fillId="18" borderId="9" xfId="0" applyFont="1" applyFill="1" applyBorder="1" applyAlignment="1">
      <alignment horizontal="left" vertical="top" wrapText="1"/>
    </xf>
    <xf numFmtId="2" fontId="6" fillId="0" borderId="4" xfId="0" applyNumberFormat="1" applyFont="1" applyBorder="1" applyAlignment="1">
      <alignment horizontal="center" vertical="center"/>
    </xf>
    <xf numFmtId="2" fontId="6" fillId="0" borderId="7" xfId="0" applyNumberFormat="1" applyFont="1" applyBorder="1" applyAlignment="1">
      <alignment horizontal="center" vertical="center"/>
    </xf>
    <xf numFmtId="0" fontId="9" fillId="0" borderId="5" xfId="0" quotePrefix="1" applyFont="1" applyBorder="1" applyAlignment="1">
      <alignment horizontal="left" vertical="top" wrapText="1"/>
    </xf>
    <xf numFmtId="0" fontId="9" fillId="0" borderId="14" xfId="0" quotePrefix="1" applyFont="1" applyBorder="1" applyAlignment="1">
      <alignment horizontal="left" vertical="top" wrapText="1"/>
    </xf>
    <xf numFmtId="0" fontId="9" fillId="0" borderId="6" xfId="0" quotePrefix="1" applyFont="1" applyBorder="1" applyAlignment="1">
      <alignment horizontal="left" vertical="top" wrapText="1"/>
    </xf>
    <xf numFmtId="0" fontId="9" fillId="0" borderId="8" xfId="0" quotePrefix="1" applyFont="1" applyBorder="1" applyAlignment="1">
      <alignment horizontal="left" vertical="top" wrapText="1"/>
    </xf>
    <xf numFmtId="0" fontId="9" fillId="0" borderId="10" xfId="0" quotePrefix="1" applyFont="1" applyBorder="1" applyAlignment="1">
      <alignment horizontal="left" vertical="top" wrapText="1"/>
    </xf>
    <xf numFmtId="0" fontId="9" fillId="0" borderId="9" xfId="0" quotePrefix="1" applyFont="1" applyBorder="1" applyAlignment="1">
      <alignment horizontal="left" vertical="top" wrapText="1"/>
    </xf>
    <xf numFmtId="0" fontId="6" fillId="0" borderId="3"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6" fillId="0" borderId="8" xfId="0" quotePrefix="1" applyFont="1" applyBorder="1" applyAlignment="1">
      <alignment horizontal="left" vertical="top" wrapText="1"/>
    </xf>
    <xf numFmtId="0" fontId="6" fillId="0" borderId="9" xfId="0" applyFont="1" applyBorder="1" applyAlignment="1">
      <alignment horizontal="left" vertical="top" wrapText="1"/>
    </xf>
    <xf numFmtId="0" fontId="6" fillId="0" borderId="4" xfId="0" applyFont="1" applyBorder="1" applyAlignment="1">
      <alignment horizontal="left" vertical="top" wrapText="1"/>
    </xf>
    <xf numFmtId="0" fontId="9" fillId="18" borderId="10" xfId="0" applyFont="1" applyFill="1" applyBorder="1" applyAlignment="1">
      <alignment horizontal="left" vertical="top"/>
    </xf>
    <xf numFmtId="0" fontId="9" fillId="18" borderId="9" xfId="0" applyFont="1" applyFill="1" applyBorder="1" applyAlignment="1">
      <alignment horizontal="left" vertical="top"/>
    </xf>
    <xf numFmtId="0" fontId="8" fillId="5" borderId="8" xfId="0" applyFont="1" applyFill="1" applyBorder="1" applyAlignment="1" applyProtection="1">
      <alignment horizontal="left" vertical="top" wrapText="1"/>
      <protection locked="0"/>
    </xf>
    <xf numFmtId="0" fontId="8" fillId="5" borderId="10" xfId="0" applyFont="1" applyFill="1" applyBorder="1" applyAlignment="1" applyProtection="1">
      <alignment horizontal="left" vertical="top" wrapText="1"/>
      <protection locked="0"/>
    </xf>
    <xf numFmtId="0" fontId="8" fillId="5" borderId="9" xfId="0" applyFont="1" applyFill="1" applyBorder="1" applyAlignment="1" applyProtection="1">
      <alignment horizontal="left" vertical="top" wrapText="1"/>
      <protection locked="0"/>
    </xf>
    <xf numFmtId="0" fontId="6" fillId="5" borderId="9" xfId="0" applyFont="1" applyFill="1" applyBorder="1" applyAlignment="1" applyProtection="1">
      <alignment horizontal="left" vertical="top"/>
      <protection locked="0"/>
    </xf>
    <xf numFmtId="0" fontId="9" fillId="0" borderId="8" xfId="0" applyFont="1" applyBorder="1" applyAlignment="1">
      <alignment horizontal="left" vertical="top"/>
    </xf>
    <xf numFmtId="0" fontId="9" fillId="0" borderId="9" xfId="0" applyFont="1" applyBorder="1" applyAlignment="1">
      <alignment horizontal="left" vertical="top"/>
    </xf>
    <xf numFmtId="0" fontId="5" fillId="15" borderId="1" xfId="0" applyFont="1" applyFill="1" applyBorder="1" applyAlignment="1">
      <alignment horizontal="left" vertical="top"/>
    </xf>
    <xf numFmtId="0" fontId="5" fillId="15" borderId="11" xfId="0" applyFont="1" applyFill="1" applyBorder="1" applyAlignment="1">
      <alignment horizontal="left" vertical="top"/>
    </xf>
    <xf numFmtId="0" fontId="5" fillId="15" borderId="5" xfId="0" applyFont="1" applyFill="1" applyBorder="1" applyAlignment="1">
      <alignment horizontal="left" vertical="top"/>
    </xf>
    <xf numFmtId="0" fontId="5" fillId="15" borderId="14" xfId="0" applyFont="1" applyFill="1" applyBorder="1" applyAlignment="1">
      <alignment horizontal="left" vertical="top"/>
    </xf>
    <xf numFmtId="0" fontId="5" fillId="17" borderId="8" xfId="0" applyFont="1" applyFill="1" applyBorder="1" applyAlignment="1">
      <alignment horizontal="left" vertical="top"/>
    </xf>
    <xf numFmtId="0" fontId="5" fillId="17" borderId="10" xfId="0" applyFont="1" applyFill="1" applyBorder="1" applyAlignment="1">
      <alignment horizontal="left" vertical="top"/>
    </xf>
    <xf numFmtId="0" fontId="5" fillId="2" borderId="38" xfId="0" applyFont="1" applyFill="1" applyBorder="1" applyAlignment="1">
      <alignment horizontal="center" vertical="top"/>
    </xf>
    <xf numFmtId="0" fontId="5" fillId="2" borderId="3" xfId="0" applyFont="1" applyFill="1" applyBorder="1" applyAlignment="1">
      <alignment horizontal="center" vertical="top"/>
    </xf>
    <xf numFmtId="0" fontId="6" fillId="0" borderId="8" xfId="0" applyFont="1" applyBorder="1" applyAlignment="1">
      <alignment horizontal="left" vertical="top" wrapText="1"/>
    </xf>
    <xf numFmtId="0" fontId="6" fillId="0" borderId="10" xfId="0" applyFont="1" applyBorder="1" applyAlignment="1">
      <alignment horizontal="left" vertical="top" wrapText="1"/>
    </xf>
    <xf numFmtId="0" fontId="5" fillId="15" borderId="2" xfId="0" applyFont="1" applyFill="1" applyBorder="1" applyAlignment="1">
      <alignment horizontal="center" vertical="top"/>
    </xf>
    <xf numFmtId="0" fontId="5" fillId="15" borderId="6" xfId="0" applyFont="1" applyFill="1" applyBorder="1" applyAlignment="1">
      <alignment horizontal="center" vertical="top"/>
    </xf>
    <xf numFmtId="0" fontId="5" fillId="15" borderId="3" xfId="0" applyFont="1" applyFill="1" applyBorder="1" applyAlignment="1">
      <alignment horizontal="center" vertical="top"/>
    </xf>
    <xf numFmtId="0" fontId="9" fillId="0" borderId="1" xfId="0" applyFont="1" applyBorder="1" applyAlignment="1">
      <alignment horizontal="left" vertical="top" wrapText="1"/>
    </xf>
    <xf numFmtId="0" fontId="9" fillId="0" borderId="2" xfId="0" applyFont="1" applyBorder="1" applyAlignment="1">
      <alignment horizontal="left" vertical="top" wrapText="1"/>
    </xf>
    <xf numFmtId="0" fontId="5" fillId="2" borderId="42" xfId="0" applyFont="1" applyFill="1" applyBorder="1" applyAlignment="1">
      <alignment horizontal="left" vertical="top" wrapText="1"/>
    </xf>
    <xf numFmtId="0" fontId="5" fillId="2" borderId="20"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14" xfId="0" applyFont="1" applyFill="1" applyBorder="1" applyAlignment="1">
      <alignment horizontal="left" vertical="top" wrapText="1"/>
    </xf>
    <xf numFmtId="0" fontId="5" fillId="2" borderId="37" xfId="0" applyFont="1" applyFill="1" applyBorder="1" applyAlignment="1">
      <alignment horizontal="center" vertical="top"/>
    </xf>
    <xf numFmtId="0" fontId="5" fillId="2" borderId="6" xfId="0" applyFont="1" applyFill="1" applyBorder="1" applyAlignment="1">
      <alignment horizontal="center" vertical="top"/>
    </xf>
    <xf numFmtId="49" fontId="9" fillId="18" borderId="4" xfId="0" applyNumberFormat="1" applyFont="1" applyFill="1" applyBorder="1" applyAlignment="1">
      <alignment horizontal="left" vertical="top"/>
    </xf>
    <xf numFmtId="49" fontId="9" fillId="18" borderId="7" xfId="0" applyNumberFormat="1" applyFont="1" applyFill="1" applyBorder="1" applyAlignment="1">
      <alignment horizontal="left" vertical="top"/>
    </xf>
    <xf numFmtId="0" fontId="9" fillId="18" borderId="1" xfId="0" applyFont="1" applyFill="1" applyBorder="1" applyAlignment="1">
      <alignment horizontal="left" vertical="top" wrapText="1"/>
    </xf>
    <xf numFmtId="0" fontId="9" fillId="18" borderId="2" xfId="0" applyFont="1" applyFill="1" applyBorder="1" applyAlignment="1">
      <alignment horizontal="left" vertical="top" wrapText="1"/>
    </xf>
    <xf numFmtId="0" fontId="9" fillId="18" borderId="5" xfId="0" applyFont="1" applyFill="1" applyBorder="1" applyAlignment="1">
      <alignment horizontal="left" vertical="top" wrapText="1"/>
    </xf>
    <xf numFmtId="0" fontId="9" fillId="18" borderId="6" xfId="0" applyFont="1" applyFill="1" applyBorder="1" applyAlignment="1">
      <alignment horizontal="left" vertical="top" wrapText="1"/>
    </xf>
    <xf numFmtId="49" fontId="6" fillId="0" borderId="4" xfId="0" applyNumberFormat="1" applyFont="1" applyBorder="1" applyAlignment="1">
      <alignment horizontal="left" vertical="top"/>
    </xf>
    <xf numFmtId="49" fontId="6" fillId="0" borderId="7" xfId="0" applyNumberFormat="1" applyFont="1" applyBorder="1" applyAlignment="1">
      <alignment horizontal="left" vertical="top"/>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5" fillId="15" borderId="3" xfId="0" applyFont="1" applyFill="1" applyBorder="1" applyAlignment="1">
      <alignment horizontal="center" vertical="top" wrapText="1"/>
    </xf>
    <xf numFmtId="0" fontId="11" fillId="19" borderId="3" xfId="0" applyFont="1" applyFill="1" applyBorder="1" applyAlignment="1">
      <alignment horizontal="center" vertical="top" wrapText="1"/>
    </xf>
    <xf numFmtId="0" fontId="11" fillId="19" borderId="1" xfId="0" applyFont="1" applyFill="1" applyBorder="1" applyAlignment="1">
      <alignment horizontal="center" vertical="top"/>
    </xf>
    <xf numFmtId="0" fontId="11" fillId="19" borderId="5" xfId="0" applyFont="1" applyFill="1" applyBorder="1" applyAlignment="1">
      <alignment horizontal="center" vertical="top"/>
    </xf>
    <xf numFmtId="0" fontId="6" fillId="0" borderId="3" xfId="0" applyFont="1" applyBorder="1" applyAlignment="1">
      <alignment horizontal="left" vertical="top"/>
    </xf>
    <xf numFmtId="0" fontId="9" fillId="18" borderId="9" xfId="0" quotePrefix="1" applyFont="1" applyFill="1" applyBorder="1" applyAlignment="1">
      <alignment horizontal="left" vertical="top" wrapText="1"/>
    </xf>
    <xf numFmtId="0" fontId="9" fillId="18" borderId="3" xfId="0" quotePrefix="1" applyFont="1" applyFill="1" applyBorder="1" applyAlignment="1">
      <alignment horizontal="left" vertical="top" wrapText="1"/>
    </xf>
    <xf numFmtId="0" fontId="5" fillId="2" borderId="2" xfId="0" applyFont="1" applyFill="1" applyBorder="1" applyAlignment="1">
      <alignment horizontal="center" vertical="top"/>
    </xf>
    <xf numFmtId="2" fontId="6" fillId="0" borderId="30" xfId="0" applyNumberFormat="1" applyFont="1" applyBorder="1" applyAlignment="1">
      <alignment horizontal="center" vertical="center"/>
    </xf>
    <xf numFmtId="0" fontId="5" fillId="14" borderId="42" xfId="0" applyFont="1" applyFill="1" applyBorder="1" applyAlignment="1">
      <alignment horizontal="center" vertical="top" wrapText="1"/>
    </xf>
    <xf numFmtId="0" fontId="5" fillId="14" borderId="5" xfId="0" applyFont="1" applyFill="1" applyBorder="1" applyAlignment="1">
      <alignment horizontal="center" vertical="top" wrapText="1"/>
    </xf>
    <xf numFmtId="0" fontId="5" fillId="14" borderId="41" xfId="0" applyFont="1" applyFill="1" applyBorder="1" applyAlignment="1">
      <alignment horizontal="center" vertical="top"/>
    </xf>
    <xf numFmtId="0" fontId="5" fillId="14" borderId="7" xfId="0" applyFont="1" applyFill="1" applyBorder="1" applyAlignment="1">
      <alignment horizontal="center" vertical="top"/>
    </xf>
    <xf numFmtId="0" fontId="5" fillId="14" borderId="39" xfId="0" applyFont="1" applyFill="1" applyBorder="1" applyAlignment="1">
      <alignment horizontal="center" vertical="top"/>
    </xf>
    <xf numFmtId="0" fontId="5" fillId="14" borderId="40" xfId="0" applyFont="1" applyFill="1" applyBorder="1" applyAlignment="1">
      <alignment horizontal="center" vertical="top"/>
    </xf>
    <xf numFmtId="0" fontId="5" fillId="14" borderId="42" xfId="0" applyFont="1" applyFill="1" applyBorder="1" applyAlignment="1">
      <alignment horizontal="left" vertical="top"/>
    </xf>
    <xf numFmtId="0" fontId="5" fillId="14" borderId="20" xfId="0" applyFont="1" applyFill="1" applyBorder="1" applyAlignment="1">
      <alignment horizontal="left" vertical="top"/>
    </xf>
    <xf numFmtId="0" fontId="5" fillId="14" borderId="5" xfId="0" applyFont="1" applyFill="1" applyBorder="1" applyAlignment="1">
      <alignment horizontal="left" vertical="top"/>
    </xf>
    <xf numFmtId="0" fontId="5" fillId="14" borderId="14" xfId="0" applyFont="1" applyFill="1" applyBorder="1" applyAlignment="1">
      <alignment horizontal="left" vertical="top"/>
    </xf>
    <xf numFmtId="2" fontId="9" fillId="0" borderId="30" xfId="0" applyNumberFormat="1" applyFont="1" applyBorder="1" applyAlignment="1">
      <alignment horizontal="center" vertical="center"/>
    </xf>
    <xf numFmtId="2" fontId="9" fillId="0" borderId="7" xfId="0" applyNumberFormat="1" applyFont="1" applyBorder="1" applyAlignment="1">
      <alignment horizontal="center" vertical="center"/>
    </xf>
    <xf numFmtId="0" fontId="6" fillId="18" borderId="8" xfId="0" applyFont="1" applyFill="1" applyBorder="1" applyAlignment="1">
      <alignment horizontal="left" vertical="top" wrapText="1"/>
    </xf>
    <xf numFmtId="0" fontId="6" fillId="18" borderId="10" xfId="0" applyFont="1" applyFill="1" applyBorder="1" applyAlignment="1">
      <alignment horizontal="left" vertical="top" wrapText="1"/>
    </xf>
    <xf numFmtId="0" fontId="6" fillId="18" borderId="9" xfId="0" applyFont="1" applyFill="1" applyBorder="1" applyAlignment="1">
      <alignment horizontal="left" vertical="top" wrapText="1"/>
    </xf>
    <xf numFmtId="0" fontId="11" fillId="19" borderId="1" xfId="0" applyFont="1" applyFill="1" applyBorder="1" applyAlignment="1">
      <alignment horizontal="left" vertical="top"/>
    </xf>
    <xf numFmtId="0" fontId="11" fillId="19" borderId="11" xfId="0" applyFont="1" applyFill="1" applyBorder="1" applyAlignment="1">
      <alignment horizontal="left" vertical="top"/>
    </xf>
    <xf numFmtId="0" fontId="11" fillId="19" borderId="5" xfId="0" applyFont="1" applyFill="1" applyBorder="1" applyAlignment="1">
      <alignment horizontal="left" vertical="top"/>
    </xf>
    <xf numFmtId="0" fontId="11" fillId="19" borderId="14" xfId="0" applyFont="1" applyFill="1" applyBorder="1" applyAlignment="1">
      <alignment horizontal="left" vertical="top"/>
    </xf>
    <xf numFmtId="165" fontId="9" fillId="0" borderId="4" xfId="0" applyNumberFormat="1" applyFont="1" applyBorder="1" applyAlignment="1">
      <alignment horizontal="left" vertical="top" wrapText="1"/>
    </xf>
    <xf numFmtId="165" fontId="9" fillId="0" borderId="7" xfId="0" applyNumberFormat="1" applyFont="1" applyBorder="1" applyAlignment="1">
      <alignment horizontal="left" vertical="top" wrapText="1"/>
    </xf>
    <xf numFmtId="0" fontId="9" fillId="0" borderId="11" xfId="0" applyFont="1" applyBorder="1" applyAlignment="1">
      <alignment horizontal="left" vertical="top" wrapText="1"/>
    </xf>
    <xf numFmtId="0" fontId="9" fillId="0" borderId="5" xfId="0" applyFont="1" applyBorder="1" applyAlignment="1">
      <alignment horizontal="left" vertical="top" wrapText="1"/>
    </xf>
    <xf numFmtId="0" fontId="9" fillId="0" borderId="14" xfId="0" applyFont="1" applyBorder="1" applyAlignment="1">
      <alignment horizontal="left" vertical="top" wrapText="1"/>
    </xf>
    <xf numFmtId="0" fontId="9" fillId="0" borderId="6" xfId="0" applyFont="1" applyBorder="1" applyAlignment="1">
      <alignment horizontal="left" vertical="top" wrapText="1"/>
    </xf>
    <xf numFmtId="0" fontId="9" fillId="18" borderId="8" xfId="0" quotePrefix="1" applyFont="1" applyFill="1" applyBorder="1" applyAlignment="1">
      <alignment horizontal="left" vertical="top" wrapText="1"/>
    </xf>
    <xf numFmtId="0" fontId="9" fillId="18" borderId="10" xfId="0" quotePrefix="1" applyFont="1" applyFill="1" applyBorder="1" applyAlignment="1">
      <alignment horizontal="left" vertical="top" wrapText="1"/>
    </xf>
    <xf numFmtId="0" fontId="9" fillId="18" borderId="8" xfId="0" applyFont="1" applyFill="1" applyBorder="1" applyAlignment="1">
      <alignment horizontal="left" vertical="top"/>
    </xf>
    <xf numFmtId="165" fontId="6" fillId="0" borderId="4" xfId="0" applyNumberFormat="1" applyFont="1" applyBorder="1" applyAlignment="1">
      <alignment horizontal="left" vertical="top" wrapText="1"/>
    </xf>
    <xf numFmtId="165" fontId="6" fillId="0" borderId="7" xfId="0" applyNumberFormat="1" applyFont="1" applyBorder="1" applyAlignment="1">
      <alignment horizontal="left" vertical="top" wrapText="1"/>
    </xf>
    <xf numFmtId="0" fontId="6" fillId="5" borderId="3" xfId="0" applyFont="1" applyFill="1" applyBorder="1" applyAlignment="1" applyProtection="1">
      <alignment horizontal="left" vertical="top"/>
      <protection locked="0"/>
    </xf>
    <xf numFmtId="2" fontId="6" fillId="0" borderId="4" xfId="0" applyNumberFormat="1" applyFont="1" applyBorder="1" applyAlignment="1">
      <alignment horizontal="center" vertical="top"/>
    </xf>
    <xf numFmtId="2" fontId="6" fillId="0" borderId="7" xfId="0" applyNumberFormat="1" applyFont="1" applyBorder="1" applyAlignment="1">
      <alignment horizontal="center" vertical="top"/>
    </xf>
    <xf numFmtId="0" fontId="6" fillId="0" borderId="3" xfId="0" quotePrefix="1" applyFont="1" applyBorder="1" applyAlignment="1">
      <alignment horizontal="left" vertical="top" wrapText="1"/>
    </xf>
    <xf numFmtId="0" fontId="9" fillId="0" borderId="10" xfId="0" applyFont="1" applyBorder="1" applyAlignment="1">
      <alignment horizontal="left" vertical="top"/>
    </xf>
    <xf numFmtId="0" fontId="6" fillId="0" borderId="8" xfId="0" quotePrefix="1" applyFont="1" applyBorder="1" applyAlignment="1">
      <alignment horizontal="left" vertical="top"/>
    </xf>
    <xf numFmtId="0" fontId="6" fillId="0" borderId="10" xfId="0" quotePrefix="1" applyFont="1" applyBorder="1" applyAlignment="1">
      <alignment horizontal="left" vertical="top"/>
    </xf>
    <xf numFmtId="0" fontId="6" fillId="0" borderId="9" xfId="0" quotePrefix="1" applyFont="1" applyBorder="1" applyAlignment="1">
      <alignment horizontal="left" vertical="top"/>
    </xf>
    <xf numFmtId="0" fontId="6" fillId="18" borderId="7" xfId="0" quotePrefix="1" applyFont="1" applyFill="1" applyBorder="1" applyAlignment="1">
      <alignment horizontal="left" vertical="top" wrapText="1"/>
    </xf>
    <xf numFmtId="0" fontId="9" fillId="18" borderId="12" xfId="0" applyFont="1" applyFill="1" applyBorder="1" applyAlignment="1">
      <alignment horizontal="left" vertical="top" wrapText="1"/>
    </xf>
    <xf numFmtId="0" fontId="9" fillId="18" borderId="13" xfId="0" applyFont="1" applyFill="1" applyBorder="1" applyAlignment="1">
      <alignment horizontal="left" vertical="top" wrapText="1"/>
    </xf>
    <xf numFmtId="2" fontId="9" fillId="18" borderId="4" xfId="0" applyNumberFormat="1" applyFont="1" applyFill="1" applyBorder="1" applyAlignment="1">
      <alignment horizontal="center" vertical="center"/>
    </xf>
    <xf numFmtId="2" fontId="9" fillId="18" borderId="7" xfId="0" applyNumberFormat="1" applyFont="1" applyFill="1" applyBorder="1" applyAlignment="1">
      <alignment horizontal="center" vertical="center"/>
    </xf>
    <xf numFmtId="166" fontId="6" fillId="5" borderId="4" xfId="0" applyNumberFormat="1" applyFont="1" applyFill="1" applyBorder="1" applyAlignment="1" applyProtection="1">
      <alignment horizontal="center" vertical="center"/>
      <protection locked="0"/>
    </xf>
    <xf numFmtId="166" fontId="6" fillId="5" borderId="7" xfId="0" applyNumberFormat="1" applyFont="1" applyFill="1" applyBorder="1" applyAlignment="1" applyProtection="1">
      <alignment horizontal="center" vertical="center"/>
      <protection locked="0"/>
    </xf>
    <xf numFmtId="166" fontId="6" fillId="5" borderId="30" xfId="0" applyNumberFormat="1" applyFont="1" applyFill="1" applyBorder="1" applyAlignment="1" applyProtection="1">
      <alignment horizontal="center" vertical="center"/>
      <protection locked="0"/>
    </xf>
    <xf numFmtId="2" fontId="9" fillId="18" borderId="30" xfId="0" applyNumberFormat="1" applyFont="1" applyFill="1" applyBorder="1" applyAlignment="1">
      <alignment horizontal="center" vertical="center"/>
    </xf>
    <xf numFmtId="0" fontId="6" fillId="0" borderId="3" xfId="0" applyFont="1" applyBorder="1" applyAlignment="1">
      <alignment horizontal="center" vertical="center" wrapText="1"/>
    </xf>
    <xf numFmtId="2" fontId="6" fillId="0" borderId="3" xfId="0" applyNumberFormat="1" applyFont="1" applyBorder="1" applyAlignment="1">
      <alignment horizontal="center" vertical="center" wrapText="1"/>
    </xf>
    <xf numFmtId="49" fontId="6" fillId="0" borderId="0" xfId="0" applyNumberFormat="1" applyFont="1" applyAlignment="1">
      <alignment horizontal="left" vertical="center" wrapText="1"/>
    </xf>
    <xf numFmtId="0" fontId="9" fillId="18" borderId="2" xfId="0" applyFont="1" applyFill="1" applyBorder="1" applyAlignment="1">
      <alignment horizontal="left" vertical="top"/>
    </xf>
    <xf numFmtId="0" fontId="9" fillId="18" borderId="5" xfId="0" applyFont="1" applyFill="1" applyBorder="1" applyAlignment="1">
      <alignment horizontal="left" vertical="top"/>
    </xf>
    <xf numFmtId="0" fontId="9" fillId="18" borderId="6" xfId="0" applyFont="1" applyFill="1" applyBorder="1" applyAlignment="1">
      <alignment horizontal="left" vertical="top"/>
    </xf>
    <xf numFmtId="0" fontId="6" fillId="0" borderId="4" xfId="0" applyFont="1" applyBorder="1" applyAlignment="1">
      <alignment horizontal="center" vertical="center"/>
    </xf>
    <xf numFmtId="0" fontId="6" fillId="0" borderId="7" xfId="0" applyFont="1" applyBorder="1" applyAlignment="1">
      <alignment horizontal="center" vertical="center"/>
    </xf>
    <xf numFmtId="2" fontId="6" fillId="0" borderId="9" xfId="0" applyNumberFormat="1" applyFont="1" applyBorder="1" applyAlignment="1">
      <alignment horizontal="center" vertical="top"/>
    </xf>
    <xf numFmtId="2" fontId="6" fillId="5" borderId="9" xfId="0" applyNumberFormat="1" applyFont="1" applyFill="1" applyBorder="1" applyAlignment="1" applyProtection="1">
      <alignment horizontal="center" vertical="top"/>
      <protection locked="0"/>
    </xf>
    <xf numFmtId="0" fontId="5" fillId="2" borderId="4" xfId="0" applyFont="1" applyFill="1" applyBorder="1" applyAlignment="1">
      <alignment horizontal="center" vertical="top"/>
    </xf>
    <xf numFmtId="0" fontId="5" fillId="2" borderId="7" xfId="0" applyFont="1" applyFill="1" applyBorder="1" applyAlignment="1">
      <alignment horizontal="center" vertical="top"/>
    </xf>
    <xf numFmtId="9" fontId="6" fillId="0" borderId="3" xfId="0" applyNumberFormat="1" applyFont="1" applyBorder="1" applyAlignment="1">
      <alignment horizontal="center" vertical="top"/>
    </xf>
    <xf numFmtId="0" fontId="6" fillId="5" borderId="3" xfId="0" applyFont="1" applyFill="1" applyBorder="1" applyAlignment="1" applyProtection="1">
      <alignment horizontal="center" vertical="top"/>
      <protection locked="0"/>
    </xf>
    <xf numFmtId="0" fontId="5" fillId="2" borderId="8" xfId="0" applyFont="1" applyFill="1" applyBorder="1" applyAlignment="1">
      <alignment horizontal="center" vertical="top"/>
    </xf>
    <xf numFmtId="0" fontId="5" fillId="2" borderId="9" xfId="0" applyFont="1" applyFill="1" applyBorder="1" applyAlignment="1">
      <alignment horizontal="center" vertical="top"/>
    </xf>
    <xf numFmtId="0" fontId="5" fillId="2" borderId="1" xfId="0" applyFont="1" applyFill="1" applyBorder="1" applyAlignment="1">
      <alignment horizontal="center" vertical="top" wrapText="1"/>
    </xf>
    <xf numFmtId="0" fontId="5" fillId="2" borderId="5" xfId="0" applyFont="1" applyFill="1" applyBorder="1" applyAlignment="1">
      <alignment horizontal="center" vertical="top" wrapText="1"/>
    </xf>
    <xf numFmtId="0" fontId="5" fillId="2" borderId="38" xfId="0" applyFont="1" applyFill="1" applyBorder="1" applyAlignment="1">
      <alignment horizontal="center" vertical="top" wrapText="1"/>
    </xf>
    <xf numFmtId="0" fontId="5" fillId="2" borderId="3" xfId="0" applyFont="1" applyFill="1" applyBorder="1" applyAlignment="1">
      <alignment horizontal="center" vertical="top" wrapText="1"/>
    </xf>
    <xf numFmtId="10" fontId="6" fillId="5" borderId="4" xfId="0" applyNumberFormat="1" applyFont="1" applyFill="1" applyBorder="1" applyAlignment="1" applyProtection="1">
      <alignment horizontal="center" vertical="center"/>
      <protection locked="0"/>
    </xf>
    <xf numFmtId="10" fontId="6" fillId="5" borderId="7" xfId="0" applyNumberFormat="1" applyFont="1" applyFill="1" applyBorder="1" applyAlignment="1" applyProtection="1">
      <alignment horizontal="center" vertical="center"/>
      <protection locked="0"/>
    </xf>
    <xf numFmtId="0" fontId="5" fillId="2" borderId="39" xfId="0" applyFont="1" applyFill="1" applyBorder="1" applyAlignment="1">
      <alignment horizontal="center" vertical="top"/>
    </xf>
    <xf numFmtId="0" fontId="5" fillId="2" borderId="40" xfId="0" applyFont="1" applyFill="1" applyBorder="1" applyAlignment="1">
      <alignment horizontal="center" vertical="top"/>
    </xf>
    <xf numFmtId="10" fontId="6" fillId="5" borderId="3" xfId="0" applyNumberFormat="1" applyFont="1" applyFill="1" applyBorder="1" applyAlignment="1" applyProtection="1">
      <alignment horizontal="center" vertical="center"/>
      <protection locked="0"/>
    </xf>
    <xf numFmtId="2" fontId="9" fillId="18" borderId="8" xfId="0" applyNumberFormat="1" applyFont="1" applyFill="1" applyBorder="1" applyAlignment="1">
      <alignment horizontal="center" vertical="center" wrapText="1"/>
    </xf>
    <xf numFmtId="2" fontId="9" fillId="18" borderId="9" xfId="0" applyNumberFormat="1" applyFont="1" applyFill="1" applyBorder="1" applyAlignment="1">
      <alignment horizontal="center" vertical="center" wrapText="1"/>
    </xf>
    <xf numFmtId="2" fontId="9" fillId="18" borderId="8" xfId="0" applyNumberFormat="1" applyFont="1" applyFill="1" applyBorder="1" applyAlignment="1">
      <alignment horizontal="center" vertical="center"/>
    </xf>
    <xf numFmtId="2" fontId="9" fillId="18" borderId="9" xfId="0" applyNumberFormat="1" applyFont="1" applyFill="1" applyBorder="1" applyAlignment="1">
      <alignment horizontal="center" vertical="center"/>
    </xf>
    <xf numFmtId="0" fontId="6" fillId="18" borderId="8" xfId="0" applyFont="1" applyFill="1" applyBorder="1" applyAlignment="1">
      <alignment horizontal="left"/>
    </xf>
    <xf numFmtId="0" fontId="6" fillId="18" borderId="9" xfId="0" applyFont="1" applyFill="1" applyBorder="1" applyAlignment="1">
      <alignment horizontal="left"/>
    </xf>
    <xf numFmtId="0" fontId="6" fillId="5" borderId="8" xfId="0" applyFont="1" applyFill="1" applyBorder="1" applyAlignment="1" applyProtection="1">
      <alignment horizontal="center" vertical="top"/>
      <protection locked="0"/>
    </xf>
    <xf numFmtId="0" fontId="6" fillId="5" borderId="9" xfId="0" applyFont="1" applyFill="1" applyBorder="1" applyAlignment="1" applyProtection="1">
      <alignment horizontal="center" vertical="top"/>
      <protection locked="0"/>
    </xf>
    <xf numFmtId="0" fontId="5" fillId="2" borderId="8" xfId="0" applyFont="1" applyFill="1" applyBorder="1" applyAlignment="1">
      <alignment horizontal="left" vertical="top"/>
    </xf>
    <xf numFmtId="0" fontId="5" fillId="2" borderId="10" xfId="0" applyFont="1" applyFill="1" applyBorder="1" applyAlignment="1">
      <alignment horizontal="left" vertical="top"/>
    </xf>
    <xf numFmtId="0" fontId="5" fillId="2" borderId="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9" xfId="0" applyFont="1" applyFill="1" applyBorder="1" applyAlignment="1">
      <alignment horizontal="center" vertical="top" wrapText="1"/>
    </xf>
    <xf numFmtId="49" fontId="9" fillId="18" borderId="30" xfId="0" applyNumberFormat="1" applyFont="1" applyFill="1" applyBorder="1" applyAlignment="1">
      <alignment horizontal="left" vertical="top"/>
    </xf>
    <xf numFmtId="49" fontId="6" fillId="6" borderId="8" xfId="0" applyNumberFormat="1" applyFont="1" applyFill="1" applyBorder="1" applyAlignment="1" applyProtection="1">
      <alignment horizontal="left"/>
      <protection locked="0"/>
    </xf>
    <xf numFmtId="49" fontId="6" fillId="6" borderId="9" xfId="0" applyNumberFormat="1" applyFont="1" applyFill="1" applyBorder="1" applyAlignment="1" applyProtection="1">
      <alignment horizontal="left"/>
      <protection locked="0"/>
    </xf>
    <xf numFmtId="0" fontId="9" fillId="18" borderId="3" xfId="0" applyFont="1" applyFill="1" applyBorder="1" applyAlignment="1">
      <alignment horizontal="left" vertical="top" wrapText="1"/>
    </xf>
    <xf numFmtId="2" fontId="6" fillId="18" borderId="7" xfId="0" applyNumberFormat="1" applyFont="1" applyFill="1" applyBorder="1" applyAlignment="1">
      <alignment horizontal="center" vertical="center"/>
    </xf>
    <xf numFmtId="0" fontId="6" fillId="18" borderId="4" xfId="0" applyFont="1" applyFill="1" applyBorder="1" applyAlignment="1">
      <alignment horizontal="center" vertical="center"/>
    </xf>
    <xf numFmtId="0" fontId="6" fillId="18" borderId="30" xfId="0" applyFont="1" applyFill="1" applyBorder="1" applyAlignment="1">
      <alignment horizontal="center" vertical="center"/>
    </xf>
    <xf numFmtId="0" fontId="6" fillId="18" borderId="7" xfId="0" applyFont="1" applyFill="1" applyBorder="1" applyAlignment="1">
      <alignment horizontal="center" vertical="center"/>
    </xf>
    <xf numFmtId="10" fontId="6" fillId="0" borderId="4" xfId="0" applyNumberFormat="1" applyFont="1" applyBorder="1" applyAlignment="1">
      <alignment horizontal="center" vertical="top"/>
    </xf>
    <xf numFmtId="10" fontId="6" fillId="0" borderId="7" xfId="0" applyNumberFormat="1" applyFont="1" applyBorder="1" applyAlignment="1">
      <alignment horizontal="center" vertical="top"/>
    </xf>
  </cellXfs>
  <cellStyles count="2">
    <cellStyle name="Normal" xfId="0" builtinId="0"/>
    <cellStyle name="Normal_Simplified BDAS for QP (Internal-Std) 7-3-03" xfId="1" xr:uid="{00000000-0005-0000-0000-000001000000}"/>
  </cellStyles>
  <dxfs count="12">
    <dxf>
      <fill>
        <patternFill>
          <bgColor rgb="FFFF7C80"/>
        </patternFill>
      </fill>
    </dxf>
    <dxf>
      <fill>
        <patternFill>
          <bgColor rgb="FFFF7C80"/>
        </patternFill>
      </fill>
    </dxf>
    <dxf>
      <font>
        <b val="0"/>
        <i val="0"/>
        <strike val="0"/>
        <condense val="0"/>
        <extend val="0"/>
        <outline val="0"/>
        <shadow val="0"/>
        <u val="none"/>
        <vertAlign val="baseline"/>
        <sz val="14"/>
        <color auto="1"/>
        <name val="Arial"/>
        <family val="2"/>
        <scheme val="none"/>
      </font>
      <numFmt numFmtId="13" formatCode="0%"/>
      <fill>
        <patternFill patternType="none">
          <fgColor indexed="64"/>
          <bgColor auto="1"/>
        </patternFill>
      </fill>
      <alignment horizontal="center" vertical="center" textRotation="0" wrapText="0" indent="0" justifyLastLine="0" shrinkToFit="0" readingOrder="1"/>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4"/>
        <color auto="1"/>
        <name val="Arial"/>
        <family val="2"/>
        <scheme val="none"/>
      </font>
      <numFmt numFmtId="13" formatCode="0%"/>
      <fill>
        <patternFill patternType="none">
          <fgColor indexed="64"/>
          <bgColor auto="1"/>
        </patternFill>
      </fill>
      <alignment horizontal="center" vertical="center" textRotation="0" wrapText="0"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family val="2"/>
        <scheme val="none"/>
      </font>
      <numFmt numFmtId="13" formatCode="0%"/>
      <fill>
        <patternFill patternType="none">
          <fgColor indexed="64"/>
          <bgColor auto="1"/>
        </patternFill>
      </fill>
      <alignment horizontal="center" vertical="center" textRotation="0" wrapText="0"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family val="2"/>
        <scheme val="none"/>
      </font>
      <numFmt numFmtId="13" formatCode="0%"/>
      <fill>
        <patternFill patternType="none">
          <fgColor indexed="64"/>
          <bgColor auto="1"/>
        </patternFill>
      </fill>
      <alignment horizontal="center" vertical="center" textRotation="0" wrapText="0"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family val="2"/>
        <scheme val="none"/>
      </font>
      <fill>
        <patternFill patternType="none">
          <fgColor indexed="64"/>
          <bgColor auto="1"/>
        </patternFill>
      </fill>
      <alignment horizontal="left" vertical="center" textRotation="0" wrapText="1" indent="0" justifyLastLine="0" shrinkToFit="0" readingOrder="1"/>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family val="2"/>
        <scheme val="none"/>
      </font>
      <fill>
        <patternFill patternType="none">
          <fgColor indexed="64"/>
          <bgColor auto="1"/>
        </patternFill>
      </fill>
      <alignment horizontal="center" vertical="center" textRotation="0" wrapText="0" indent="0" justifyLastLine="0" shrinkToFit="0" readingOrder="1"/>
    </dxf>
    <dxf>
      <border>
        <bottom style="thin">
          <color indexed="64"/>
        </bottom>
      </border>
    </dxf>
    <dxf>
      <font>
        <b/>
        <i val="0"/>
        <strike val="0"/>
        <condense val="0"/>
        <extend val="0"/>
        <outline val="0"/>
        <shadow val="0"/>
        <u val="none"/>
        <vertAlign val="baseline"/>
        <sz val="14"/>
        <color auto="1"/>
        <name val="Arial"/>
        <family val="2"/>
        <scheme val="none"/>
      </font>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bottom/>
      </border>
    </dxf>
  </dxfs>
  <tableStyles count="0" defaultTableStyle="TableStyleMedium2" defaultPivotStyle="PivotStyleLight16"/>
  <colors>
    <mruColors>
      <color rgb="FFFF7C80"/>
      <color rgb="FFFD877B"/>
      <color rgb="FFFCBAD6"/>
      <color rgb="FFCCFFFF"/>
      <color rgb="FFF963A3"/>
      <color rgb="FFFF8047"/>
      <color rgb="FFF7257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100</xdr:row>
      <xdr:rowOff>28575</xdr:rowOff>
    </xdr:from>
    <xdr:to>
      <xdr:col>2</xdr:col>
      <xdr:colOff>2390775</xdr:colOff>
      <xdr:row>103</xdr:row>
      <xdr:rowOff>0</xdr:rowOff>
    </xdr:to>
    <xdr:cxnSp macro="">
      <xdr:nvCxnSpPr>
        <xdr:cNvPr id="2" name="Straight Connector 1">
          <a:extLst>
            <a:ext uri="{FF2B5EF4-FFF2-40B4-BE49-F238E27FC236}">
              <a16:creationId xmlns:a16="http://schemas.microsoft.com/office/drawing/2014/main" id="{9BFD3761-3A2D-4252-9E8E-7BD11BAB5445}"/>
            </a:ext>
          </a:extLst>
        </xdr:cNvPr>
        <xdr:cNvCxnSpPr/>
      </xdr:nvCxnSpPr>
      <xdr:spPr bwMode="auto">
        <a:xfrm>
          <a:off x="352425" y="16087725"/>
          <a:ext cx="2990850" cy="64770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2</xdr:col>
      <xdr:colOff>3055285</xdr:colOff>
      <xdr:row>87</xdr:row>
      <xdr:rowOff>72838</xdr:rowOff>
    </xdr:from>
    <xdr:to>
      <xdr:col>3</xdr:col>
      <xdr:colOff>959785</xdr:colOff>
      <xdr:row>88</xdr:row>
      <xdr:rowOff>63313</xdr:rowOff>
    </xdr:to>
    <xdr:sp macro="" textlink="">
      <xdr:nvSpPr>
        <xdr:cNvPr id="3" name="TextBox 2">
          <a:extLst>
            <a:ext uri="{FF2B5EF4-FFF2-40B4-BE49-F238E27FC236}">
              <a16:creationId xmlns:a16="http://schemas.microsoft.com/office/drawing/2014/main" id="{9B0782C5-2994-43AA-954E-E6333AD43B69}"/>
            </a:ext>
          </a:extLst>
        </xdr:cNvPr>
        <xdr:cNvSpPr txBox="1"/>
      </xdr:nvSpPr>
      <xdr:spPr>
        <a:xfrm>
          <a:off x="4007785" y="13512613"/>
          <a:ext cx="14954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latin typeface="Arial" panose="020B0604020202020204" pitchFamily="34" charset="0"/>
              <a:cs typeface="Arial" panose="020B0604020202020204" pitchFamily="34" charset="0"/>
            </a:rPr>
            <a:t>%</a:t>
          </a:r>
        </a:p>
      </xdr:txBody>
    </xdr:sp>
    <xdr:clientData/>
  </xdr:twoCellAnchor>
  <xdr:twoCellAnchor>
    <xdr:from>
      <xdr:col>2</xdr:col>
      <xdr:colOff>2166938</xdr:colOff>
      <xdr:row>101</xdr:row>
      <xdr:rowOff>52386</xdr:rowOff>
    </xdr:from>
    <xdr:to>
      <xdr:col>3</xdr:col>
      <xdr:colOff>1090612</xdr:colOff>
      <xdr:row>102</xdr:row>
      <xdr:rowOff>197642</xdr:rowOff>
    </xdr:to>
    <xdr:sp macro="" textlink="">
      <xdr:nvSpPr>
        <xdr:cNvPr id="4" name="TextBox 3">
          <a:extLst>
            <a:ext uri="{FF2B5EF4-FFF2-40B4-BE49-F238E27FC236}">
              <a16:creationId xmlns:a16="http://schemas.microsoft.com/office/drawing/2014/main" id="{C6A48595-CA43-4985-B3E7-22BD8E933B97}"/>
            </a:ext>
          </a:extLst>
        </xdr:cNvPr>
        <xdr:cNvSpPr txBox="1"/>
      </xdr:nvSpPr>
      <xdr:spPr>
        <a:xfrm>
          <a:off x="3119438" y="16387761"/>
          <a:ext cx="2514599" cy="345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Arial" panose="020B0604020202020204" pitchFamily="34" charset="0"/>
              <a:cs typeface="Arial" panose="020B0604020202020204" pitchFamily="34" charset="0"/>
            </a:rPr>
            <a:t>% of Offset floors</a:t>
          </a:r>
          <a:endParaRPr lang="en-GB" sz="1200" b="1">
            <a:latin typeface="Arial" panose="020B0604020202020204" pitchFamily="34" charset="0"/>
            <a:cs typeface="Arial" panose="020B0604020202020204" pitchFamily="34" charset="0"/>
          </a:endParaRPr>
        </a:p>
      </xdr:txBody>
    </xdr:sp>
    <xdr:clientData/>
  </xdr:twoCellAnchor>
  <xdr:twoCellAnchor>
    <xdr:from>
      <xdr:col>2</xdr:col>
      <xdr:colOff>885824</xdr:colOff>
      <xdr:row>100</xdr:row>
      <xdr:rowOff>142875</xdr:rowOff>
    </xdr:from>
    <xdr:to>
      <xdr:col>2</xdr:col>
      <xdr:colOff>1495425</xdr:colOff>
      <xdr:row>102</xdr:row>
      <xdr:rowOff>9525</xdr:rowOff>
    </xdr:to>
    <xdr:sp macro="" textlink="">
      <xdr:nvSpPr>
        <xdr:cNvPr id="5" name="TextBox 4">
          <a:extLst>
            <a:ext uri="{FF2B5EF4-FFF2-40B4-BE49-F238E27FC236}">
              <a16:creationId xmlns:a16="http://schemas.microsoft.com/office/drawing/2014/main" id="{465D1D73-3348-4D08-BF3E-9D0D9CDADE33}"/>
            </a:ext>
          </a:extLst>
        </xdr:cNvPr>
        <xdr:cNvSpPr txBox="1"/>
      </xdr:nvSpPr>
      <xdr:spPr>
        <a:xfrm>
          <a:off x="1838324" y="16202025"/>
          <a:ext cx="609601"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Arial" panose="020B0604020202020204" pitchFamily="34" charset="0"/>
              <a:cs typeface="Arial" panose="020B0604020202020204" pitchFamily="34" charset="0"/>
            </a:rPr>
            <a:t>OR*</a:t>
          </a:r>
          <a:endParaRPr lang="en-GB" sz="1200" b="1">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Manpower" displayName="Manpower" ref="A2:E12" totalsRowShown="0" headerRowDxfId="11" dataDxfId="9" headerRowBorderDxfId="10" tableBorderDxfId="8" totalsRowBorderDxfId="7">
  <tableColumns count="5">
    <tableColumn id="1" xr3:uid="{00000000-0010-0000-0000-000001000000}" name="Column1" dataDxfId="6"/>
    <tableColumn id="2" xr3:uid="{00000000-0010-0000-0000-000002000000}" name="Streamline Manpower" dataDxfId="5"/>
    <tableColumn id="3" xr3:uid="{00000000-0010-0000-0000-000003000000}" name="Column2" dataDxfId="4"/>
    <tableColumn id="4" xr3:uid="{00000000-0010-0000-0000-000004000000}" name="Column3" dataDxfId="3"/>
    <tableColumn id="5" xr3:uid="{00000000-0010-0000-0000-000005000000}" name="Column4" dataDxfId="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H13"/>
  <sheetViews>
    <sheetView zoomScale="70" zoomScaleNormal="70" zoomScaleSheetLayoutView="100" workbookViewId="0">
      <selection activeCell="B8" sqref="B8"/>
    </sheetView>
  </sheetViews>
  <sheetFormatPr defaultColWidth="9.109375" defaultRowHeight="17.399999999999999"/>
  <cols>
    <col min="1" max="1" width="40.109375" style="367" customWidth="1"/>
    <col min="2" max="2" width="32" style="367" customWidth="1"/>
    <col min="3" max="3" width="14.6640625" style="367" customWidth="1"/>
    <col min="4" max="4" width="20.6640625" style="367" customWidth="1"/>
    <col min="5" max="5" width="21.109375" style="367" customWidth="1"/>
    <col min="6" max="6" width="10.6640625" style="367" customWidth="1"/>
    <col min="7" max="7" width="20.6640625" style="367" customWidth="1"/>
    <col min="8" max="8" width="32.33203125" style="367" customWidth="1"/>
    <col min="9" max="9" width="20.6640625" style="367" customWidth="1"/>
    <col min="10" max="10" width="10.6640625" style="367" customWidth="1"/>
    <col min="11" max="12" width="20.6640625" style="367" customWidth="1"/>
    <col min="13" max="13" width="10.6640625" style="367" customWidth="1"/>
    <col min="14" max="16384" width="9.109375" style="367"/>
  </cols>
  <sheetData>
    <row r="2" spans="1:8">
      <c r="A2" s="373" t="s">
        <v>45</v>
      </c>
      <c r="B2" s="374" t="s">
        <v>23</v>
      </c>
      <c r="C2" s="374" t="s">
        <v>46</v>
      </c>
      <c r="D2" s="374" t="s">
        <v>47</v>
      </c>
      <c r="E2" s="375" t="s">
        <v>48</v>
      </c>
    </row>
    <row r="3" spans="1:8">
      <c r="A3" s="376"/>
      <c r="B3" s="371"/>
      <c r="C3" s="371"/>
      <c r="D3" s="371"/>
      <c r="E3" s="377" t="s">
        <v>12</v>
      </c>
    </row>
    <row r="4" spans="1:8">
      <c r="A4" s="376" t="s">
        <v>8</v>
      </c>
      <c r="B4" s="378" t="s">
        <v>9</v>
      </c>
      <c r="C4" s="378" t="s">
        <v>10</v>
      </c>
      <c r="D4" s="378" t="s">
        <v>11</v>
      </c>
      <c r="E4" s="377" t="s">
        <v>13</v>
      </c>
      <c r="H4" s="368"/>
    </row>
    <row r="5" spans="1:8">
      <c r="A5" s="369" t="s">
        <v>14</v>
      </c>
      <c r="B5" s="371">
        <v>0.35</v>
      </c>
      <c r="C5" s="371">
        <v>0.45</v>
      </c>
      <c r="D5" s="371">
        <v>0.2</v>
      </c>
      <c r="E5" s="379"/>
      <c r="H5" s="368"/>
    </row>
    <row r="6" spans="1:8" ht="23.25" customHeight="1">
      <c r="A6" s="369" t="s">
        <v>44</v>
      </c>
      <c r="B6" s="371">
        <v>0.35</v>
      </c>
      <c r="C6" s="371">
        <v>0.45</v>
      </c>
      <c r="D6" s="371">
        <v>0.2</v>
      </c>
      <c r="E6" s="379"/>
      <c r="H6" s="368"/>
    </row>
    <row r="7" spans="1:8" ht="24" customHeight="1">
      <c r="A7" s="369" t="s">
        <v>384</v>
      </c>
      <c r="B7" s="371">
        <v>0.45</v>
      </c>
      <c r="C7" s="371">
        <v>0.4</v>
      </c>
      <c r="D7" s="371">
        <v>0.15</v>
      </c>
      <c r="E7" s="380"/>
      <c r="H7" s="368"/>
    </row>
    <row r="8" spans="1:8">
      <c r="A8" s="369" t="s">
        <v>15</v>
      </c>
      <c r="B8" s="371">
        <v>0.5</v>
      </c>
      <c r="C8" s="371">
        <v>0.25</v>
      </c>
      <c r="D8" s="371">
        <v>0.25</v>
      </c>
      <c r="E8" s="380"/>
      <c r="H8" s="368"/>
    </row>
    <row r="9" spans="1:8">
      <c r="A9" s="369" t="s">
        <v>16</v>
      </c>
      <c r="B9" s="371">
        <v>0.35</v>
      </c>
      <c r="C9" s="371">
        <v>0.3</v>
      </c>
      <c r="D9" s="371">
        <v>0.35</v>
      </c>
      <c r="E9" s="380"/>
      <c r="H9" s="370"/>
    </row>
    <row r="10" spans="1:8">
      <c r="A10" s="369" t="s">
        <v>383</v>
      </c>
      <c r="B10" s="371">
        <v>0.35</v>
      </c>
      <c r="C10" s="371">
        <v>0.3</v>
      </c>
      <c r="D10" s="371">
        <v>0.35</v>
      </c>
      <c r="E10" s="380"/>
    </row>
    <row r="11" spans="1:8">
      <c r="A11" s="381" t="s">
        <v>382</v>
      </c>
      <c r="B11" s="371">
        <v>0.5</v>
      </c>
      <c r="C11" s="371">
        <v>0.25</v>
      </c>
      <c r="D11" s="371">
        <v>0.25</v>
      </c>
      <c r="E11" s="380"/>
    </row>
    <row r="12" spans="1:8">
      <c r="A12" s="382" t="s">
        <v>22</v>
      </c>
      <c r="B12" s="372">
        <v>0.4</v>
      </c>
      <c r="C12" s="372">
        <v>0.30000000000000004</v>
      </c>
      <c r="D12" s="372">
        <v>0.30000000000000004</v>
      </c>
      <c r="E12" s="383"/>
    </row>
    <row r="13" spans="1:8">
      <c r="A13" s="366"/>
      <c r="B13" s="1"/>
      <c r="C13" s="1"/>
      <c r="D13" s="1"/>
      <c r="E13" s="2"/>
    </row>
  </sheetData>
  <sheetProtection algorithmName="SHA-512" hashValue="7jXSQnuxU57mFr/67gBYMahF/MiYpf0CUL70IzY9M1/gfQ2oIoyfgRhjcdFGfuK8n5yyZgWB2EhI2YFRkCiejw==" saltValue="jfXxyD3ZOEbaSZ9eBHdniw==" spinCount="100000" sheet="1" selectLockedCells="1" selectUnlockedCells="1"/>
  <printOptions horizontalCentered="1"/>
  <pageMargins left="0.23622047244094491" right="0.23622047244094491" top="0.19685039370078741" bottom="0.19685039370078741" header="0.31496062992125984" footer="0.31496062992125984"/>
  <pageSetup paperSize="9" scale="58"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R259"/>
  <sheetViews>
    <sheetView zoomScale="80" zoomScaleNormal="80" zoomScaleSheetLayoutView="100" workbookViewId="0">
      <selection activeCell="A7" sqref="A7:B7"/>
    </sheetView>
  </sheetViews>
  <sheetFormatPr defaultColWidth="9.109375" defaultRowHeight="15"/>
  <cols>
    <col min="1" max="1" width="7" style="160"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29" style="3" hidden="1" customWidth="1"/>
    <col min="10" max="10" width="45.6640625" style="3" hidden="1" customWidth="1"/>
    <col min="11" max="15" width="9.109375" style="3" hidden="1" customWidth="1"/>
    <col min="16" max="16" width="9.6640625" style="3" hidden="1" customWidth="1"/>
    <col min="17" max="17" width="9.109375" style="3" customWidth="1"/>
    <col min="18" max="16384" width="9.109375" style="3"/>
  </cols>
  <sheetData>
    <row r="1" spans="1:15" ht="15.6">
      <c r="A1" s="558" t="s">
        <v>89</v>
      </c>
      <c r="B1" s="559"/>
      <c r="C1" s="559"/>
      <c r="D1" s="559"/>
      <c r="E1" s="559"/>
      <c r="F1" s="559"/>
      <c r="G1" s="559"/>
      <c r="H1" s="560"/>
      <c r="J1" s="3" t="s">
        <v>40</v>
      </c>
    </row>
    <row r="2" spans="1:15">
      <c r="A2" s="561"/>
      <c r="B2" s="264"/>
      <c r="C2" s="264"/>
      <c r="D2" s="264"/>
      <c r="E2" s="264"/>
      <c r="F2" s="264"/>
      <c r="G2" s="265"/>
      <c r="H2" s="562"/>
      <c r="I2" s="6"/>
      <c r="J2" s="6" t="s">
        <v>384</v>
      </c>
    </row>
    <row r="3" spans="1:15" ht="15.6">
      <c r="A3" s="563" t="s">
        <v>336</v>
      </c>
      <c r="B3" s="264"/>
      <c r="C3" s="264"/>
      <c r="D3" s="331" t="s">
        <v>134</v>
      </c>
      <c r="E3" s="331" t="s">
        <v>135</v>
      </c>
      <c r="F3" s="331" t="s">
        <v>136</v>
      </c>
      <c r="G3" s="289" t="s">
        <v>104</v>
      </c>
      <c r="H3" s="564" t="s">
        <v>62</v>
      </c>
      <c r="I3" s="6"/>
      <c r="J3" s="6" t="s">
        <v>44</v>
      </c>
    </row>
    <row r="4" spans="1:15" ht="15.6">
      <c r="A4" s="966">
        <f>Summary!A6</f>
        <v>0</v>
      </c>
      <c r="B4" s="967"/>
      <c r="C4" s="264"/>
      <c r="D4" s="74">
        <f>H89</f>
        <v>0</v>
      </c>
      <c r="E4" s="154">
        <f>H192</f>
        <v>0</v>
      </c>
      <c r="F4" s="129">
        <f>H229</f>
        <v>0</v>
      </c>
      <c r="G4" s="138">
        <f>H243</f>
        <v>0</v>
      </c>
      <c r="H4" s="565">
        <f>H245</f>
        <v>0</v>
      </c>
      <c r="I4" s="6"/>
      <c r="J4" s="6" t="s">
        <v>15</v>
      </c>
    </row>
    <row r="5" spans="1:15">
      <c r="A5" s="561"/>
      <c r="B5" s="264"/>
      <c r="C5" s="264"/>
      <c r="D5" s="264"/>
      <c r="E5" s="264"/>
      <c r="F5" s="264"/>
      <c r="G5" s="265"/>
      <c r="H5" s="562"/>
      <c r="I5" s="6"/>
      <c r="J5" s="6" t="s">
        <v>16</v>
      </c>
    </row>
    <row r="6" spans="1:15" s="4" customFormat="1" ht="15.6">
      <c r="A6" s="563" t="s">
        <v>90</v>
      </c>
      <c r="B6" s="296"/>
      <c r="C6" s="296"/>
      <c r="D6" s="297" t="s">
        <v>35</v>
      </c>
      <c r="E6" s="264"/>
      <c r="F6" s="264"/>
      <c r="G6" s="265"/>
      <c r="H6" s="562"/>
      <c r="I6" s="6"/>
      <c r="J6" s="6" t="s">
        <v>383</v>
      </c>
      <c r="K6" s="3"/>
      <c r="L6" s="3"/>
      <c r="M6" s="3"/>
    </row>
    <row r="7" spans="1:15" ht="15.75" customHeight="1">
      <c r="A7" s="976" t="s">
        <v>384</v>
      </c>
      <c r="B7" s="977"/>
      <c r="D7" s="761">
        <f>Summary!A81</f>
        <v>0</v>
      </c>
      <c r="E7" s="779"/>
      <c r="F7" s="779"/>
      <c r="G7" s="780"/>
      <c r="H7" s="566"/>
      <c r="I7" s="29"/>
      <c r="J7" s="29" t="s">
        <v>382</v>
      </c>
    </row>
    <row r="8" spans="1:15" ht="15.6" thickBot="1">
      <c r="A8" s="561"/>
      <c r="B8" s="298"/>
      <c r="C8" s="264"/>
      <c r="D8" s="264"/>
      <c r="E8" s="264"/>
      <c r="F8" s="264"/>
      <c r="G8" s="265"/>
      <c r="H8" s="562"/>
    </row>
    <row r="9" spans="1:15" ht="16.2" thickBot="1">
      <c r="A9" s="567" t="s">
        <v>125</v>
      </c>
      <c r="B9" s="140"/>
      <c r="C9" s="140"/>
      <c r="D9" s="140"/>
      <c r="E9" s="140"/>
      <c r="F9" s="141"/>
      <c r="G9" s="16"/>
      <c r="H9" s="568"/>
    </row>
    <row r="10" spans="1:15">
      <c r="A10" s="561"/>
      <c r="B10" s="299"/>
      <c r="C10" s="264"/>
      <c r="D10" s="264"/>
      <c r="E10" s="264"/>
      <c r="F10" s="264"/>
      <c r="G10" s="265"/>
      <c r="H10" s="562"/>
    </row>
    <row r="11" spans="1:15" ht="15.75" customHeight="1">
      <c r="A11" s="905" t="s">
        <v>0</v>
      </c>
      <c r="B11" s="906"/>
      <c r="C11" s="144"/>
      <c r="D11" s="883" t="s">
        <v>4</v>
      </c>
      <c r="E11" s="882" t="s">
        <v>80</v>
      </c>
      <c r="F11" s="882" t="s">
        <v>21</v>
      </c>
      <c r="G11" s="300"/>
      <c r="H11" s="569"/>
    </row>
    <row r="12" spans="1:15" ht="15.75" customHeight="1">
      <c r="A12" s="907"/>
      <c r="B12" s="908"/>
      <c r="C12" s="145"/>
      <c r="D12" s="884"/>
      <c r="E12" s="882"/>
      <c r="F12" s="882"/>
      <c r="G12" s="300"/>
      <c r="H12" s="569"/>
    </row>
    <row r="13" spans="1:15" s="29" customFormat="1" ht="15.6">
      <c r="A13" s="570" t="s">
        <v>127</v>
      </c>
      <c r="B13" s="167"/>
      <c r="C13" s="167"/>
      <c r="D13" s="167"/>
      <c r="E13" s="170"/>
      <c r="F13" s="170"/>
      <c r="G13" s="301"/>
      <c r="H13" s="571"/>
      <c r="N13" s="44"/>
      <c r="O13" s="44"/>
    </row>
    <row r="14" spans="1:15">
      <c r="A14" s="572">
        <v>1</v>
      </c>
      <c r="B14" s="826" t="s">
        <v>268</v>
      </c>
      <c r="C14" s="827"/>
      <c r="D14" s="511" t="s">
        <v>2</v>
      </c>
      <c r="E14" s="512" t="s">
        <v>49</v>
      </c>
      <c r="F14" s="30"/>
      <c r="G14" s="573" t="str">
        <f>IF(F14&lt;65%,"To comply with min. 65%"," ")</f>
        <v>To comply with min. 65%</v>
      </c>
      <c r="H14" s="574"/>
    </row>
    <row r="15" spans="1:15">
      <c r="A15" s="575">
        <v>2</v>
      </c>
      <c r="B15" s="826" t="s">
        <v>590</v>
      </c>
      <c r="C15" s="827"/>
      <c r="D15" s="513" t="s">
        <v>50</v>
      </c>
      <c r="E15" s="514" t="s">
        <v>49</v>
      </c>
      <c r="F15" s="553"/>
      <c r="G15" s="573" t="str">
        <f>IF(F15&lt;80%,"To comply with min. 80%"," ")</f>
        <v>To comply with min. 80%</v>
      </c>
      <c r="H15" s="562"/>
    </row>
    <row r="16" spans="1:15" ht="15" customHeight="1">
      <c r="A16" s="572">
        <v>3</v>
      </c>
      <c r="B16" s="826" t="s">
        <v>589</v>
      </c>
      <c r="C16" s="827"/>
      <c r="D16" s="513" t="s">
        <v>50</v>
      </c>
      <c r="E16" s="514" t="s">
        <v>49</v>
      </c>
      <c r="F16" s="553"/>
      <c r="G16" s="573" t="str">
        <f>IF(F16&lt;80%,"To comply with min. 80%"," ")</f>
        <v>To comply with min. 80%</v>
      </c>
      <c r="H16" s="569"/>
    </row>
    <row r="17" spans="1:18">
      <c r="A17" s="572">
        <v>4</v>
      </c>
      <c r="B17" s="826" t="s">
        <v>591</v>
      </c>
      <c r="C17" s="827"/>
      <c r="D17" s="515" t="s">
        <v>3</v>
      </c>
      <c r="E17" s="514" t="s">
        <v>49</v>
      </c>
      <c r="F17" s="553"/>
      <c r="G17" s="573" t="str">
        <f>IF(F17&lt;65%,"To comply with min. 65%"," ")</f>
        <v>To comply with min. 65%</v>
      </c>
      <c r="H17" s="569"/>
    </row>
    <row r="18" spans="1:18" s="29" customFormat="1" ht="15.6">
      <c r="A18" s="576" t="s">
        <v>126</v>
      </c>
      <c r="B18" s="167"/>
      <c r="C18" s="167"/>
      <c r="D18" s="167"/>
      <c r="E18" s="168"/>
      <c r="F18" s="169"/>
      <c r="G18" s="534"/>
      <c r="H18" s="571"/>
      <c r="J18" s="10"/>
      <c r="N18" s="44"/>
      <c r="O18" s="44"/>
    </row>
    <row r="19" spans="1:18" ht="32.25" customHeight="1">
      <c r="A19" s="577">
        <v>5</v>
      </c>
      <c r="B19" s="886" t="s">
        <v>269</v>
      </c>
      <c r="C19" s="887"/>
      <c r="D19" s="143" t="s">
        <v>3</v>
      </c>
      <c r="E19" s="537"/>
      <c r="F19" s="31">
        <f>IFERROR(E19/$F$120,0)</f>
        <v>0</v>
      </c>
      <c r="G19" s="573" t="str">
        <f>IF(OR($A$7=$J$2,$A$7=$J$3),IF(E19=0,"Please input wall length"," ")," ")</f>
        <v>Please input wall length</v>
      </c>
      <c r="H19" s="569"/>
    </row>
    <row r="20" spans="1:18">
      <c r="A20" s="577" t="s">
        <v>509</v>
      </c>
      <c r="B20" s="826" t="s">
        <v>270</v>
      </c>
      <c r="C20" s="827"/>
      <c r="D20" s="516" t="s">
        <v>50</v>
      </c>
      <c r="E20" s="514" t="s">
        <v>49</v>
      </c>
      <c r="F20" s="30"/>
      <c r="G20" s="573" t="str">
        <f>IF(OR($A$7=$J$2,$A$7=$J$3),IF(F20&lt;65%,"To comply with min. 65%"," ")," ")</f>
        <v>To comply with min. 65%</v>
      </c>
      <c r="H20" s="569"/>
    </row>
    <row r="21" spans="1:18">
      <c r="A21" s="577" t="s">
        <v>510</v>
      </c>
      <c r="B21" s="826" t="s">
        <v>592</v>
      </c>
      <c r="C21" s="827"/>
      <c r="D21" s="516" t="s">
        <v>50</v>
      </c>
      <c r="E21" s="514" t="s">
        <v>49</v>
      </c>
      <c r="F21" s="30"/>
      <c r="G21" s="573" t="str">
        <f>IF(OR($A$7=$J$2,$A$7=$J$3),IF(F21&lt;60%,"To comply with min. 60%"," ")," ")</f>
        <v>To comply with min. 60%</v>
      </c>
      <c r="H21" s="569"/>
    </row>
    <row r="22" spans="1:18">
      <c r="A22" s="577" t="s">
        <v>511</v>
      </c>
      <c r="B22" s="826" t="s">
        <v>593</v>
      </c>
      <c r="C22" s="827"/>
      <c r="D22" s="516" t="s">
        <v>50</v>
      </c>
      <c r="E22" s="514" t="s">
        <v>49</v>
      </c>
      <c r="F22" s="30"/>
      <c r="G22" s="573" t="str">
        <f>IF(OR($A$7=$J$2,$A$7=$J$3),IF(F22&lt;65%,"To comply with min. 65%"," ")," ")</f>
        <v>To comply with min. 65%</v>
      </c>
      <c r="H22" s="569"/>
    </row>
    <row r="23" spans="1:18">
      <c r="A23" s="577" t="s">
        <v>512</v>
      </c>
      <c r="B23" s="826" t="s">
        <v>594</v>
      </c>
      <c r="C23" s="827"/>
      <c r="D23" s="516" t="s">
        <v>50</v>
      </c>
      <c r="E23" s="514" t="s">
        <v>49</v>
      </c>
      <c r="F23" s="30"/>
      <c r="G23" s="573" t="str">
        <f>IF(OR($A$7=$J$2,$A$7=$J$3),IF(F23&lt;60%,"To comply with min. 60%"," ")," ")</f>
        <v>To comply with min. 60%</v>
      </c>
      <c r="H23" s="569"/>
    </row>
    <row r="24" spans="1:18">
      <c r="A24" s="577" t="s">
        <v>283</v>
      </c>
      <c r="B24" s="826" t="s">
        <v>595</v>
      </c>
      <c r="C24" s="827"/>
      <c r="D24" s="513" t="s">
        <v>50</v>
      </c>
      <c r="E24" s="514" t="s">
        <v>49</v>
      </c>
      <c r="F24" s="553"/>
      <c r="G24" s="573" t="str">
        <f>IF(OR($A$7=$J$2,$A$7=$J$3),IF(F24&lt;65%,"To comply with min. 65%"," ")," ")</f>
        <v>To comply with min. 65%</v>
      </c>
      <c r="H24" s="569"/>
    </row>
    <row r="25" spans="1:18">
      <c r="A25" s="577" t="s">
        <v>513</v>
      </c>
      <c r="B25" s="826" t="s">
        <v>596</v>
      </c>
      <c r="C25" s="827"/>
      <c r="D25" s="513" t="s">
        <v>50</v>
      </c>
      <c r="E25" s="514" t="s">
        <v>49</v>
      </c>
      <c r="F25" s="553"/>
      <c r="G25" s="573" t="str">
        <f>IF(OR($A$7=$J$2,$A$7=$J$3),IF(F25&lt;80%,"To comply with min. 80%"," ")," ")</f>
        <v>To comply with min. 80%</v>
      </c>
      <c r="H25" s="569"/>
    </row>
    <row r="26" spans="1:18">
      <c r="A26" s="561"/>
      <c r="B26" s="264"/>
      <c r="C26" s="264"/>
      <c r="D26" s="264"/>
      <c r="E26" s="264"/>
      <c r="F26" s="264"/>
      <c r="G26" s="265"/>
      <c r="H26" s="562"/>
      <c r="J26" s="6"/>
    </row>
    <row r="27" spans="1:18" ht="15.6">
      <c r="A27" s="578" t="s">
        <v>43</v>
      </c>
      <c r="B27" s="157"/>
      <c r="C27" s="157"/>
      <c r="D27" s="157"/>
      <c r="E27" s="157"/>
      <c r="F27" s="158" t="s">
        <v>42</v>
      </c>
      <c r="G27" s="159">
        <f>VLOOKUP($A$7,'Manpower allocation'!A4:D11,2,FALSE)*100</f>
        <v>45</v>
      </c>
      <c r="H27" s="579" t="s">
        <v>41</v>
      </c>
      <c r="I27" s="365">
        <f>VLOOKUP($A$7,'Manpower allocation'!A4:D11,2,FALSE)*100</f>
        <v>45</v>
      </c>
      <c r="J27" s="6"/>
    </row>
    <row r="28" spans="1:18" ht="15.6">
      <c r="A28" s="561"/>
      <c r="B28" s="302"/>
      <c r="C28" s="303"/>
      <c r="D28" s="264"/>
      <c r="E28" s="264"/>
      <c r="F28" s="264"/>
      <c r="G28" s="265"/>
      <c r="H28" s="562"/>
      <c r="J28" s="6"/>
    </row>
    <row r="29" spans="1:18" s="29" customFormat="1" ht="46.8">
      <c r="A29" s="580" t="s">
        <v>0</v>
      </c>
      <c r="B29" s="40"/>
      <c r="C29" s="40"/>
      <c r="D29" s="41"/>
      <c r="E29" s="42" t="s">
        <v>17</v>
      </c>
      <c r="F29" s="42" t="s">
        <v>113</v>
      </c>
      <c r="G29" s="42" t="s">
        <v>18</v>
      </c>
      <c r="H29" s="42" t="s">
        <v>52</v>
      </c>
      <c r="J29" s="43"/>
      <c r="Q29" s="44"/>
      <c r="R29" s="44"/>
    </row>
    <row r="30" spans="1:18" s="29" customFormat="1" ht="15.6">
      <c r="A30" s="581" t="s">
        <v>187</v>
      </c>
      <c r="B30" s="45" t="s">
        <v>203</v>
      </c>
      <c r="C30" s="46"/>
      <c r="D30" s="46"/>
      <c r="E30" s="47"/>
      <c r="F30" s="47"/>
      <c r="G30" s="47"/>
      <c r="H30" s="582"/>
      <c r="Q30" s="44"/>
      <c r="R30" s="44"/>
    </row>
    <row r="31" spans="1:18" s="29" customFormat="1" ht="15.6">
      <c r="A31" s="583">
        <v>1</v>
      </c>
      <c r="B31" s="39" t="s">
        <v>304</v>
      </c>
      <c r="C31" s="40"/>
      <c r="D31" s="48"/>
      <c r="E31" s="40"/>
      <c r="F31" s="49"/>
      <c r="G31" s="49"/>
      <c r="H31" s="584"/>
      <c r="Q31" s="44"/>
      <c r="R31" s="44"/>
    </row>
    <row r="32" spans="1:18" s="29" customFormat="1">
      <c r="A32" s="918">
        <v>1.1000000000000001</v>
      </c>
      <c r="B32" s="836" t="s">
        <v>271</v>
      </c>
      <c r="C32" s="885"/>
      <c r="D32" s="885"/>
      <c r="E32" s="811">
        <f>VLOOKUP(A32,'Point Allocation'!$A$5:$J$15,MATCH(A7,'Point Allocation'!$A$5:$J$5,0),0)</f>
        <v>45</v>
      </c>
      <c r="F32" s="812"/>
      <c r="G32" s="813">
        <f>IFERROR(F32/$F$59,0)</f>
        <v>0</v>
      </c>
      <c r="H32" s="811">
        <f>E32*G32</f>
        <v>0</v>
      </c>
      <c r="Q32" s="44"/>
      <c r="R32" s="44"/>
    </row>
    <row r="33" spans="1:18" s="29" customFormat="1" ht="15.6">
      <c r="A33" s="919"/>
      <c r="B33" s="810" t="s">
        <v>358</v>
      </c>
      <c r="C33" s="810"/>
      <c r="D33" s="810"/>
      <c r="E33" s="811"/>
      <c r="F33" s="812"/>
      <c r="G33" s="813">
        <f t="shared" ref="G33" si="0">IFERROR(F33/$F$59,0)</f>
        <v>0</v>
      </c>
      <c r="H33" s="811"/>
      <c r="Q33" s="44"/>
      <c r="R33" s="44"/>
    </row>
    <row r="34" spans="1:18" s="29" customFormat="1" ht="15.6">
      <c r="A34" s="583">
        <v>2</v>
      </c>
      <c r="B34" s="39" t="s">
        <v>305</v>
      </c>
      <c r="C34" s="50"/>
      <c r="D34" s="48"/>
      <c r="E34" s="51"/>
      <c r="F34" s="8"/>
      <c r="G34" s="22"/>
      <c r="H34" s="585"/>
      <c r="Q34" s="52"/>
      <c r="R34" s="44"/>
    </row>
    <row r="35" spans="1:18" s="29" customFormat="1">
      <c r="A35" s="586">
        <v>2.1</v>
      </c>
      <c r="B35" s="858" t="s">
        <v>192</v>
      </c>
      <c r="C35" s="859"/>
      <c r="D35" s="840"/>
      <c r="E35" s="20">
        <f>VLOOKUP(A35,'Point Allocation'!$A$5:$J$15,MATCH(A7,'Point Allocation'!$A$5:$J$5,0),0)</f>
        <v>42</v>
      </c>
      <c r="F35" s="537"/>
      <c r="G35" s="31">
        <f>IFERROR(F35/$F$59,0)</f>
        <v>0</v>
      </c>
      <c r="H35" s="20">
        <f>E35*G35</f>
        <v>0</v>
      </c>
      <c r="Q35" s="52"/>
      <c r="R35" s="44"/>
    </row>
    <row r="36" spans="1:18" s="29" customFormat="1" ht="15.6">
      <c r="A36" s="583">
        <v>3</v>
      </c>
      <c r="B36" s="39" t="s">
        <v>306</v>
      </c>
      <c r="C36" s="50"/>
      <c r="D36" s="48"/>
      <c r="E36" s="51"/>
      <c r="F36" s="8"/>
      <c r="G36" s="22"/>
      <c r="H36" s="585"/>
      <c r="Q36" s="52"/>
      <c r="R36" s="44"/>
    </row>
    <row r="37" spans="1:18" s="29" customFormat="1" ht="15" customHeight="1">
      <c r="A37" s="586">
        <v>3.1</v>
      </c>
      <c r="B37" s="858" t="s">
        <v>640</v>
      </c>
      <c r="C37" s="859"/>
      <c r="D37" s="840"/>
      <c r="E37" s="20">
        <f>VLOOKUP(A37,'Point Allocation'!$A$5:$J$15,MATCH(A7,'Point Allocation'!$A$5:$J$5,0),0)</f>
        <v>39</v>
      </c>
      <c r="F37" s="37"/>
      <c r="G37" s="31">
        <f>IFERROR(F37/$F$59,0)</f>
        <v>0</v>
      </c>
      <c r="H37" s="546">
        <f>E37*G37</f>
        <v>0</v>
      </c>
      <c r="Q37" s="52"/>
      <c r="R37" s="44"/>
    </row>
    <row r="38" spans="1:18" s="29" customFormat="1" ht="31.5" customHeight="1">
      <c r="A38" s="909">
        <v>3.2</v>
      </c>
      <c r="B38" s="863" t="s">
        <v>296</v>
      </c>
      <c r="C38" s="911"/>
      <c r="D38" s="864"/>
      <c r="E38" s="828">
        <f>VLOOKUP(A38,'Point Allocation'!$A$5:$J$15,MATCH(A7,'Point Allocation'!$A$5:$J$5,0),0)</f>
        <v>39</v>
      </c>
      <c r="F38" s="37"/>
      <c r="G38" s="31">
        <f>IFERROR(F38/$F$59,0)</f>
        <v>0</v>
      </c>
      <c r="H38" s="828">
        <f>IF(SUM(I40:I45)&gt;=4,E38*G38,0)</f>
        <v>0</v>
      </c>
      <c r="Q38" s="52"/>
      <c r="R38" s="44"/>
    </row>
    <row r="39" spans="1:18" s="29" customFormat="1" ht="46.95" customHeight="1">
      <c r="A39" s="910"/>
      <c r="B39" s="912"/>
      <c r="C39" s="913"/>
      <c r="D39" s="914"/>
      <c r="E39" s="829"/>
      <c r="F39" s="521" t="s">
        <v>601</v>
      </c>
      <c r="G39" s="53" t="s">
        <v>116</v>
      </c>
      <c r="H39" s="829"/>
      <c r="Q39" s="52"/>
      <c r="R39" s="44"/>
    </row>
    <row r="40" spans="1:18" s="29" customFormat="1" ht="112.2" customHeight="1">
      <c r="A40" s="587" t="s">
        <v>181</v>
      </c>
      <c r="B40" s="830" t="s">
        <v>323</v>
      </c>
      <c r="C40" s="831"/>
      <c r="D40" s="832"/>
      <c r="E40" s="900"/>
      <c r="F40" s="536" t="s">
        <v>609</v>
      </c>
      <c r="G40" s="552"/>
      <c r="H40" s="889"/>
      <c r="I40" s="54">
        <f t="shared" ref="I40:I45" si="1">IF(G40&gt;=65%,1,0)</f>
        <v>0</v>
      </c>
      <c r="Q40" s="52"/>
      <c r="R40" s="44"/>
    </row>
    <row r="41" spans="1:18" s="29" customFormat="1" ht="63" customHeight="1">
      <c r="A41" s="587" t="s">
        <v>182</v>
      </c>
      <c r="B41" s="833" t="s">
        <v>204</v>
      </c>
      <c r="C41" s="834"/>
      <c r="D41" s="835"/>
      <c r="E41" s="900"/>
      <c r="F41" s="483" t="s">
        <v>598</v>
      </c>
      <c r="G41" s="553"/>
      <c r="H41" s="889"/>
      <c r="I41" s="54">
        <f t="shared" si="1"/>
        <v>0</v>
      </c>
      <c r="Q41" s="52"/>
      <c r="R41" s="44"/>
    </row>
    <row r="42" spans="1:18" s="29" customFormat="1" ht="48.75" customHeight="1">
      <c r="A42" s="587" t="s">
        <v>190</v>
      </c>
      <c r="B42" s="833" t="s">
        <v>205</v>
      </c>
      <c r="C42" s="834"/>
      <c r="D42" s="835"/>
      <c r="E42" s="900"/>
      <c r="F42" s="483" t="s">
        <v>611</v>
      </c>
      <c r="G42" s="553"/>
      <c r="H42" s="889"/>
      <c r="I42" s="54">
        <f t="shared" si="1"/>
        <v>0</v>
      </c>
      <c r="Q42" s="52"/>
      <c r="R42" s="44"/>
    </row>
    <row r="43" spans="1:18" s="29" customFormat="1" ht="45">
      <c r="A43" s="587" t="s">
        <v>183</v>
      </c>
      <c r="B43" s="833" t="s">
        <v>206</v>
      </c>
      <c r="C43" s="834"/>
      <c r="D43" s="835"/>
      <c r="E43" s="900"/>
      <c r="F43" s="483" t="s">
        <v>597</v>
      </c>
      <c r="G43" s="553"/>
      <c r="H43" s="889"/>
      <c r="I43" s="54">
        <f t="shared" si="1"/>
        <v>0</v>
      </c>
      <c r="Q43" s="52"/>
      <c r="R43" s="44"/>
    </row>
    <row r="44" spans="1:18" s="29" customFormat="1" ht="63" customHeight="1">
      <c r="A44" s="587" t="s">
        <v>191</v>
      </c>
      <c r="B44" s="833" t="s">
        <v>207</v>
      </c>
      <c r="C44" s="834"/>
      <c r="D44" s="835"/>
      <c r="E44" s="900"/>
      <c r="F44" s="483" t="s">
        <v>599</v>
      </c>
      <c r="G44" s="553"/>
      <c r="H44" s="889"/>
      <c r="I44" s="54">
        <f t="shared" si="1"/>
        <v>0</v>
      </c>
      <c r="Q44" s="52"/>
      <c r="R44" s="44"/>
    </row>
    <row r="45" spans="1:18" s="29" customFormat="1" ht="31.5" customHeight="1">
      <c r="A45" s="587" t="s">
        <v>184</v>
      </c>
      <c r="B45" s="915" t="s">
        <v>610</v>
      </c>
      <c r="C45" s="916"/>
      <c r="D45" s="886"/>
      <c r="E45" s="901"/>
      <c r="F45" s="483" t="s">
        <v>600</v>
      </c>
      <c r="G45" s="553"/>
      <c r="H45" s="829"/>
      <c r="I45" s="54">
        <f t="shared" si="1"/>
        <v>0</v>
      </c>
      <c r="Q45" s="52"/>
      <c r="R45" s="44"/>
    </row>
    <row r="46" spans="1:18" s="29" customFormat="1" ht="15.6">
      <c r="A46" s="583" t="s">
        <v>185</v>
      </c>
      <c r="B46" s="39" t="s">
        <v>307</v>
      </c>
      <c r="C46" s="55"/>
      <c r="D46" s="48"/>
      <c r="E46" s="51"/>
      <c r="F46" s="36"/>
      <c r="G46" s="23"/>
      <c r="H46" s="588"/>
      <c r="Q46" s="52"/>
      <c r="R46" s="44"/>
    </row>
    <row r="47" spans="1:18" s="29" customFormat="1" ht="31.5" customHeight="1">
      <c r="A47" s="543">
        <v>4.0999999999999996</v>
      </c>
      <c r="B47" s="858" t="s">
        <v>602</v>
      </c>
      <c r="C47" s="859"/>
      <c r="D47" s="840"/>
      <c r="E47" s="20">
        <f>VLOOKUP(A47,'Point Allocation'!$A$5:$J$15,MATCH(A7,'Point Allocation'!$A$5:$J$5,0),0)</f>
        <v>35</v>
      </c>
      <c r="F47" s="537"/>
      <c r="G47" s="31">
        <f>IFERROR(F47/$F$59,0)</f>
        <v>0</v>
      </c>
      <c r="H47" s="20">
        <f>E47*G47</f>
        <v>0</v>
      </c>
      <c r="Q47" s="52"/>
      <c r="R47" s="44"/>
    </row>
    <row r="48" spans="1:18" s="29" customFormat="1">
      <c r="A48" s="589">
        <v>4.2</v>
      </c>
      <c r="B48" s="825" t="s">
        <v>313</v>
      </c>
      <c r="C48" s="826"/>
      <c r="D48" s="827"/>
      <c r="E48" s="20">
        <f>VLOOKUP(A48,'Point Allocation'!$A$5:$J$15,MATCH(A7,'Point Allocation'!$A$5:$J$5,0),0)</f>
        <v>35</v>
      </c>
      <c r="F48" s="537"/>
      <c r="G48" s="31">
        <f>IFERROR(F48/$F$59,0)</f>
        <v>0</v>
      </c>
      <c r="H48" s="20">
        <f>E48*G48</f>
        <v>0</v>
      </c>
      <c r="Q48" s="52"/>
      <c r="R48" s="44"/>
    </row>
    <row r="49" spans="1:18" s="29" customFormat="1">
      <c r="A49" s="589">
        <v>4.3</v>
      </c>
      <c r="B49" s="902" t="s">
        <v>311</v>
      </c>
      <c r="C49" s="903"/>
      <c r="D49" s="904"/>
      <c r="E49" s="20">
        <f>VLOOKUP(A49,'Point Allocation'!$A$5:$J$15,MATCH(A7,'Point Allocation'!$A$5:$J$5,0),0)</f>
        <v>28</v>
      </c>
      <c r="F49" s="537"/>
      <c r="G49" s="31">
        <f>IFERROR(F49/$F$59,0)</f>
        <v>0</v>
      </c>
      <c r="H49" s="20">
        <f>E49*G49</f>
        <v>0</v>
      </c>
      <c r="Q49" s="52"/>
      <c r="R49" s="44"/>
    </row>
    <row r="50" spans="1:18" s="29" customFormat="1">
      <c r="A50" s="543">
        <v>4.4000000000000004</v>
      </c>
      <c r="B50" s="858" t="s">
        <v>312</v>
      </c>
      <c r="C50" s="859"/>
      <c r="D50" s="840"/>
      <c r="E50" s="20">
        <f>VLOOKUP(A50,'Point Allocation'!$A$5:$J$15,MATCH(A7,'Point Allocation'!$A$5:$J$5,0),0)</f>
        <v>28</v>
      </c>
      <c r="F50" s="537"/>
      <c r="G50" s="31">
        <f>IFERROR(F50/$F$59,0)</f>
        <v>0</v>
      </c>
      <c r="H50" s="20">
        <f>E50*G50</f>
        <v>0</v>
      </c>
      <c r="Q50" s="52"/>
      <c r="R50" s="44"/>
    </row>
    <row r="51" spans="1:18" s="58" customFormat="1" ht="15.6">
      <c r="A51" s="581" t="s">
        <v>186</v>
      </c>
      <c r="B51" s="45" t="s">
        <v>200</v>
      </c>
      <c r="C51" s="56"/>
      <c r="D51" s="57"/>
      <c r="E51" s="7"/>
      <c r="F51" s="7"/>
      <c r="G51" s="24"/>
      <c r="H51" s="590"/>
      <c r="I51" s="29"/>
      <c r="J51" s="29"/>
      <c r="K51" s="29"/>
      <c r="L51" s="29"/>
      <c r="M51" s="29"/>
      <c r="Q51" s="59"/>
    </row>
    <row r="52" spans="1:18" s="58" customFormat="1" ht="15.6">
      <c r="A52" s="39">
        <v>5</v>
      </c>
      <c r="B52" s="39" t="s">
        <v>201</v>
      </c>
      <c r="C52" s="48"/>
      <c r="D52" s="48"/>
      <c r="E52" s="8"/>
      <c r="F52" s="8"/>
      <c r="G52" s="22"/>
      <c r="H52" s="588"/>
      <c r="I52" s="29"/>
      <c r="J52" s="29"/>
      <c r="K52" s="29"/>
      <c r="L52" s="29"/>
      <c r="M52" s="29"/>
      <c r="Q52" s="59"/>
    </row>
    <row r="53" spans="1:18" s="29" customFormat="1">
      <c r="A53" s="541">
        <v>5.0999999999999996</v>
      </c>
      <c r="B53" s="822" t="s">
        <v>193</v>
      </c>
      <c r="C53" s="823"/>
      <c r="D53" s="824"/>
      <c r="E53" s="20">
        <f>VLOOKUP(A53,'Point Allocation'!$A$5:$J$15,MATCH(A7,'Point Allocation'!$A$5:$J$5,0),0)</f>
        <v>22</v>
      </c>
      <c r="F53" s="537"/>
      <c r="G53" s="31">
        <f>IFERROR(F53/$F$59,0)</f>
        <v>0</v>
      </c>
      <c r="H53" s="20">
        <f>E53*G53</f>
        <v>0</v>
      </c>
      <c r="Q53" s="52"/>
      <c r="R53" s="44"/>
    </row>
    <row r="54" spans="1:18" s="29" customFormat="1">
      <c r="A54" s="541">
        <v>5.2</v>
      </c>
      <c r="B54" s="822" t="s">
        <v>142</v>
      </c>
      <c r="C54" s="823"/>
      <c r="D54" s="824"/>
      <c r="E54" s="20">
        <f>VLOOKUP(A54,'Point Allocation'!$A$5:$J$15,MATCH(A7,'Point Allocation'!$A$5:$J$5,0),0)</f>
        <v>10</v>
      </c>
      <c r="F54" s="537"/>
      <c r="G54" s="31">
        <f>IFERROR(F54/$F$59,0)</f>
        <v>0</v>
      </c>
      <c r="H54" s="20">
        <f>E54*G54</f>
        <v>0</v>
      </c>
      <c r="Q54" s="52"/>
      <c r="R54" s="44"/>
    </row>
    <row r="55" spans="1:18" s="29" customFormat="1" ht="15.6">
      <c r="A55" s="60">
        <v>6</v>
      </c>
      <c r="B55" s="60" t="s">
        <v>202</v>
      </c>
      <c r="C55" s="48"/>
      <c r="D55" s="48"/>
      <c r="E55" s="8"/>
      <c r="F55" s="8"/>
      <c r="G55" s="22"/>
      <c r="H55" s="588"/>
      <c r="Q55" s="52"/>
      <c r="R55" s="44"/>
    </row>
    <row r="56" spans="1:18" s="29" customFormat="1">
      <c r="A56" s="591">
        <v>6.1</v>
      </c>
      <c r="B56" s="762"/>
      <c r="C56" s="763"/>
      <c r="D56" s="803"/>
      <c r="E56" s="537"/>
      <c r="F56" s="537"/>
      <c r="G56" s="31">
        <f>IFERROR(F56/$F$59,0)</f>
        <v>0</v>
      </c>
      <c r="H56" s="20">
        <f>E56*G56</f>
        <v>0</v>
      </c>
      <c r="Q56" s="52"/>
      <c r="R56" s="44"/>
    </row>
    <row r="57" spans="1:18" s="29" customFormat="1">
      <c r="A57" s="591">
        <v>6.2</v>
      </c>
      <c r="B57" s="762"/>
      <c r="C57" s="763"/>
      <c r="D57" s="803"/>
      <c r="E57" s="537"/>
      <c r="F57" s="537"/>
      <c r="G57" s="31">
        <f>IFERROR(F57/$F$59,0)</f>
        <v>0</v>
      </c>
      <c r="H57" s="20">
        <f>E57*G57</f>
        <v>0</v>
      </c>
      <c r="Q57" s="52"/>
      <c r="R57" s="44"/>
    </row>
    <row r="58" spans="1:18" s="29" customFormat="1">
      <c r="A58" s="591">
        <v>6.3</v>
      </c>
      <c r="B58" s="762"/>
      <c r="C58" s="763"/>
      <c r="D58" s="803"/>
      <c r="E58" s="537"/>
      <c r="F58" s="537"/>
      <c r="G58" s="31">
        <f>IFERROR(F58/$F$59,0)</f>
        <v>0</v>
      </c>
      <c r="H58" s="20">
        <f>E58*G58</f>
        <v>0</v>
      </c>
      <c r="Q58" s="52"/>
      <c r="R58" s="44"/>
    </row>
    <row r="59" spans="1:18" s="29" customFormat="1" ht="15.6">
      <c r="A59" s="592"/>
      <c r="B59" s="304"/>
      <c r="C59" s="305"/>
      <c r="D59" s="305"/>
      <c r="E59" s="306" t="s">
        <v>60</v>
      </c>
      <c r="F59" s="26">
        <f>SUM(F32,F35,F37,F38,F47,F48,F49,F50,F53,F54,F56,F57,F58)</f>
        <v>0</v>
      </c>
      <c r="G59" s="25">
        <f>SUM(G32,G35:G35,G37:G38,G47:G50,G53:G54,G56:G58)</f>
        <v>0</v>
      </c>
      <c r="H59" s="593">
        <f>IFERROR(SUM(H32:H58),0)</f>
        <v>0</v>
      </c>
      <c r="M59" s="61"/>
      <c r="Q59" s="52"/>
      <c r="R59" s="44"/>
    </row>
    <row r="60" spans="1:18" s="29" customFormat="1" ht="15.6" thickBot="1">
      <c r="A60" s="594"/>
      <c r="B60" s="361"/>
      <c r="C60" s="362"/>
      <c r="D60" s="362"/>
      <c r="E60" s="362"/>
      <c r="F60" s="362"/>
      <c r="G60" s="354"/>
      <c r="H60" s="595"/>
      <c r="Q60" s="52"/>
      <c r="R60" s="44"/>
    </row>
    <row r="61" spans="1:18" s="29" customFormat="1" ht="15.6">
      <c r="A61" s="896" t="s">
        <v>0</v>
      </c>
      <c r="B61" s="897"/>
      <c r="C61" s="461"/>
      <c r="D61" s="892" t="s">
        <v>4</v>
      </c>
      <c r="E61" s="894" t="s">
        <v>1</v>
      </c>
      <c r="F61" s="895"/>
      <c r="G61" s="890" t="s">
        <v>21</v>
      </c>
      <c r="H61" s="892" t="s">
        <v>62</v>
      </c>
      <c r="Q61" s="52"/>
      <c r="R61" s="44"/>
    </row>
    <row r="62" spans="1:18" s="29" customFormat="1" ht="31.2">
      <c r="A62" s="898"/>
      <c r="B62" s="899"/>
      <c r="C62" s="62"/>
      <c r="D62" s="893"/>
      <c r="E62" s="42" t="s">
        <v>117</v>
      </c>
      <c r="F62" s="42" t="s">
        <v>118</v>
      </c>
      <c r="G62" s="891"/>
      <c r="H62" s="893"/>
      <c r="I62" s="63"/>
      <c r="Q62" s="52"/>
      <c r="R62" s="44"/>
    </row>
    <row r="63" spans="1:18" s="29" customFormat="1" ht="15.6">
      <c r="A63" s="45" t="s">
        <v>208</v>
      </c>
      <c r="B63" s="45" t="s">
        <v>139</v>
      </c>
      <c r="C63" s="57"/>
      <c r="D63" s="64"/>
      <c r="E63" s="47"/>
      <c r="F63" s="47"/>
      <c r="G63" s="47"/>
      <c r="H63" s="596"/>
      <c r="I63" s="61"/>
      <c r="J63" s="61"/>
      <c r="K63" s="61"/>
      <c r="L63" s="61"/>
      <c r="Q63" s="52"/>
      <c r="R63" s="44"/>
    </row>
    <row r="64" spans="1:18" s="29" customFormat="1" ht="15" customHeight="1">
      <c r="A64" s="597" t="s">
        <v>314</v>
      </c>
      <c r="B64" s="837" t="s">
        <v>647</v>
      </c>
      <c r="C64" s="838"/>
      <c r="D64" s="5" t="s">
        <v>50</v>
      </c>
      <c r="E64" s="9">
        <v>3</v>
      </c>
      <c r="F64" s="9">
        <v>4</v>
      </c>
      <c r="G64" s="30"/>
      <c r="H64" s="20">
        <f>IF(G64&gt;=80%,F64,IF(G64&lt;65%,0,E64))</f>
        <v>0</v>
      </c>
      <c r="Q64" s="52"/>
      <c r="R64" s="44"/>
    </row>
    <row r="65" spans="1:18" s="29" customFormat="1">
      <c r="A65" s="597" t="s">
        <v>315</v>
      </c>
      <c r="B65" s="837" t="s">
        <v>646</v>
      </c>
      <c r="C65" s="838"/>
      <c r="D65" s="5" t="s">
        <v>50</v>
      </c>
      <c r="E65" s="9">
        <v>3</v>
      </c>
      <c r="F65" s="9">
        <v>4</v>
      </c>
      <c r="G65" s="30"/>
      <c r="H65" s="20">
        <f>IF(G65&gt;=80%,F65,IF(G65&lt;65%,0,E65))</f>
        <v>0</v>
      </c>
      <c r="Q65" s="52"/>
      <c r="R65" s="44"/>
    </row>
    <row r="66" spans="1:18" s="29" customFormat="1">
      <c r="A66" s="598" t="s">
        <v>316</v>
      </c>
      <c r="B66" s="837" t="s">
        <v>641</v>
      </c>
      <c r="C66" s="838"/>
      <c r="D66" s="5" t="s">
        <v>50</v>
      </c>
      <c r="E66" s="9">
        <v>3</v>
      </c>
      <c r="F66" s="9">
        <v>4</v>
      </c>
      <c r="G66" s="30"/>
      <c r="H66" s="20">
        <f>IF(G66&gt;=80%,F66,IF(G66&lt;65%,0,E66))</f>
        <v>0</v>
      </c>
      <c r="Q66" s="52"/>
      <c r="R66" s="44"/>
    </row>
    <row r="67" spans="1:18" s="29" customFormat="1" ht="51" customHeight="1">
      <c r="A67" s="597">
        <v>7.2</v>
      </c>
      <c r="B67" s="841" t="s">
        <v>319</v>
      </c>
      <c r="C67" s="841"/>
      <c r="D67" s="385" t="s">
        <v>50</v>
      </c>
      <c r="E67" s="546">
        <v>2</v>
      </c>
      <c r="F67" s="546">
        <v>2.5</v>
      </c>
      <c r="G67" s="518"/>
      <c r="H67" s="546">
        <f>IF(H38&gt;0,0,IF(G67&gt;=80%,F67,IF(G67&lt;65%,0,E67)))</f>
        <v>0</v>
      </c>
      <c r="I67" s="11"/>
      <c r="J67" s="11"/>
      <c r="K67" s="11"/>
      <c r="Q67" s="52"/>
      <c r="R67" s="44"/>
    </row>
    <row r="68" spans="1:18" s="29" customFormat="1" ht="15" customHeight="1">
      <c r="A68" s="597">
        <v>7.3</v>
      </c>
      <c r="B68" s="858" t="s">
        <v>215</v>
      </c>
      <c r="C68" s="859"/>
      <c r="D68" s="353"/>
      <c r="E68" s="353"/>
      <c r="F68" s="353"/>
      <c r="G68" s="519"/>
      <c r="H68" s="599"/>
      <c r="I68" s="11"/>
      <c r="J68" s="11"/>
      <c r="K68" s="11"/>
      <c r="Q68" s="52"/>
      <c r="R68" s="44"/>
    </row>
    <row r="69" spans="1:18" s="29" customFormat="1" ht="32.25" customHeight="1">
      <c r="A69" s="598" t="s">
        <v>209</v>
      </c>
      <c r="B69" s="839" t="s">
        <v>216</v>
      </c>
      <c r="C69" s="840"/>
      <c r="D69" s="980" t="s">
        <v>50</v>
      </c>
      <c r="E69" s="279">
        <v>1</v>
      </c>
      <c r="F69" s="279">
        <v>1.5</v>
      </c>
      <c r="G69" s="553"/>
      <c r="H69" s="279">
        <f>IF(H32+H38&gt;0,0.5,IF(G69&gt;=80%,F69,IF(G69&lt;65%,0,E69)))</f>
        <v>0</v>
      </c>
      <c r="J69" s="11"/>
      <c r="K69" s="11"/>
      <c r="Q69" s="52"/>
      <c r="R69" s="44"/>
    </row>
    <row r="70" spans="1:18" s="29" customFormat="1" ht="47.25" customHeight="1">
      <c r="A70" s="598" t="s">
        <v>210</v>
      </c>
      <c r="B70" s="839" t="s">
        <v>217</v>
      </c>
      <c r="C70" s="840"/>
      <c r="D70" s="981"/>
      <c r="E70" s="279">
        <v>1</v>
      </c>
      <c r="F70" s="279">
        <v>1.5</v>
      </c>
      <c r="G70" s="553"/>
      <c r="H70" s="279">
        <f>IF(H32+H38&gt;0,0.5,IF(G70&gt;=80%,F70,IF(G70&lt;65%,0,E70)))</f>
        <v>0</v>
      </c>
      <c r="Q70" s="52"/>
      <c r="R70" s="44"/>
    </row>
    <row r="71" spans="1:18" s="29" customFormat="1">
      <c r="A71" s="598" t="s">
        <v>222</v>
      </c>
      <c r="B71" s="839" t="s">
        <v>218</v>
      </c>
      <c r="C71" s="840"/>
      <c r="D71" s="981"/>
      <c r="E71" s="279">
        <v>1</v>
      </c>
      <c r="F71" s="279">
        <v>1.5</v>
      </c>
      <c r="G71" s="553"/>
      <c r="H71" s="279">
        <f>IF(H32+H38&gt;0,0.5,IF(G71&gt;=80%,F71,IF(G71&lt;65%,0,E71)))</f>
        <v>0</v>
      </c>
      <c r="Q71" s="52"/>
      <c r="R71" s="44"/>
    </row>
    <row r="72" spans="1:18" s="29" customFormat="1" ht="46.5" customHeight="1">
      <c r="A72" s="598" t="s">
        <v>211</v>
      </c>
      <c r="B72" s="839" t="s">
        <v>219</v>
      </c>
      <c r="C72" s="840"/>
      <c r="D72" s="982"/>
      <c r="E72" s="279">
        <v>1</v>
      </c>
      <c r="F72" s="279">
        <v>1.5</v>
      </c>
      <c r="G72" s="553"/>
      <c r="H72" s="279">
        <f>IF(H32+H38&gt;0,0.5,IF(G72&gt;=80%,F72,IF(G72&lt;65%,0,E72)))</f>
        <v>0</v>
      </c>
      <c r="Q72" s="52"/>
      <c r="R72" s="44"/>
    </row>
    <row r="73" spans="1:18" s="29" customFormat="1">
      <c r="A73" s="597">
        <v>7.4</v>
      </c>
      <c r="B73" s="923" t="s">
        <v>393</v>
      </c>
      <c r="C73" s="923"/>
      <c r="D73" s="332" t="s">
        <v>2</v>
      </c>
      <c r="E73" s="279">
        <v>1</v>
      </c>
      <c r="F73" s="279">
        <v>1.5</v>
      </c>
      <c r="G73" s="553"/>
      <c r="H73" s="279">
        <f>IF(G73&gt;=80%,F73,IF(G73&lt;65%,0,E73))</f>
        <v>0</v>
      </c>
      <c r="Q73" s="52"/>
      <c r="R73" s="44"/>
    </row>
    <row r="74" spans="1:18" s="29" customFormat="1" ht="15" customHeight="1">
      <c r="A74" s="600">
        <v>7.5</v>
      </c>
      <c r="B74" s="928" t="s">
        <v>380</v>
      </c>
      <c r="C74" s="928"/>
      <c r="D74" s="490" t="s">
        <v>377</v>
      </c>
      <c r="E74" s="979">
        <v>2</v>
      </c>
      <c r="F74" s="979"/>
      <c r="G74" s="552"/>
      <c r="H74" s="557">
        <f>IF(G74&gt;=5%,E74,0)</f>
        <v>0</v>
      </c>
      <c r="Q74" s="52"/>
      <c r="R74" s="44"/>
    </row>
    <row r="75" spans="1:18" s="29" customFormat="1" ht="15.6">
      <c r="A75" s="66" t="s">
        <v>212</v>
      </c>
      <c r="B75" s="66" t="s">
        <v>517</v>
      </c>
      <c r="C75" s="67"/>
      <c r="D75" s="68"/>
      <c r="E75" s="69"/>
      <c r="F75" s="69"/>
      <c r="G75" s="69"/>
      <c r="H75" s="601"/>
      <c r="Q75" s="52"/>
      <c r="R75" s="44"/>
    </row>
    <row r="76" spans="1:18" s="29" customFormat="1">
      <c r="A76" s="597">
        <v>8.1</v>
      </c>
      <c r="B76" s="836" t="s">
        <v>220</v>
      </c>
      <c r="C76" s="836"/>
      <c r="D76" s="5" t="s">
        <v>50</v>
      </c>
      <c r="E76" s="20">
        <v>2</v>
      </c>
      <c r="F76" s="20">
        <v>2.5</v>
      </c>
      <c r="G76" s="553"/>
      <c r="H76" s="20">
        <f>IF(G76&gt;=80%,F76,IF(G76&lt;65%,0,E76))</f>
        <v>0</v>
      </c>
      <c r="I76" s="70"/>
      <c r="Q76" s="52"/>
      <c r="R76" s="44"/>
    </row>
    <row r="77" spans="1:18" s="29" customFormat="1">
      <c r="A77" s="597">
        <v>8.1999999999999993</v>
      </c>
      <c r="B77" s="836" t="s">
        <v>221</v>
      </c>
      <c r="C77" s="836"/>
      <c r="D77" s="5" t="s">
        <v>50</v>
      </c>
      <c r="E77" s="20">
        <v>2</v>
      </c>
      <c r="F77" s="20">
        <v>2.5</v>
      </c>
      <c r="G77" s="553"/>
      <c r="H77" s="20">
        <f>IF(G77&gt;=80%,F77,IF(G77&lt;65%,0,E77))</f>
        <v>0</v>
      </c>
      <c r="I77" s="11"/>
      <c r="J77" s="11"/>
      <c r="K77" s="11"/>
      <c r="Q77" s="52"/>
      <c r="R77" s="44"/>
    </row>
    <row r="78" spans="1:18" s="29" customFormat="1" ht="30.6" customHeight="1">
      <c r="A78" s="602">
        <v>8.3000000000000007</v>
      </c>
      <c r="B78" s="825" t="s">
        <v>607</v>
      </c>
      <c r="C78" s="827"/>
      <c r="D78" s="420" t="s">
        <v>50</v>
      </c>
      <c r="E78" s="434">
        <v>2</v>
      </c>
      <c r="F78" s="434">
        <v>2.5</v>
      </c>
      <c r="G78" s="553"/>
      <c r="H78" s="279">
        <f>IF(H76&gt;0,0,IF(G78&gt;=80%,F78,IF(G78&lt;65%,0,E78)))</f>
        <v>0</v>
      </c>
      <c r="I78" s="11"/>
      <c r="J78" s="11"/>
      <c r="K78" s="11"/>
      <c r="Q78" s="52"/>
      <c r="R78" s="44"/>
    </row>
    <row r="79" spans="1:18" s="29" customFormat="1">
      <c r="A79" s="602">
        <v>8.4</v>
      </c>
      <c r="B79" s="917" t="s">
        <v>138</v>
      </c>
      <c r="C79" s="843"/>
      <c r="D79" s="420" t="s">
        <v>2</v>
      </c>
      <c r="E79" s="434">
        <v>2</v>
      </c>
      <c r="F79" s="434">
        <v>2.5</v>
      </c>
      <c r="G79" s="30"/>
      <c r="H79" s="20">
        <f>IF(G79&gt;=80%,F79,IF(G79&lt;65%,0,E79))</f>
        <v>0</v>
      </c>
      <c r="Q79" s="52"/>
      <c r="R79" s="44"/>
    </row>
    <row r="80" spans="1:18" s="29" customFormat="1" ht="15.6">
      <c r="A80" s="66" t="s">
        <v>213</v>
      </c>
      <c r="B80" s="66" t="s">
        <v>518</v>
      </c>
      <c r="C80" s="67"/>
      <c r="D80" s="68"/>
      <c r="E80" s="69"/>
      <c r="F80" s="69"/>
      <c r="G80" s="69"/>
      <c r="H80" s="601"/>
      <c r="Q80" s="52"/>
      <c r="R80" s="44"/>
    </row>
    <row r="81" spans="1:18" s="29" customFormat="1" ht="31.5" customHeight="1">
      <c r="A81" s="602">
        <v>9.1</v>
      </c>
      <c r="B81" s="978" t="s">
        <v>514</v>
      </c>
      <c r="C81" s="978"/>
      <c r="D81" s="420" t="s">
        <v>50</v>
      </c>
      <c r="E81" s="434" t="s">
        <v>49</v>
      </c>
      <c r="F81" s="434">
        <v>2.5</v>
      </c>
      <c r="G81" s="517">
        <f>F21</f>
        <v>0</v>
      </c>
      <c r="H81" s="434">
        <f>IF(G81&gt;=80%,F81,0)</f>
        <v>0</v>
      </c>
      <c r="Q81" s="52"/>
      <c r="R81" s="44"/>
    </row>
    <row r="82" spans="1:18" s="29" customFormat="1" ht="31.5" customHeight="1">
      <c r="A82" s="602">
        <v>9.1999999999999993</v>
      </c>
      <c r="B82" s="825" t="s">
        <v>608</v>
      </c>
      <c r="C82" s="827"/>
      <c r="D82" s="420" t="s">
        <v>50</v>
      </c>
      <c r="E82" s="434">
        <v>2</v>
      </c>
      <c r="F82" s="434">
        <v>2.5</v>
      </c>
      <c r="G82" s="553"/>
      <c r="H82" s="279">
        <f>IF(G82&gt;=80%,F82,IF(G82&lt;65%,0,E82))</f>
        <v>0</v>
      </c>
      <c r="Q82" s="52"/>
      <c r="R82" s="44"/>
    </row>
    <row r="83" spans="1:18" s="29" customFormat="1" ht="15.6">
      <c r="A83" s="71" t="s">
        <v>214</v>
      </c>
      <c r="B83" s="71" t="s">
        <v>202</v>
      </c>
      <c r="C83" s="57"/>
      <c r="D83" s="57"/>
      <c r="E83" s="72"/>
      <c r="F83" s="72"/>
      <c r="G83" s="73"/>
      <c r="H83" s="603"/>
      <c r="Q83" s="52"/>
      <c r="R83" s="44"/>
    </row>
    <row r="84" spans="1:18" s="29" customFormat="1">
      <c r="A84" s="597">
        <v>10.1</v>
      </c>
      <c r="B84" s="776"/>
      <c r="C84" s="776"/>
      <c r="D84" s="520"/>
      <c r="E84" s="537"/>
      <c r="F84" s="537"/>
      <c r="G84" s="553"/>
      <c r="H84" s="20">
        <f>IF(G84&gt;=80%,F84,IF(G84&lt;65%,0,E84))</f>
        <v>0</v>
      </c>
      <c r="Q84" s="52"/>
      <c r="R84" s="44"/>
    </row>
    <row r="85" spans="1:18" s="29" customFormat="1">
      <c r="A85" s="597">
        <v>10.199999999999999</v>
      </c>
      <c r="B85" s="776"/>
      <c r="C85" s="776"/>
      <c r="D85" s="520"/>
      <c r="E85" s="537"/>
      <c r="F85" s="537"/>
      <c r="G85" s="553"/>
      <c r="H85" s="20">
        <f>IF(G85&gt;=80%,F85,IF(G85&lt;65%,0,E85))</f>
        <v>0</v>
      </c>
      <c r="Q85" s="52"/>
      <c r="R85" s="44"/>
    </row>
    <row r="86" spans="1:18" s="29" customFormat="1">
      <c r="A86" s="597">
        <v>10.3</v>
      </c>
      <c r="B86" s="776"/>
      <c r="C86" s="776"/>
      <c r="D86" s="520"/>
      <c r="E86" s="537"/>
      <c r="F86" s="537"/>
      <c r="G86" s="553"/>
      <c r="H86" s="20">
        <f>IF(G86&gt;=80%,F86,IF(G86&lt;65%,0,E86))</f>
        <v>0</v>
      </c>
      <c r="Q86" s="52"/>
      <c r="R86" s="44"/>
    </row>
    <row r="87" spans="1:18" s="29" customFormat="1" ht="15.6">
      <c r="A87" s="604"/>
      <c r="B87" s="307"/>
      <c r="C87" s="305"/>
      <c r="D87" s="305"/>
      <c r="E87" s="308"/>
      <c r="F87" s="309"/>
      <c r="G87" s="310" t="s">
        <v>375</v>
      </c>
      <c r="H87" s="605">
        <f>IFERROR((SUM(H64:H86)),0)</f>
        <v>0</v>
      </c>
      <c r="Q87" s="52"/>
      <c r="R87" s="44"/>
    </row>
    <row r="88" spans="1:18" s="29" customFormat="1">
      <c r="A88" s="592"/>
      <c r="B88" s="307"/>
      <c r="C88" s="305"/>
      <c r="D88" s="305"/>
      <c r="E88" s="305"/>
      <c r="F88" s="305"/>
      <c r="G88" s="311"/>
      <c r="H88" s="571"/>
      <c r="Q88" s="52"/>
      <c r="R88" s="44"/>
    </row>
    <row r="89" spans="1:18" s="29" customFormat="1" ht="15.6">
      <c r="A89" s="592"/>
      <c r="B89" s="307"/>
      <c r="C89" s="305"/>
      <c r="D89" s="305"/>
      <c r="E89" s="305"/>
      <c r="F89" s="305"/>
      <c r="G89" s="312" t="s">
        <v>128</v>
      </c>
      <c r="H89" s="74">
        <f>IFERROR(MIN(G27,H59+H87),0)</f>
        <v>0</v>
      </c>
      <c r="Q89" s="52"/>
      <c r="R89" s="44"/>
    </row>
    <row r="90" spans="1:18" s="29" customFormat="1" ht="16.2" thickBot="1">
      <c r="A90" s="594"/>
      <c r="B90" s="361"/>
      <c r="C90" s="362"/>
      <c r="D90" s="362"/>
      <c r="E90" s="362"/>
      <c r="F90" s="362"/>
      <c r="G90" s="364"/>
      <c r="H90" s="606"/>
      <c r="Q90" s="52"/>
      <c r="R90" s="44"/>
    </row>
    <row r="91" spans="1:18" s="29" customFormat="1" ht="15.6">
      <c r="A91" s="607" t="s">
        <v>51</v>
      </c>
      <c r="B91" s="358"/>
      <c r="C91" s="358"/>
      <c r="D91" s="358"/>
      <c r="E91" s="358"/>
      <c r="F91" s="359" t="s">
        <v>42</v>
      </c>
      <c r="G91" s="360">
        <f>VLOOKUP($A$7,'Manpower allocation'!A4:D11,3,FALSE)*100</f>
        <v>40</v>
      </c>
      <c r="H91" s="608" t="s">
        <v>41</v>
      </c>
      <c r="I91" s="75">
        <f>VLOOKUP($A$7,'Manpower allocation'!A4:D11,3,FALSE)*100</f>
        <v>40</v>
      </c>
      <c r="Q91" s="52"/>
      <c r="R91" s="44"/>
    </row>
    <row r="92" spans="1:18" s="29" customFormat="1" ht="15.6">
      <c r="A92" s="592"/>
      <c r="B92" s="313"/>
      <c r="C92" s="308"/>
      <c r="D92" s="305"/>
      <c r="E92" s="305"/>
      <c r="F92" s="305"/>
      <c r="G92" s="314"/>
      <c r="H92" s="571"/>
      <c r="Q92" s="52"/>
      <c r="R92" s="44"/>
    </row>
    <row r="93" spans="1:18" s="29" customFormat="1" ht="46.8">
      <c r="A93" s="609" t="s">
        <v>0</v>
      </c>
      <c r="B93" s="556"/>
      <c r="C93" s="156"/>
      <c r="D93" s="76"/>
      <c r="E93" s="77" t="s">
        <v>17</v>
      </c>
      <c r="F93" s="78" t="s">
        <v>80</v>
      </c>
      <c r="G93" s="78" t="s">
        <v>20</v>
      </c>
      <c r="H93" s="550" t="s">
        <v>52</v>
      </c>
      <c r="Q93" s="52"/>
      <c r="R93" s="44"/>
    </row>
    <row r="94" spans="1:18" s="29" customFormat="1" ht="15.6">
      <c r="A94" s="79" t="s">
        <v>280</v>
      </c>
      <c r="B94" s="79" t="s">
        <v>298</v>
      </c>
      <c r="C94" s="80"/>
      <c r="D94" s="80"/>
      <c r="E94" s="81"/>
      <c r="F94" s="81"/>
      <c r="G94" s="81"/>
      <c r="H94" s="610"/>
      <c r="Q94" s="52"/>
      <c r="R94" s="44"/>
    </row>
    <row r="95" spans="1:18" s="29" customFormat="1" ht="15.6">
      <c r="A95" s="82">
        <v>1</v>
      </c>
      <c r="B95" s="82" t="s">
        <v>304</v>
      </c>
      <c r="C95" s="83"/>
      <c r="D95" s="83"/>
      <c r="E95" s="84"/>
      <c r="F95" s="84"/>
      <c r="G95" s="84"/>
      <c r="H95" s="611"/>
      <c r="Q95" s="52"/>
      <c r="R95" s="44"/>
    </row>
    <row r="96" spans="1:18" s="29" customFormat="1">
      <c r="A96" s="597">
        <v>1.1000000000000001</v>
      </c>
      <c r="B96" s="858" t="s">
        <v>271</v>
      </c>
      <c r="C96" s="823"/>
      <c r="D96" s="824"/>
      <c r="E96" s="85">
        <f>VLOOKUP(A96,'Point Allocation'!$A$20:$J$41,MATCH(A7,'Point Allocation'!$A$20:$J$20,0),0)</f>
        <v>30</v>
      </c>
      <c r="F96" s="86"/>
      <c r="G96" s="87">
        <f>IFERROR(F96/$F$120,0)</f>
        <v>0</v>
      </c>
      <c r="H96" s="612">
        <f>E96*G96</f>
        <v>0</v>
      </c>
      <c r="Q96" s="44"/>
      <c r="R96" s="44"/>
    </row>
    <row r="97" spans="1:18" s="29" customFormat="1" ht="15.6">
      <c r="A97" s="88">
        <v>2</v>
      </c>
      <c r="B97" s="88" t="s">
        <v>305</v>
      </c>
      <c r="C97" s="89"/>
      <c r="D97" s="90"/>
      <c r="E97" s="90"/>
      <c r="F97" s="91"/>
      <c r="G97" s="92"/>
      <c r="H97" s="613"/>
      <c r="Q97" s="52"/>
      <c r="R97" s="44"/>
    </row>
    <row r="98" spans="1:18" s="29" customFormat="1">
      <c r="A98" s="814">
        <v>2.1</v>
      </c>
      <c r="B98" s="822" t="s">
        <v>196</v>
      </c>
      <c r="C98" s="823"/>
      <c r="D98" s="824"/>
      <c r="E98" s="819">
        <f>VLOOKUP(A98,'Point Allocation'!$A$20:$J$41,MATCH(A7,'Point Allocation'!$A$20:$J$20,0),0)</f>
        <v>28</v>
      </c>
      <c r="F98" s="820"/>
      <c r="G98" s="821">
        <f>IFERROR(F98/$F$120,0)</f>
        <v>0</v>
      </c>
      <c r="H98" s="819">
        <f>E98*G98</f>
        <v>0</v>
      </c>
      <c r="Q98" s="52"/>
      <c r="R98" s="44"/>
    </row>
    <row r="99" spans="1:18" s="29" customFormat="1" ht="15.6">
      <c r="A99" s="878"/>
      <c r="B99" s="816" t="s">
        <v>119</v>
      </c>
      <c r="C99" s="817"/>
      <c r="D99" s="818"/>
      <c r="E99" s="819"/>
      <c r="F99" s="820"/>
      <c r="G99" s="821"/>
      <c r="H99" s="819"/>
      <c r="Q99" s="52"/>
      <c r="R99" s="44"/>
    </row>
    <row r="100" spans="1:18" s="29" customFormat="1">
      <c r="A100" s="814">
        <v>2.2000000000000002</v>
      </c>
      <c r="B100" s="825" t="s">
        <v>606</v>
      </c>
      <c r="C100" s="826"/>
      <c r="D100" s="827"/>
      <c r="E100" s="819">
        <f>VLOOKUP(A100,'Point Allocation'!$A$20:$J$41,MATCH(A7,'Point Allocation'!$A$20:$J$20,0),0)</f>
        <v>28</v>
      </c>
      <c r="F100" s="820"/>
      <c r="G100" s="821">
        <f>IFERROR(F100/$F$120,0)</f>
        <v>0</v>
      </c>
      <c r="H100" s="819">
        <f>E100*G100</f>
        <v>0</v>
      </c>
      <c r="Q100" s="52"/>
      <c r="R100" s="44"/>
    </row>
    <row r="101" spans="1:18" s="29" customFormat="1" ht="15.6">
      <c r="A101" s="815"/>
      <c r="B101" s="816" t="s">
        <v>119</v>
      </c>
      <c r="C101" s="817"/>
      <c r="D101" s="818"/>
      <c r="E101" s="819"/>
      <c r="F101" s="820"/>
      <c r="G101" s="821"/>
      <c r="H101" s="819"/>
      <c r="Q101" s="52"/>
      <c r="R101" s="44"/>
    </row>
    <row r="102" spans="1:18" s="29" customFormat="1" ht="15.6">
      <c r="A102" s="82">
        <v>3</v>
      </c>
      <c r="B102" s="82" t="s">
        <v>306</v>
      </c>
      <c r="C102" s="89"/>
      <c r="D102" s="89"/>
      <c r="E102" s="91"/>
      <c r="F102" s="91"/>
      <c r="G102" s="92"/>
      <c r="H102" s="614"/>
      <c r="Q102" s="52"/>
      <c r="R102" s="44"/>
    </row>
    <row r="103" spans="1:18" s="29" customFormat="1">
      <c r="A103" s="814">
        <v>3.1</v>
      </c>
      <c r="B103" s="822" t="s">
        <v>197</v>
      </c>
      <c r="C103" s="823"/>
      <c r="D103" s="824"/>
      <c r="E103" s="819">
        <f>VLOOKUP(A103,'Point Allocation'!$A$20:$J$41,MATCH(A7,'Point Allocation'!$A$20:$J$20,0),0)</f>
        <v>27</v>
      </c>
      <c r="F103" s="820"/>
      <c r="G103" s="821">
        <f>IFERROR(F103/$F$120,0)</f>
        <v>0</v>
      </c>
      <c r="H103" s="819">
        <f>E103*G103</f>
        <v>0</v>
      </c>
      <c r="Q103" s="52"/>
      <c r="R103" s="44"/>
    </row>
    <row r="104" spans="1:18" s="29" customFormat="1" ht="15.6">
      <c r="A104" s="878"/>
      <c r="B104" s="816" t="s">
        <v>267</v>
      </c>
      <c r="C104" s="817"/>
      <c r="D104" s="818"/>
      <c r="E104" s="819"/>
      <c r="F104" s="820"/>
      <c r="G104" s="821"/>
      <c r="H104" s="819"/>
      <c r="Q104" s="52"/>
      <c r="R104" s="44"/>
    </row>
    <row r="105" spans="1:18" s="29" customFormat="1" ht="15.6">
      <c r="A105" s="82">
        <v>4</v>
      </c>
      <c r="B105" s="82" t="s">
        <v>307</v>
      </c>
      <c r="C105" s="89"/>
      <c r="D105" s="89"/>
      <c r="E105" s="91"/>
      <c r="F105" s="91"/>
      <c r="G105" s="92"/>
      <c r="H105" s="614"/>
      <c r="Q105" s="52"/>
      <c r="R105" s="44"/>
    </row>
    <row r="106" spans="1:18" s="29" customFormat="1" ht="30" customHeight="1">
      <c r="A106" s="598" t="s">
        <v>194</v>
      </c>
      <c r="B106" s="833" t="s">
        <v>273</v>
      </c>
      <c r="C106" s="834"/>
      <c r="D106" s="835"/>
      <c r="E106" s="93">
        <f>VLOOKUP(A106,'Point Allocation'!$A$20:$J$41,MATCH(A7,'Point Allocation'!$A$20:$J$20,0),0)</f>
        <v>25</v>
      </c>
      <c r="F106" s="538"/>
      <c r="G106" s="539">
        <f>IFERROR(F106/$F$120,0)</f>
        <v>0</v>
      </c>
      <c r="H106" s="94">
        <f>E106*G106</f>
        <v>0</v>
      </c>
      <c r="Q106" s="939"/>
      <c r="R106" s="44"/>
    </row>
    <row r="107" spans="1:18" s="29" customFormat="1">
      <c r="A107" s="598" t="s">
        <v>195</v>
      </c>
      <c r="B107" s="833" t="s">
        <v>274</v>
      </c>
      <c r="C107" s="834"/>
      <c r="D107" s="835"/>
      <c r="E107" s="93">
        <f>VLOOKUP(A107,'Point Allocation'!$A$20:$J$41,MATCH(A7,'Point Allocation'!$A$20:$J$20,0),0)</f>
        <v>25</v>
      </c>
      <c r="F107" s="538"/>
      <c r="G107" s="539">
        <f>IFERROR(F107/$F$120,0)</f>
        <v>0</v>
      </c>
      <c r="H107" s="94">
        <f>E107*G107</f>
        <v>0</v>
      </c>
      <c r="Q107" s="939"/>
      <c r="R107" s="44"/>
    </row>
    <row r="108" spans="1:18" s="29" customFormat="1">
      <c r="A108" s="597">
        <v>4.2</v>
      </c>
      <c r="B108" s="848" t="s">
        <v>198</v>
      </c>
      <c r="C108" s="924"/>
      <c r="D108" s="849"/>
      <c r="E108" s="93">
        <f>VLOOKUP(A108,'Point Allocation'!$A$20:$J$41,MATCH(A7,'Point Allocation'!$A$20:$J$20,0),0)</f>
        <v>25</v>
      </c>
      <c r="F108" s="538"/>
      <c r="G108" s="539">
        <f>IFERROR(F108/$F$120,0)</f>
        <v>0</v>
      </c>
      <c r="H108" s="94">
        <f>E108*G108</f>
        <v>0</v>
      </c>
      <c r="Q108" s="52"/>
      <c r="R108" s="44"/>
    </row>
    <row r="109" spans="1:18" s="29" customFormat="1">
      <c r="A109" s="597">
        <v>4.3</v>
      </c>
      <c r="B109" s="925" t="s">
        <v>150</v>
      </c>
      <c r="C109" s="926"/>
      <c r="D109" s="927"/>
      <c r="E109" s="93">
        <f>VLOOKUP(A109,'Point Allocation'!$A$20:$J$41,MATCH(A7,'Point Allocation'!$A$20:$J$20,0),0)</f>
        <v>25</v>
      </c>
      <c r="F109" s="538"/>
      <c r="G109" s="539">
        <f>IFERROR(F109/$F$120,0)</f>
        <v>0</v>
      </c>
      <c r="H109" s="174">
        <f>E109*G109</f>
        <v>0</v>
      </c>
      <c r="Q109" s="52"/>
      <c r="R109" s="44"/>
    </row>
    <row r="110" spans="1:18" s="29" customFormat="1">
      <c r="A110" s="597">
        <v>4.4000000000000004</v>
      </c>
      <c r="B110" s="925" t="s">
        <v>320</v>
      </c>
      <c r="C110" s="926"/>
      <c r="D110" s="927"/>
      <c r="E110" s="93">
        <f>VLOOKUP(A110,'Point Allocation'!$A$20:$J$41,MATCH(A7,'Point Allocation'!$A$20:$J$20,0),0)</f>
        <v>22</v>
      </c>
      <c r="F110" s="538"/>
      <c r="G110" s="539">
        <f>IFERROR(F110/$F$120,0)</f>
        <v>0</v>
      </c>
      <c r="H110" s="174">
        <f>E110*G110</f>
        <v>0</v>
      </c>
      <c r="Q110" s="52"/>
      <c r="R110" s="44"/>
    </row>
    <row r="111" spans="1:18" s="29" customFormat="1" ht="15.6">
      <c r="A111" s="95" t="s">
        <v>281</v>
      </c>
      <c r="B111" s="95" t="s">
        <v>223</v>
      </c>
      <c r="C111" s="96"/>
      <c r="D111" s="97"/>
      <c r="E111" s="98"/>
      <c r="F111" s="99"/>
      <c r="G111" s="100"/>
      <c r="H111" s="615"/>
      <c r="Q111" s="52"/>
      <c r="R111" s="44"/>
    </row>
    <row r="112" spans="1:18" s="29" customFormat="1" ht="15.6">
      <c r="A112" s="82">
        <v>5</v>
      </c>
      <c r="B112" s="82" t="s">
        <v>224</v>
      </c>
      <c r="C112" s="89"/>
      <c r="D112" s="89"/>
      <c r="E112" s="91"/>
      <c r="F112" s="91"/>
      <c r="G112" s="92"/>
      <c r="H112" s="614"/>
      <c r="Q112" s="52"/>
      <c r="R112" s="44"/>
    </row>
    <row r="113" spans="1:18" s="29" customFormat="1">
      <c r="A113" s="597">
        <v>5.0999999999999996</v>
      </c>
      <c r="B113" s="822" t="s">
        <v>199</v>
      </c>
      <c r="C113" s="823"/>
      <c r="D113" s="824"/>
      <c r="E113" s="101">
        <f>VLOOKUP(A113,'Point Allocation'!$A$20:$J$41,MATCH(A7,'Point Allocation'!$A$20:$J$20,0),0)</f>
        <v>16</v>
      </c>
      <c r="F113" s="147"/>
      <c r="G113" s="539">
        <f>IFERROR(F113/$F$120,0)</f>
        <v>0</v>
      </c>
      <c r="H113" s="547">
        <f>E113*G113</f>
        <v>0</v>
      </c>
      <c r="Q113" s="52"/>
      <c r="R113" s="44"/>
    </row>
    <row r="114" spans="1:18" s="29" customFormat="1">
      <c r="A114" s="597">
        <v>5.2</v>
      </c>
      <c r="B114" s="822" t="s">
        <v>321</v>
      </c>
      <c r="C114" s="823"/>
      <c r="D114" s="824"/>
      <c r="E114" s="101">
        <f>VLOOKUP(A114,'Point Allocation'!$A$20:$J$41,MATCH(A7,'Point Allocation'!$A$20:$J$20,0),0)</f>
        <v>5</v>
      </c>
      <c r="F114" s="86"/>
      <c r="G114" s="539">
        <f>IFERROR(F114/$F$120,0)</f>
        <v>0</v>
      </c>
      <c r="H114" s="547">
        <f>E114*G114</f>
        <v>0</v>
      </c>
      <c r="Q114" s="52"/>
      <c r="R114" s="44"/>
    </row>
    <row r="115" spans="1:18" s="29" customFormat="1">
      <c r="A115" s="597">
        <v>5.3</v>
      </c>
      <c r="B115" s="822" t="s">
        <v>322</v>
      </c>
      <c r="C115" s="823"/>
      <c r="D115" s="824"/>
      <c r="E115" s="101">
        <f>VLOOKUP(A115,'Point Allocation'!$A$20:$J$41,MATCH(A7,'Point Allocation'!$A$20:$J$20,0),0)</f>
        <v>0</v>
      </c>
      <c r="F115" s="146"/>
      <c r="G115" s="539">
        <f>IFERROR(F115/$F$120,0)</f>
        <v>0</v>
      </c>
      <c r="H115" s="616">
        <f>E115*G115</f>
        <v>0</v>
      </c>
      <c r="Q115" s="52"/>
      <c r="R115" s="44"/>
    </row>
    <row r="116" spans="1:18" s="29" customFormat="1" ht="15.6">
      <c r="A116" s="102">
        <v>6</v>
      </c>
      <c r="B116" s="102" t="s">
        <v>202</v>
      </c>
      <c r="C116" s="89"/>
      <c r="D116" s="89"/>
      <c r="E116" s="91"/>
      <c r="F116" s="91"/>
      <c r="G116" s="92"/>
      <c r="H116" s="614"/>
      <c r="Q116" s="52"/>
      <c r="R116" s="44"/>
    </row>
    <row r="117" spans="1:18" s="29" customFormat="1">
      <c r="A117" s="386">
        <v>6.1</v>
      </c>
      <c r="B117" s="765"/>
      <c r="C117" s="766"/>
      <c r="D117" s="847"/>
      <c r="E117" s="538"/>
      <c r="F117" s="538"/>
      <c r="G117" s="539">
        <f>IFERROR(F117/$F$120,0)</f>
        <v>0</v>
      </c>
      <c r="H117" s="616">
        <f>E117*G117</f>
        <v>0</v>
      </c>
      <c r="Q117" s="52"/>
      <c r="R117" s="44"/>
    </row>
    <row r="118" spans="1:18" s="29" customFormat="1">
      <c r="A118" s="386">
        <v>6.2</v>
      </c>
      <c r="B118" s="765"/>
      <c r="C118" s="766"/>
      <c r="D118" s="847"/>
      <c r="E118" s="538"/>
      <c r="F118" s="538"/>
      <c r="G118" s="539">
        <f>IFERROR(F118/$F$120,0)</f>
        <v>0</v>
      </c>
      <c r="H118" s="616">
        <f>E118*G118</f>
        <v>0</v>
      </c>
      <c r="Q118" s="52"/>
      <c r="R118" s="44"/>
    </row>
    <row r="119" spans="1:18" s="29" customFormat="1">
      <c r="A119" s="386">
        <v>6.3</v>
      </c>
      <c r="B119" s="920"/>
      <c r="C119" s="920"/>
      <c r="D119" s="920"/>
      <c r="E119" s="538"/>
      <c r="F119" s="538"/>
      <c r="G119" s="539">
        <f>IFERROR(F119/$F$120,0)</f>
        <v>0</v>
      </c>
      <c r="H119" s="616">
        <f>E119*G119</f>
        <v>0</v>
      </c>
      <c r="Q119" s="52"/>
      <c r="R119" s="44"/>
    </row>
    <row r="120" spans="1:18" s="29" customFormat="1" ht="15.6">
      <c r="A120" s="604"/>
      <c r="B120" s="307"/>
      <c r="C120" s="305"/>
      <c r="D120" s="305"/>
      <c r="E120" s="312" t="s">
        <v>61</v>
      </c>
      <c r="F120" s="315">
        <f>SUM(F96:F119)+E19</f>
        <v>0</v>
      </c>
      <c r="G120" s="316">
        <f>SUM(G96:G119)+F19</f>
        <v>0</v>
      </c>
      <c r="H120" s="617">
        <f>IFERROR(SUM(H96:H119),0)</f>
        <v>0</v>
      </c>
      <c r="Q120" s="52"/>
      <c r="R120" s="44"/>
    </row>
    <row r="121" spans="1:18" s="29" customFormat="1" ht="15.6" thickBot="1">
      <c r="A121" s="594"/>
      <c r="B121" s="361"/>
      <c r="C121" s="362"/>
      <c r="D121" s="362"/>
      <c r="E121" s="362"/>
      <c r="F121" s="362"/>
      <c r="G121" s="354"/>
      <c r="H121" s="595"/>
      <c r="Q121" s="52"/>
      <c r="R121" s="44"/>
    </row>
    <row r="122" spans="1:18" s="29" customFormat="1" ht="31.2">
      <c r="A122" s="618" t="s">
        <v>0</v>
      </c>
      <c r="B122" s="458"/>
      <c r="C122" s="458"/>
      <c r="D122" s="549" t="s">
        <v>17</v>
      </c>
      <c r="E122" s="459" t="s">
        <v>80</v>
      </c>
      <c r="F122" s="460" t="s">
        <v>301</v>
      </c>
      <c r="G122" s="460" t="s">
        <v>302</v>
      </c>
      <c r="H122" s="549" t="s">
        <v>52</v>
      </c>
      <c r="Q122" s="52"/>
      <c r="R122" s="44"/>
    </row>
    <row r="123" spans="1:18" s="29" customFormat="1" ht="15.6">
      <c r="A123" s="79" t="s">
        <v>225</v>
      </c>
      <c r="B123" s="79" t="s">
        <v>299</v>
      </c>
      <c r="C123" s="80"/>
      <c r="D123" s="81"/>
      <c r="E123" s="81"/>
      <c r="F123" s="81"/>
      <c r="G123" s="81"/>
      <c r="H123" s="610"/>
      <c r="Q123" s="52"/>
      <c r="R123" s="44"/>
    </row>
    <row r="124" spans="1:18" s="29" customFormat="1" ht="15.6">
      <c r="A124" s="82">
        <v>7</v>
      </c>
      <c r="B124" s="82" t="s">
        <v>304</v>
      </c>
      <c r="C124" s="83"/>
      <c r="D124" s="84"/>
      <c r="E124" s="84"/>
      <c r="F124" s="84"/>
      <c r="G124" s="84"/>
      <c r="H124" s="611"/>
      <c r="Q124" s="52"/>
      <c r="R124" s="44"/>
    </row>
    <row r="125" spans="1:18" s="29" customFormat="1" ht="15" customHeight="1">
      <c r="A125" s="543">
        <v>7.1</v>
      </c>
      <c r="B125" s="858" t="s">
        <v>271</v>
      </c>
      <c r="C125" s="840"/>
      <c r="D125" s="94">
        <f>VLOOKUP(A125,'Point Allocation'!$A$20:$J$41,MATCH(A7,'Point Allocation'!$A$20:$J$20,0),0)</f>
        <v>10</v>
      </c>
      <c r="E125" s="85">
        <f>F96</f>
        <v>0</v>
      </c>
      <c r="F125" s="85">
        <f>F32</f>
        <v>0</v>
      </c>
      <c r="G125" s="87">
        <f>IFERROR(SUM(E125:F125)/SUM($E$143:$F$143),0)</f>
        <v>0</v>
      </c>
      <c r="H125" s="612">
        <f>D125*G125</f>
        <v>0</v>
      </c>
      <c r="Q125" s="52"/>
      <c r="R125" s="44"/>
    </row>
    <row r="126" spans="1:18" s="29" customFormat="1" ht="15.6">
      <c r="A126" s="88">
        <v>8</v>
      </c>
      <c r="B126" s="88" t="s">
        <v>305</v>
      </c>
      <c r="C126" s="89"/>
      <c r="D126" s="90"/>
      <c r="E126" s="91"/>
      <c r="F126" s="91"/>
      <c r="G126" s="92"/>
      <c r="H126" s="613"/>
      <c r="Q126" s="52"/>
      <c r="R126" s="44"/>
    </row>
    <row r="127" spans="1:18" s="29" customFormat="1">
      <c r="A127" s="814">
        <v>8.1</v>
      </c>
      <c r="B127" s="822" t="s">
        <v>303</v>
      </c>
      <c r="C127" s="824"/>
      <c r="D127" s="921">
        <f>VLOOKUP(A127,'Point Allocation'!$A$20:$J$41,MATCH(A7,'Point Allocation'!$A$20:$J$20,0),0)</f>
        <v>8</v>
      </c>
      <c r="E127" s="945">
        <f>F98</f>
        <v>0</v>
      </c>
      <c r="F127" s="946"/>
      <c r="G127" s="983">
        <f>IFERROR(SUM(E127:F128)/SUM($E$143:$F$143),0)</f>
        <v>0</v>
      </c>
      <c r="H127" s="819">
        <f>D127*G127</f>
        <v>0</v>
      </c>
      <c r="Q127" s="52"/>
      <c r="R127" s="44"/>
    </row>
    <row r="128" spans="1:18" s="29" customFormat="1" ht="15.6">
      <c r="A128" s="815"/>
      <c r="B128" s="816" t="s">
        <v>119</v>
      </c>
      <c r="C128" s="818"/>
      <c r="D128" s="922"/>
      <c r="E128" s="945"/>
      <c r="F128" s="946"/>
      <c r="G128" s="984"/>
      <c r="H128" s="819"/>
      <c r="Q128" s="52"/>
      <c r="R128" s="44"/>
    </row>
    <row r="129" spans="1:18" s="29" customFormat="1">
      <c r="A129" s="543">
        <v>8.1999999999999993</v>
      </c>
      <c r="B129" s="825" t="s">
        <v>606</v>
      </c>
      <c r="C129" s="827"/>
      <c r="D129" s="94">
        <f>VLOOKUP(A129,'Point Allocation'!$A$20:$J$41,MATCH(A7,'Point Allocation'!$A$20:$J$20,0),0)</f>
        <v>8</v>
      </c>
      <c r="E129" s="174">
        <f>F100</f>
        <v>0</v>
      </c>
      <c r="F129" s="555"/>
      <c r="G129" s="87">
        <f>IFERROR(SUM(E129:F129)/SUM($E$143:$F$143),0)</f>
        <v>0</v>
      </c>
      <c r="H129" s="94">
        <f>D129*G129</f>
        <v>0</v>
      </c>
      <c r="Q129" s="52"/>
      <c r="R129" s="44"/>
    </row>
    <row r="130" spans="1:18" s="29" customFormat="1" ht="15.6">
      <c r="A130" s="82">
        <v>9</v>
      </c>
      <c r="B130" s="82" t="s">
        <v>306</v>
      </c>
      <c r="C130" s="89"/>
      <c r="D130" s="91"/>
      <c r="E130" s="91"/>
      <c r="F130" s="91"/>
      <c r="G130" s="92"/>
      <c r="H130" s="614"/>
      <c r="Q130" s="52"/>
      <c r="R130" s="44"/>
    </row>
    <row r="131" spans="1:18" s="29" customFormat="1">
      <c r="A131" s="814">
        <v>9.1</v>
      </c>
      <c r="B131" s="822" t="s">
        <v>339</v>
      </c>
      <c r="C131" s="824"/>
      <c r="D131" s="921">
        <f>VLOOKUP(A131,'Point Allocation'!$A$20:$J$41,MATCH(A7,'Point Allocation'!$A$20:$J$20,0),0)</f>
        <v>6</v>
      </c>
      <c r="E131" s="946"/>
      <c r="F131" s="946"/>
      <c r="G131" s="821">
        <f>IFERROR(SUM(E131:F132)/SUM($E$143:$F$143),0)</f>
        <v>0</v>
      </c>
      <c r="H131" s="819">
        <f>D131*G131</f>
        <v>0</v>
      </c>
      <c r="Q131" s="52"/>
      <c r="R131" s="44"/>
    </row>
    <row r="132" spans="1:18" s="29" customFormat="1" ht="15.6">
      <c r="A132" s="815"/>
      <c r="B132" s="816" t="s">
        <v>5</v>
      </c>
      <c r="C132" s="818"/>
      <c r="D132" s="922"/>
      <c r="E132" s="946"/>
      <c r="F132" s="946"/>
      <c r="G132" s="821"/>
      <c r="H132" s="819"/>
      <c r="Q132" s="52"/>
      <c r="R132" s="44"/>
    </row>
    <row r="133" spans="1:18" s="29" customFormat="1" ht="15.6">
      <c r="A133" s="82">
        <v>10</v>
      </c>
      <c r="B133" s="82" t="s">
        <v>308</v>
      </c>
      <c r="C133" s="89"/>
      <c r="D133" s="91"/>
      <c r="E133" s="91"/>
      <c r="F133" s="91"/>
      <c r="G133" s="92"/>
      <c r="H133" s="614"/>
      <c r="Q133" s="52"/>
      <c r="R133" s="44"/>
    </row>
    <row r="134" spans="1:18" s="29" customFormat="1" ht="15" customHeight="1">
      <c r="A134" s="541">
        <v>10.1</v>
      </c>
      <c r="B134" s="822" t="s">
        <v>340</v>
      </c>
      <c r="C134" s="824"/>
      <c r="D134" s="94">
        <f>VLOOKUP(A134,'Point Allocation'!$A$20:$J$41,MATCH(A7,'Point Allocation'!$A$20:$J$20,0),0)</f>
        <v>4</v>
      </c>
      <c r="E134" s="555"/>
      <c r="F134" s="555"/>
      <c r="G134" s="87">
        <f>IFERROR(SUM(E134:F134)/SUM($E$143:$F$143),0)</f>
        <v>0</v>
      </c>
      <c r="H134" s="94">
        <f>D134*G134</f>
        <v>0</v>
      </c>
      <c r="Q134" s="52"/>
      <c r="R134" s="44"/>
    </row>
    <row r="135" spans="1:18" s="29" customFormat="1" ht="32.25" customHeight="1">
      <c r="A135" s="589">
        <v>10.199999999999999</v>
      </c>
      <c r="B135" s="825" t="s">
        <v>318</v>
      </c>
      <c r="C135" s="827"/>
      <c r="D135" s="94">
        <f>VLOOKUP(A135,'Point Allocation'!$A$20:$J$41,MATCH(A7,'Point Allocation'!$A$20:$J$20,0),0)</f>
        <v>4</v>
      </c>
      <c r="E135" s="173"/>
      <c r="F135" s="555"/>
      <c r="G135" s="539">
        <f>IFERROR(SUM(E135:F135)/SUM($E$143:$F$143),0)</f>
        <v>0</v>
      </c>
      <c r="H135" s="94">
        <f>D135*G135</f>
        <v>0</v>
      </c>
      <c r="Q135" s="52"/>
      <c r="R135" s="44"/>
    </row>
    <row r="136" spans="1:18" s="29" customFormat="1" ht="15.6">
      <c r="A136" s="95" t="s">
        <v>226</v>
      </c>
      <c r="B136" s="95" t="s">
        <v>248</v>
      </c>
      <c r="C136" s="96"/>
      <c r="D136" s="98"/>
      <c r="E136" s="99"/>
      <c r="F136" s="99"/>
      <c r="G136" s="100"/>
      <c r="H136" s="615"/>
      <c r="Q136" s="52"/>
      <c r="R136" s="44"/>
    </row>
    <row r="137" spans="1:18" s="29" customFormat="1" ht="15.6">
      <c r="A137" s="82">
        <v>11</v>
      </c>
      <c r="B137" s="82" t="s">
        <v>249</v>
      </c>
      <c r="C137" s="89"/>
      <c r="D137" s="91"/>
      <c r="E137" s="91"/>
      <c r="F137" s="91"/>
      <c r="G137" s="92"/>
      <c r="H137" s="614"/>
      <c r="Q137" s="52"/>
      <c r="R137" s="44"/>
    </row>
    <row r="138" spans="1:18" s="29" customFormat="1">
      <c r="A138" s="541">
        <v>11.1</v>
      </c>
      <c r="B138" s="822" t="s">
        <v>642</v>
      </c>
      <c r="C138" s="824"/>
      <c r="D138" s="94">
        <f>VLOOKUP(A138,'Point Allocation'!$A$20:$J$41,MATCH(A7,'Point Allocation'!$A$20:$J$20,0),0)</f>
        <v>2</v>
      </c>
      <c r="E138" s="555"/>
      <c r="F138" s="555"/>
      <c r="G138" s="539">
        <f>IFERROR(SUM(E138:F138)/SUM($E$143:$F$143),0)</f>
        <v>0</v>
      </c>
      <c r="H138" s="94">
        <f t="shared" ref="H138:H142" si="2">D138*G138</f>
        <v>0</v>
      </c>
      <c r="Q138" s="52"/>
      <c r="R138" s="44"/>
    </row>
    <row r="139" spans="1:18" s="29" customFormat="1">
      <c r="A139" s="619">
        <v>11.2</v>
      </c>
      <c r="B139" s="848" t="s">
        <v>310</v>
      </c>
      <c r="C139" s="849"/>
      <c r="D139" s="174">
        <f>VLOOKUP(A138,'Point Allocation'!$A$20:$J$41,MATCH(A7,'Point Allocation'!$A$20:$J$20,0),0)</f>
        <v>2</v>
      </c>
      <c r="E139" s="555"/>
      <c r="F139" s="555"/>
      <c r="G139" s="539">
        <f>IFERROR(SUM(E139:F139)/SUM($E$143:$F$143),0)</f>
        <v>0</v>
      </c>
      <c r="H139" s="94">
        <f t="shared" si="2"/>
        <v>0</v>
      </c>
      <c r="Q139" s="52"/>
      <c r="R139" s="44"/>
    </row>
    <row r="140" spans="1:18" s="29" customFormat="1">
      <c r="A140" s="541">
        <v>11.3</v>
      </c>
      <c r="B140" s="848" t="s">
        <v>317</v>
      </c>
      <c r="C140" s="849"/>
      <c r="D140" s="94">
        <f>VLOOKUP(A140,'Point Allocation'!$A$20:$J$41,MATCH(A7,'Point Allocation'!$A$20:$J$20,0),0)</f>
        <v>0</v>
      </c>
      <c r="E140" s="555"/>
      <c r="F140" s="555"/>
      <c r="G140" s="539">
        <f>IFERROR(SUM(E140:F140)/SUM($E$143:$F$143),0)</f>
        <v>0</v>
      </c>
      <c r="H140" s="94">
        <f t="shared" si="2"/>
        <v>0</v>
      </c>
      <c r="Q140" s="52"/>
      <c r="R140" s="44"/>
    </row>
    <row r="141" spans="1:18" s="29" customFormat="1">
      <c r="A141" s="620">
        <v>11.4</v>
      </c>
      <c r="B141" s="968"/>
      <c r="C141" s="969"/>
      <c r="D141" s="538"/>
      <c r="E141" s="555"/>
      <c r="F141" s="555"/>
      <c r="G141" s="539">
        <f>IFERROR(SUM(E141:F141)/SUM($E$143:$F$143),0)</f>
        <v>0</v>
      </c>
      <c r="H141" s="94">
        <f t="shared" si="2"/>
        <v>0</v>
      </c>
      <c r="Q141" s="52"/>
      <c r="R141" s="44"/>
    </row>
    <row r="142" spans="1:18" s="29" customFormat="1">
      <c r="A142" s="620">
        <v>11.5</v>
      </c>
      <c r="B142" s="968"/>
      <c r="C142" s="969"/>
      <c r="D142" s="538"/>
      <c r="E142" s="555"/>
      <c r="F142" s="555"/>
      <c r="G142" s="539">
        <f>IFERROR(SUM(E142:F142)/SUM($E$143:$F$143),0)</f>
        <v>0</v>
      </c>
      <c r="H142" s="94">
        <f t="shared" si="2"/>
        <v>0</v>
      </c>
      <c r="Q142" s="52"/>
      <c r="R142" s="44"/>
    </row>
    <row r="143" spans="1:18" s="29" customFormat="1" ht="15.6">
      <c r="A143" s="592"/>
      <c r="B143" s="307"/>
      <c r="C143" s="305"/>
      <c r="D143" s="312" t="s">
        <v>131</v>
      </c>
      <c r="E143" s="315">
        <f>SUM(E125:E142)</f>
        <v>0</v>
      </c>
      <c r="F143" s="317">
        <f>SUM(F125:F142)</f>
        <v>0</v>
      </c>
      <c r="G143" s="318">
        <f>SUM(G125:G142)</f>
        <v>0</v>
      </c>
      <c r="H143" s="621">
        <f>IFERROR(SUM(H125:H142),0)</f>
        <v>0</v>
      </c>
      <c r="Q143" s="52"/>
      <c r="R143" s="44"/>
    </row>
    <row r="144" spans="1:18" s="29" customFormat="1">
      <c r="A144" s="622"/>
      <c r="B144" s="307"/>
      <c r="C144" s="305"/>
      <c r="D144" s="305"/>
      <c r="E144" s="305"/>
      <c r="F144" s="305"/>
      <c r="G144" s="314"/>
      <c r="H144" s="571"/>
      <c r="Q144" s="52"/>
      <c r="R144" s="44"/>
    </row>
    <row r="145" spans="1:18" s="29" customFormat="1" ht="46.8">
      <c r="A145" s="970" t="s">
        <v>0</v>
      </c>
      <c r="B145" s="971"/>
      <c r="C145" s="163"/>
      <c r="D145" s="550" t="s">
        <v>57</v>
      </c>
      <c r="E145" s="550" t="s">
        <v>58</v>
      </c>
      <c r="F145" s="956" t="s">
        <v>59</v>
      </c>
      <c r="G145" s="956"/>
      <c r="H145" s="623" t="s">
        <v>62</v>
      </c>
      <c r="J145" s="103" t="s">
        <v>71</v>
      </c>
      <c r="K145" s="103">
        <v>1</v>
      </c>
      <c r="L145" s="103">
        <v>2</v>
      </c>
      <c r="M145" s="103">
        <v>3</v>
      </c>
      <c r="N145" s="103">
        <v>4</v>
      </c>
      <c r="O145" s="103">
        <v>5</v>
      </c>
      <c r="P145" s="103">
        <v>6</v>
      </c>
      <c r="Q145" s="52"/>
      <c r="R145" s="44"/>
    </row>
    <row r="146" spans="1:18" s="29" customFormat="1" ht="15.6">
      <c r="A146" s="126" t="s">
        <v>227</v>
      </c>
      <c r="B146" s="126" t="s">
        <v>139</v>
      </c>
      <c r="C146" s="162"/>
      <c r="D146" s="56"/>
      <c r="E146" s="56"/>
      <c r="F146" s="57"/>
      <c r="G146" s="104"/>
      <c r="H146" s="624"/>
      <c r="J146" s="103" t="s">
        <v>73</v>
      </c>
      <c r="K146" s="103" t="s">
        <v>72</v>
      </c>
      <c r="L146" s="103">
        <v>1</v>
      </c>
      <c r="M146" s="103">
        <v>2</v>
      </c>
      <c r="N146" s="103">
        <v>3</v>
      </c>
      <c r="O146" s="103">
        <v>4</v>
      </c>
      <c r="P146" s="103">
        <v>4</v>
      </c>
      <c r="Q146" s="52"/>
      <c r="R146" s="44"/>
    </row>
    <row r="147" spans="1:18" s="29" customFormat="1">
      <c r="A147" s="625" t="s">
        <v>228</v>
      </c>
      <c r="B147" s="386" t="s">
        <v>394</v>
      </c>
      <c r="C147" s="164" t="s">
        <v>55</v>
      </c>
      <c r="D147" s="820"/>
      <c r="E147" s="820"/>
      <c r="F147" s="949" t="str">
        <f>IF(D147&gt;9,D147/E147," ")</f>
        <v xml:space="preserve"> </v>
      </c>
      <c r="G147" s="949"/>
      <c r="H147" s="94">
        <f>IF(D147="",0,IF(D147&lt;9,2,IF((D147/E147)=0,2,IF((D147/E147)&lt;10%,1.5,IF((D147/E147)&lt;15%,1,IF((D147/E147)&lt;20%,0.5,0))))))</f>
        <v>0</v>
      </c>
      <c r="J147" s="103" t="s">
        <v>74</v>
      </c>
      <c r="K147" s="103" t="s">
        <v>72</v>
      </c>
      <c r="L147" s="103">
        <v>5</v>
      </c>
      <c r="M147" s="103">
        <v>15</v>
      </c>
      <c r="N147" s="103">
        <v>25</v>
      </c>
      <c r="O147" s="103">
        <v>35</v>
      </c>
      <c r="P147" s="103">
        <v>35</v>
      </c>
      <c r="Q147" s="52"/>
      <c r="R147" s="44"/>
    </row>
    <row r="148" spans="1:18" s="29" customFormat="1">
      <c r="A148" s="625" t="s">
        <v>229</v>
      </c>
      <c r="B148" s="386" t="s">
        <v>395</v>
      </c>
      <c r="C148" s="164" t="s">
        <v>56</v>
      </c>
      <c r="D148" s="820"/>
      <c r="E148" s="820"/>
      <c r="F148" s="950"/>
      <c r="G148" s="950"/>
      <c r="H148" s="94">
        <f>IF(E147="",0,IF(E147&lt;15,HLOOKUP(F148,J145:P152,4,FALSE),IF(E147&lt;45,HLOOKUP(F148,J145:P152,5,FALSE),IF(E147&lt;90,HLOOKUP(F148,J145:P152,6,FALSE),IF(E147&lt;135,HLOOKUP(F148,J145:P152,7,FALSE),IF(E147&gt;=135,HLOOKUP(F148,J145:P152,8,FALSE),3))))))</f>
        <v>0</v>
      </c>
      <c r="I148" s="54"/>
      <c r="J148" s="103" t="s">
        <v>75</v>
      </c>
      <c r="K148" s="103">
        <v>3</v>
      </c>
      <c r="L148" s="103">
        <v>3</v>
      </c>
      <c r="M148" s="103">
        <v>3</v>
      </c>
      <c r="N148" s="103">
        <v>2.5</v>
      </c>
      <c r="O148" s="103">
        <v>1.5</v>
      </c>
      <c r="P148" s="103">
        <v>0</v>
      </c>
      <c r="Q148" s="52"/>
      <c r="R148" s="44"/>
    </row>
    <row r="149" spans="1:18" s="29" customFormat="1">
      <c r="A149" s="592"/>
      <c r="B149" s="307"/>
      <c r="C149" s="314"/>
      <c r="D149" s="319"/>
      <c r="E149" s="319"/>
      <c r="F149" s="319"/>
      <c r="G149" s="319"/>
      <c r="H149" s="626"/>
      <c r="I149" s="54"/>
      <c r="J149" s="103" t="s">
        <v>76</v>
      </c>
      <c r="K149" s="103">
        <v>3</v>
      </c>
      <c r="L149" s="103">
        <v>3</v>
      </c>
      <c r="M149" s="103">
        <v>2.5</v>
      </c>
      <c r="N149" s="103">
        <v>1.5</v>
      </c>
      <c r="O149" s="103">
        <v>1</v>
      </c>
      <c r="P149" s="103">
        <v>0</v>
      </c>
      <c r="Q149" s="52"/>
      <c r="R149" s="44"/>
    </row>
    <row r="150" spans="1:18" s="29" customFormat="1" ht="15.6">
      <c r="A150" s="592"/>
      <c r="B150" s="320"/>
      <c r="C150" s="314"/>
      <c r="D150" s="314"/>
      <c r="E150" s="314"/>
      <c r="F150" s="305"/>
      <c r="G150" s="321"/>
      <c r="H150" s="627"/>
      <c r="I150" s="54"/>
      <c r="J150" s="103" t="s">
        <v>77</v>
      </c>
      <c r="K150" s="103">
        <v>3</v>
      </c>
      <c r="L150" s="103">
        <v>2.5</v>
      </c>
      <c r="M150" s="103">
        <v>1.5</v>
      </c>
      <c r="N150" s="103">
        <v>1</v>
      </c>
      <c r="O150" s="103">
        <v>0</v>
      </c>
      <c r="P150" s="103">
        <v>0</v>
      </c>
      <c r="Q150" s="52"/>
      <c r="R150" s="44"/>
    </row>
    <row r="151" spans="1:18" s="29" customFormat="1" ht="15.75" customHeight="1">
      <c r="A151" s="972" t="s">
        <v>0</v>
      </c>
      <c r="B151" s="973"/>
      <c r="C151" s="888"/>
      <c r="D151" s="974" t="s">
        <v>4</v>
      </c>
      <c r="E151" s="951" t="s">
        <v>1</v>
      </c>
      <c r="F151" s="952"/>
      <c r="G151" s="953" t="s">
        <v>21</v>
      </c>
      <c r="H151" s="947" t="s">
        <v>62</v>
      </c>
      <c r="I151" s="54"/>
      <c r="J151" s="103" t="s">
        <v>78</v>
      </c>
      <c r="K151" s="103">
        <v>3</v>
      </c>
      <c r="L151" s="103">
        <v>1.5</v>
      </c>
      <c r="M151" s="103">
        <v>1</v>
      </c>
      <c r="N151" s="103">
        <v>0</v>
      </c>
      <c r="O151" s="103">
        <v>0</v>
      </c>
      <c r="P151" s="103">
        <v>0</v>
      </c>
      <c r="Q151" s="52"/>
      <c r="R151" s="44"/>
    </row>
    <row r="152" spans="1:18" s="29" customFormat="1" ht="30" customHeight="1">
      <c r="A152" s="867"/>
      <c r="B152" s="868"/>
      <c r="C152" s="870"/>
      <c r="D152" s="952"/>
      <c r="E152" s="550" t="s">
        <v>64</v>
      </c>
      <c r="F152" s="550" t="s">
        <v>65</v>
      </c>
      <c r="G152" s="954"/>
      <c r="H152" s="948"/>
      <c r="I152" s="54"/>
      <c r="J152" s="103" t="s">
        <v>79</v>
      </c>
      <c r="K152" s="103">
        <v>3</v>
      </c>
      <c r="L152" s="103">
        <v>1</v>
      </c>
      <c r="M152" s="103">
        <v>0</v>
      </c>
      <c r="N152" s="103">
        <v>0</v>
      </c>
      <c r="O152" s="103">
        <v>0</v>
      </c>
      <c r="P152" s="103">
        <v>0</v>
      </c>
      <c r="Q152" s="52"/>
      <c r="R152" s="44"/>
    </row>
    <row r="153" spans="1:18" s="29" customFormat="1" ht="15.6">
      <c r="A153" s="105" t="s">
        <v>230</v>
      </c>
      <c r="B153" s="105" t="s">
        <v>516</v>
      </c>
      <c r="C153" s="106"/>
      <c r="D153" s="106"/>
      <c r="E153" s="106"/>
      <c r="F153" s="110"/>
      <c r="G153" s="111"/>
      <c r="H153" s="628"/>
      <c r="J153" s="103" t="s">
        <v>73</v>
      </c>
      <c r="K153" s="103" t="s">
        <v>72</v>
      </c>
      <c r="L153" s="103">
        <v>1</v>
      </c>
      <c r="M153" s="103">
        <v>2</v>
      </c>
      <c r="N153" s="103">
        <v>3</v>
      </c>
      <c r="O153" s="103">
        <v>4</v>
      </c>
      <c r="P153" s="103">
        <v>4</v>
      </c>
      <c r="Q153" s="52"/>
      <c r="R153" s="44"/>
    </row>
    <row r="154" spans="1:18" s="29" customFormat="1" ht="15.6">
      <c r="A154" s="149" t="s">
        <v>231</v>
      </c>
      <c r="B154" s="149" t="s">
        <v>517</v>
      </c>
      <c r="C154" s="150"/>
      <c r="D154" s="151"/>
      <c r="E154" s="152"/>
      <c r="F154" s="152"/>
      <c r="G154" s="153"/>
      <c r="H154" s="629"/>
      <c r="I154" s="54"/>
      <c r="Q154" s="52"/>
      <c r="R154" s="44"/>
    </row>
    <row r="155" spans="1:18" s="29" customFormat="1">
      <c r="A155" s="630" t="s">
        <v>232</v>
      </c>
      <c r="B155" s="825" t="s">
        <v>612</v>
      </c>
      <c r="C155" s="827"/>
      <c r="D155" s="522" t="s">
        <v>50</v>
      </c>
      <c r="E155" s="523">
        <v>2</v>
      </c>
      <c r="F155" s="523">
        <v>3</v>
      </c>
      <c r="G155" s="27"/>
      <c r="H155" s="434">
        <f t="shared" ref="H155:H166" si="3">IF(G155&gt;=80%,F155,IF(G155&lt;65%,0,E155))</f>
        <v>0</v>
      </c>
      <c r="Q155" s="52"/>
      <c r="R155" s="44"/>
    </row>
    <row r="156" spans="1:18" s="29" customFormat="1">
      <c r="A156" s="630" t="s">
        <v>233</v>
      </c>
      <c r="B156" s="917" t="s">
        <v>613</v>
      </c>
      <c r="C156" s="843"/>
      <c r="D156" s="483" t="s">
        <v>50</v>
      </c>
      <c r="E156" s="434">
        <v>2</v>
      </c>
      <c r="F156" s="434">
        <v>3</v>
      </c>
      <c r="G156" s="553"/>
      <c r="H156" s="434">
        <f>IF(G156&gt;=80%,F156,IF(G156&lt;65%,0,E156))</f>
        <v>0</v>
      </c>
      <c r="Q156" s="52"/>
      <c r="R156" s="44"/>
    </row>
    <row r="157" spans="1:18" s="29" customFormat="1">
      <c r="A157" s="631" t="s">
        <v>234</v>
      </c>
      <c r="B157" s="917" t="s">
        <v>563</v>
      </c>
      <c r="C157" s="843"/>
      <c r="D157" s="524" t="s">
        <v>50</v>
      </c>
      <c r="E157" s="554">
        <v>2</v>
      </c>
      <c r="F157" s="434">
        <v>2.5</v>
      </c>
      <c r="G157" s="551"/>
      <c r="H157" s="434">
        <f t="shared" ref="H157" si="4">IF(G157&gt;=80%,F157,IF(G157&lt;65%,0,E157))</f>
        <v>0</v>
      </c>
      <c r="Q157" s="52"/>
      <c r="R157" s="44"/>
    </row>
    <row r="158" spans="1:18" s="29" customFormat="1">
      <c r="A158" s="631" t="s">
        <v>235</v>
      </c>
      <c r="B158" s="917" t="s">
        <v>623</v>
      </c>
      <c r="C158" s="843"/>
      <c r="D158" s="524" t="s">
        <v>50</v>
      </c>
      <c r="E158" s="554">
        <v>2</v>
      </c>
      <c r="F158" s="434">
        <v>2.5</v>
      </c>
      <c r="G158" s="551"/>
      <c r="H158" s="434">
        <f>IF(G158&gt;=80%,F158,IF(G158&lt;65%,0,E158))</f>
        <v>0</v>
      </c>
      <c r="Q158" s="52"/>
      <c r="R158" s="44"/>
    </row>
    <row r="159" spans="1:18" s="29" customFormat="1">
      <c r="A159" s="630" t="s">
        <v>371</v>
      </c>
      <c r="B159" s="875" t="s">
        <v>379</v>
      </c>
      <c r="C159" s="876"/>
      <c r="D159" s="530" t="s">
        <v>50</v>
      </c>
      <c r="E159" s="523">
        <v>2</v>
      </c>
      <c r="F159" s="523">
        <v>2.5</v>
      </c>
      <c r="G159" s="529"/>
      <c r="H159" s="434">
        <f>IF(G159&gt;=80%,F159,IF(G159&lt;65%,0,E159))</f>
        <v>0</v>
      </c>
      <c r="Q159" s="52"/>
      <c r="R159" s="44"/>
    </row>
    <row r="160" spans="1:18" s="29" customFormat="1" ht="30">
      <c r="A160" s="871" t="s">
        <v>519</v>
      </c>
      <c r="B160" s="873" t="s">
        <v>397</v>
      </c>
      <c r="C160" s="940"/>
      <c r="D160" s="524" t="s">
        <v>402</v>
      </c>
      <c r="E160" s="964">
        <v>2.5</v>
      </c>
      <c r="F160" s="965"/>
      <c r="G160" s="933"/>
      <c r="H160" s="931">
        <f>IF(G160&gt;=35,E161,IF(G160&gt;=30,E160,0))</f>
        <v>0</v>
      </c>
      <c r="Q160" s="52"/>
      <c r="R160" s="44"/>
    </row>
    <row r="161" spans="1:18" s="29" customFormat="1" ht="30">
      <c r="A161" s="872"/>
      <c r="B161" s="941"/>
      <c r="C161" s="942"/>
      <c r="D161" s="524" t="s">
        <v>396</v>
      </c>
      <c r="E161" s="964">
        <v>3</v>
      </c>
      <c r="F161" s="965"/>
      <c r="G161" s="934"/>
      <c r="H161" s="932"/>
      <c r="Q161" s="52"/>
      <c r="R161" s="44"/>
    </row>
    <row r="162" spans="1:18" s="29" customFormat="1" ht="31.5" customHeight="1">
      <c r="A162" s="871" t="s">
        <v>520</v>
      </c>
      <c r="B162" s="873" t="s">
        <v>398</v>
      </c>
      <c r="C162" s="874"/>
      <c r="D162" s="524" t="s">
        <v>333</v>
      </c>
      <c r="E162" s="962">
        <v>4</v>
      </c>
      <c r="F162" s="963"/>
      <c r="G162" s="933"/>
      <c r="H162" s="931">
        <f>IF(G162&gt;=80,E162,IF(G162&gt;=70,E163,IF(G162&gt;=60,E164,IF(G162&gt;=50,E165,0))))</f>
        <v>0</v>
      </c>
      <c r="Q162" s="52"/>
      <c r="R162" s="44"/>
    </row>
    <row r="163" spans="1:18" s="29" customFormat="1" ht="31.5" customHeight="1">
      <c r="A163" s="975"/>
      <c r="B163" s="929"/>
      <c r="C163" s="930"/>
      <c r="D163" s="524" t="s">
        <v>334</v>
      </c>
      <c r="E163" s="962">
        <v>3</v>
      </c>
      <c r="F163" s="963"/>
      <c r="G163" s="935"/>
      <c r="H163" s="936"/>
      <c r="Q163" s="52"/>
      <c r="R163" s="44"/>
    </row>
    <row r="164" spans="1:18" s="29" customFormat="1" ht="31.5" customHeight="1">
      <c r="A164" s="975"/>
      <c r="B164" s="929"/>
      <c r="C164" s="930"/>
      <c r="D164" s="524" t="s">
        <v>368</v>
      </c>
      <c r="E164" s="962">
        <v>2</v>
      </c>
      <c r="F164" s="963"/>
      <c r="G164" s="935"/>
      <c r="H164" s="936"/>
      <c r="Q164" s="52"/>
      <c r="R164" s="44"/>
    </row>
    <row r="165" spans="1:18" s="29" customFormat="1" ht="31.5" customHeight="1">
      <c r="A165" s="872"/>
      <c r="B165" s="875"/>
      <c r="C165" s="876"/>
      <c r="D165" s="524" t="s">
        <v>369</v>
      </c>
      <c r="E165" s="962">
        <v>1</v>
      </c>
      <c r="F165" s="963"/>
      <c r="G165" s="934"/>
      <c r="H165" s="932"/>
      <c r="Q165" s="52"/>
      <c r="R165" s="44"/>
    </row>
    <row r="166" spans="1:18" s="29" customFormat="1" ht="31.5" customHeight="1">
      <c r="A166" s="871" t="s">
        <v>643</v>
      </c>
      <c r="B166" s="873" t="s">
        <v>614</v>
      </c>
      <c r="C166" s="874"/>
      <c r="D166" s="524" t="s">
        <v>66</v>
      </c>
      <c r="E166" s="525">
        <v>3.5</v>
      </c>
      <c r="F166" s="525">
        <v>4</v>
      </c>
      <c r="G166" s="27"/>
      <c r="H166" s="434">
        <f t="shared" si="3"/>
        <v>0</v>
      </c>
      <c r="Q166" s="52"/>
      <c r="R166" s="44"/>
    </row>
    <row r="167" spans="1:18" s="29" customFormat="1" ht="30">
      <c r="A167" s="872"/>
      <c r="B167" s="875"/>
      <c r="C167" s="876"/>
      <c r="D167" s="524" t="s">
        <v>67</v>
      </c>
      <c r="E167" s="525" t="s">
        <v>49</v>
      </c>
      <c r="F167" s="525">
        <v>3</v>
      </c>
      <c r="G167" s="27"/>
      <c r="H167" s="434">
        <f>IF(G167&gt;=80%,F167,0)</f>
        <v>0</v>
      </c>
      <c r="Q167" s="52"/>
      <c r="R167" s="44"/>
    </row>
    <row r="168" spans="1:18" s="29" customFormat="1" ht="15.6">
      <c r="A168" s="82">
        <v>14</v>
      </c>
      <c r="B168" s="470" t="s">
        <v>515</v>
      </c>
      <c r="C168" s="89"/>
      <c r="D168" s="151"/>
      <c r="E168" s="152"/>
      <c r="F168" s="152"/>
      <c r="G168" s="153"/>
      <c r="H168" s="629"/>
      <c r="Q168" s="52"/>
      <c r="R168" s="44"/>
    </row>
    <row r="169" spans="1:18" s="29" customFormat="1" ht="31.95" customHeight="1">
      <c r="A169" s="630" t="s">
        <v>236</v>
      </c>
      <c r="B169" s="875" t="s">
        <v>648</v>
      </c>
      <c r="C169" s="876"/>
      <c r="D169" s="527" t="s">
        <v>50</v>
      </c>
      <c r="E169" s="528">
        <v>2</v>
      </c>
      <c r="F169" s="528">
        <v>2.5</v>
      </c>
      <c r="G169" s="529"/>
      <c r="H169" s="9">
        <f>IF(G169&gt;=80%,F169,IF(G169&lt;65%,0,E169))</f>
        <v>0</v>
      </c>
      <c r="Q169" s="52"/>
      <c r="R169" s="44"/>
    </row>
    <row r="170" spans="1:18" s="29" customFormat="1">
      <c r="A170" s="630" t="s">
        <v>237</v>
      </c>
      <c r="B170" s="875" t="s">
        <v>615</v>
      </c>
      <c r="C170" s="876"/>
      <c r="D170" s="530" t="s">
        <v>50</v>
      </c>
      <c r="E170" s="523" t="s">
        <v>49</v>
      </c>
      <c r="F170" s="523">
        <v>2.5</v>
      </c>
      <c r="G170" s="526">
        <f>F23</f>
        <v>0</v>
      </c>
      <c r="H170" s="434">
        <f>IF(G170&gt;=80%,F170,0)</f>
        <v>0</v>
      </c>
      <c r="Q170" s="52"/>
      <c r="R170" s="44"/>
    </row>
    <row r="171" spans="1:18" s="29" customFormat="1" ht="32.25" customHeight="1">
      <c r="A171" s="630" t="s">
        <v>378</v>
      </c>
      <c r="B171" s="875" t="s">
        <v>617</v>
      </c>
      <c r="C171" s="876"/>
      <c r="D171" s="530" t="s">
        <v>50</v>
      </c>
      <c r="E171" s="523">
        <v>2</v>
      </c>
      <c r="F171" s="523">
        <v>3</v>
      </c>
      <c r="G171" s="529"/>
      <c r="H171" s="434">
        <f>IF(G171&gt;=80%,F171,IF(G171&lt;65%,0,E171))</f>
        <v>0</v>
      </c>
      <c r="Q171" s="52"/>
      <c r="R171" s="44"/>
    </row>
    <row r="172" spans="1:18" s="29" customFormat="1" ht="30" customHeight="1">
      <c r="A172" s="632" t="s">
        <v>521</v>
      </c>
      <c r="B172" s="825" t="s">
        <v>616</v>
      </c>
      <c r="C172" s="827"/>
      <c r="D172" s="420" t="s">
        <v>50</v>
      </c>
      <c r="E172" s="434">
        <v>2</v>
      </c>
      <c r="F172" s="434">
        <v>2.5</v>
      </c>
      <c r="G172" s="30"/>
      <c r="H172" s="434">
        <f>IF(G172&gt;=80%,F172,IF(G172&lt;65%,0,E172))</f>
        <v>0</v>
      </c>
      <c r="Q172" s="52"/>
      <c r="R172" s="44"/>
    </row>
    <row r="173" spans="1:18" s="29" customFormat="1" ht="15.6">
      <c r="A173" s="82">
        <v>15</v>
      </c>
      <c r="B173" s="82" t="s">
        <v>259</v>
      </c>
      <c r="C173" s="89"/>
      <c r="D173" s="151"/>
      <c r="E173" s="152"/>
      <c r="F173" s="152"/>
      <c r="G173" s="153"/>
      <c r="H173" s="629"/>
      <c r="Q173" s="52"/>
      <c r="R173" s="44"/>
    </row>
    <row r="174" spans="1:18" s="29" customFormat="1">
      <c r="A174" s="877" t="s">
        <v>238</v>
      </c>
      <c r="B174" s="879" t="s">
        <v>275</v>
      </c>
      <c r="C174" s="880"/>
      <c r="D174" s="943" t="s">
        <v>50</v>
      </c>
      <c r="E174" s="828">
        <v>2.5</v>
      </c>
      <c r="F174" s="828">
        <v>4</v>
      </c>
      <c r="G174" s="957"/>
      <c r="H174" s="828">
        <f>IF(G174&gt;=80%,F174,IF(G174&lt;65%,0,E174))</f>
        <v>0</v>
      </c>
      <c r="Q174" s="52"/>
      <c r="R174" s="44"/>
    </row>
    <row r="175" spans="1:18" s="29" customFormat="1" ht="15.6">
      <c r="A175" s="878"/>
      <c r="B175" s="810" t="s">
        <v>276</v>
      </c>
      <c r="C175" s="810"/>
      <c r="D175" s="944"/>
      <c r="E175" s="829"/>
      <c r="F175" s="829"/>
      <c r="G175" s="958"/>
      <c r="H175" s="829"/>
      <c r="Q175" s="52"/>
      <c r="R175" s="44"/>
    </row>
    <row r="176" spans="1:18" s="29" customFormat="1">
      <c r="A176" s="877" t="s">
        <v>239</v>
      </c>
      <c r="B176" s="858" t="s">
        <v>137</v>
      </c>
      <c r="C176" s="840"/>
      <c r="D176" s="937" t="s">
        <v>50</v>
      </c>
      <c r="E176" s="938">
        <v>2.5</v>
      </c>
      <c r="F176" s="938">
        <v>4</v>
      </c>
      <c r="G176" s="961"/>
      <c r="H176" s="811">
        <f>IF(G176&gt;=80%,F176,IF(G176&lt;65%,0,E176))</f>
        <v>0</v>
      </c>
      <c r="Q176" s="52"/>
      <c r="R176" s="44"/>
    </row>
    <row r="177" spans="1:18" s="29" customFormat="1" ht="15.6">
      <c r="A177" s="878"/>
      <c r="B177" s="810" t="s">
        <v>119</v>
      </c>
      <c r="C177" s="810"/>
      <c r="D177" s="937"/>
      <c r="E177" s="938"/>
      <c r="F177" s="938"/>
      <c r="G177" s="961"/>
      <c r="H177" s="811"/>
      <c r="Q177" s="52"/>
      <c r="R177" s="44"/>
    </row>
    <row r="178" spans="1:18" s="29" customFormat="1" ht="15.6">
      <c r="A178" s="102">
        <v>16</v>
      </c>
      <c r="B178" s="102" t="s">
        <v>202</v>
      </c>
      <c r="C178" s="89"/>
      <c r="D178" s="89"/>
      <c r="E178" s="91"/>
      <c r="F178" s="91"/>
      <c r="G178" s="92"/>
      <c r="H178" s="614"/>
      <c r="Q178" s="59"/>
      <c r="R178" s="44"/>
    </row>
    <row r="179" spans="1:18" s="29" customFormat="1">
      <c r="A179" s="598" t="s">
        <v>241</v>
      </c>
      <c r="B179" s="765"/>
      <c r="C179" s="766"/>
      <c r="D179" s="107"/>
      <c r="E179" s="538"/>
      <c r="F179" s="538"/>
      <c r="G179" s="65"/>
      <c r="H179" s="633">
        <f>IF(G179&gt;=80%,F179,IF(G179&lt;65%,0,E179))</f>
        <v>0</v>
      </c>
      <c r="Q179" s="52"/>
      <c r="R179" s="44"/>
    </row>
    <row r="180" spans="1:18" s="29" customFormat="1">
      <c r="A180" s="598" t="s">
        <v>242</v>
      </c>
      <c r="B180" s="765"/>
      <c r="C180" s="766"/>
      <c r="D180" s="107"/>
      <c r="E180" s="538"/>
      <c r="F180" s="538"/>
      <c r="G180" s="65"/>
      <c r="H180" s="633">
        <f>IF(G180&gt;=80%,F180,IF(G180&lt;65%,0,E180))</f>
        <v>0</v>
      </c>
      <c r="Q180" s="52"/>
      <c r="R180" s="44"/>
    </row>
    <row r="181" spans="1:18" s="29" customFormat="1">
      <c r="A181" s="598" t="s">
        <v>243</v>
      </c>
      <c r="B181" s="765"/>
      <c r="C181" s="766"/>
      <c r="D181" s="107"/>
      <c r="E181" s="538"/>
      <c r="F181" s="538"/>
      <c r="G181" s="65"/>
      <c r="H181" s="633">
        <f>IF(G181&gt;=80%,F181,IF(G181&lt;65%,0,E181))</f>
        <v>0</v>
      </c>
      <c r="Q181" s="52"/>
      <c r="R181" s="44"/>
    </row>
    <row r="182" spans="1:18" s="29" customFormat="1" ht="15.6">
      <c r="A182" s="604"/>
      <c r="B182" s="307"/>
      <c r="C182" s="305"/>
      <c r="D182" s="305"/>
      <c r="E182" s="305"/>
      <c r="F182" s="309"/>
      <c r="G182" s="310" t="s">
        <v>376</v>
      </c>
      <c r="H182" s="634">
        <f>IFERROR((SUM(H147:H181)),0)</f>
        <v>0</v>
      </c>
      <c r="Q182" s="52"/>
      <c r="R182" s="44"/>
    </row>
    <row r="183" spans="1:18" s="29" customFormat="1" ht="15.6" thickBot="1">
      <c r="A183" s="594"/>
      <c r="B183" s="361"/>
      <c r="C183" s="362"/>
      <c r="D183" s="362"/>
      <c r="E183" s="362"/>
      <c r="F183" s="362"/>
      <c r="G183" s="354"/>
      <c r="H183" s="595"/>
      <c r="Q183" s="52"/>
      <c r="R183" s="44"/>
    </row>
    <row r="184" spans="1:18" s="29" customFormat="1" ht="30.75" customHeight="1">
      <c r="A184" s="865" t="s">
        <v>0</v>
      </c>
      <c r="B184" s="866"/>
      <c r="C184" s="869"/>
      <c r="D184" s="856" t="s">
        <v>4</v>
      </c>
      <c r="E184" s="959" t="s">
        <v>1</v>
      </c>
      <c r="F184" s="960"/>
      <c r="G184" s="955" t="s">
        <v>21</v>
      </c>
      <c r="H184" s="856" t="s">
        <v>62</v>
      </c>
      <c r="Q184" s="52"/>
      <c r="R184" s="44"/>
    </row>
    <row r="185" spans="1:18" s="29" customFormat="1" ht="15.6">
      <c r="A185" s="867"/>
      <c r="B185" s="868"/>
      <c r="C185" s="870"/>
      <c r="D185" s="857"/>
      <c r="E185" s="550" t="s">
        <v>120</v>
      </c>
      <c r="F185" s="550" t="s">
        <v>121</v>
      </c>
      <c r="G185" s="956"/>
      <c r="H185" s="857"/>
      <c r="Q185" s="52"/>
      <c r="R185" s="44"/>
    </row>
    <row r="186" spans="1:18" s="29" customFormat="1" ht="15.6">
      <c r="A186" s="126" t="s">
        <v>240</v>
      </c>
      <c r="B186" s="105" t="s">
        <v>244</v>
      </c>
      <c r="C186" s="106"/>
      <c r="D186" s="106"/>
      <c r="E186" s="106"/>
      <c r="F186" s="110"/>
      <c r="G186" s="111"/>
      <c r="H186" s="628"/>
      <c r="Q186" s="52"/>
      <c r="R186" s="44"/>
    </row>
    <row r="187" spans="1:18" s="29" customFormat="1">
      <c r="A187" s="625" t="s">
        <v>277</v>
      </c>
      <c r="B187" s="858" t="s">
        <v>245</v>
      </c>
      <c r="C187" s="859"/>
      <c r="D187" s="5" t="s">
        <v>50</v>
      </c>
      <c r="E187" s="20">
        <v>-1</v>
      </c>
      <c r="F187" s="20">
        <v>-2</v>
      </c>
      <c r="G187" s="28"/>
      <c r="H187" s="20">
        <f>IF(G187&gt;=30%,F187,IF(G187=0%,0,E187))</f>
        <v>0</v>
      </c>
      <c r="Q187" s="52"/>
      <c r="R187" s="44"/>
    </row>
    <row r="188" spans="1:18" s="29" customFormat="1">
      <c r="A188" s="625" t="s">
        <v>278</v>
      </c>
      <c r="B188" s="858" t="s">
        <v>246</v>
      </c>
      <c r="C188" s="859"/>
      <c r="D188" s="5" t="s">
        <v>50</v>
      </c>
      <c r="E188" s="20">
        <v>-1</v>
      </c>
      <c r="F188" s="20">
        <v>-1.5</v>
      </c>
      <c r="G188" s="28"/>
      <c r="H188" s="20">
        <f>IF(G188&gt;=30%,F188,IF(G188=0%,0,E188))</f>
        <v>0</v>
      </c>
      <c r="Q188" s="52"/>
      <c r="R188" s="44"/>
    </row>
    <row r="189" spans="1:18" s="29" customFormat="1">
      <c r="A189" s="625" t="s">
        <v>279</v>
      </c>
      <c r="B189" s="858" t="s">
        <v>247</v>
      </c>
      <c r="C189" s="859"/>
      <c r="D189" s="5" t="s">
        <v>50</v>
      </c>
      <c r="E189" s="811">
        <v>-1</v>
      </c>
      <c r="F189" s="811"/>
      <c r="G189" s="553"/>
      <c r="H189" s="20">
        <f>IF(G189&gt;0%,E189,0)</f>
        <v>0</v>
      </c>
      <c r="Q189" s="52"/>
      <c r="R189" s="44"/>
    </row>
    <row r="190" spans="1:18" s="29" customFormat="1" ht="15.6">
      <c r="A190" s="604"/>
      <c r="B190" s="307"/>
      <c r="C190" s="305"/>
      <c r="D190" s="305"/>
      <c r="E190" s="305"/>
      <c r="F190" s="309"/>
      <c r="G190" s="310" t="s">
        <v>133</v>
      </c>
      <c r="H190" s="634">
        <f>IFERROR(MAX(SUM(H187:H189),-4),0)</f>
        <v>0</v>
      </c>
      <c r="Q190" s="44"/>
      <c r="R190" s="44"/>
    </row>
    <row r="191" spans="1:18" s="29" customFormat="1">
      <c r="A191" s="592"/>
      <c r="B191" s="307"/>
      <c r="C191" s="305"/>
      <c r="D191" s="305"/>
      <c r="E191" s="305"/>
      <c r="F191" s="305"/>
      <c r="G191" s="314"/>
      <c r="H191" s="571"/>
      <c r="Q191" s="52"/>
      <c r="R191" s="44"/>
    </row>
    <row r="192" spans="1:18" s="29" customFormat="1" ht="15.6">
      <c r="A192" s="592"/>
      <c r="B192" s="307"/>
      <c r="C192" s="305"/>
      <c r="D192" s="305"/>
      <c r="E192" s="305"/>
      <c r="F192" s="305"/>
      <c r="G192" s="312" t="s">
        <v>132</v>
      </c>
      <c r="H192" s="154">
        <f>IFERROR(MIN(SUM(H120+H143+H182+H190),G91),0)</f>
        <v>0</v>
      </c>
      <c r="Q192" s="52"/>
      <c r="R192" s="44"/>
    </row>
    <row r="193" spans="1:18" s="29" customFormat="1" ht="16.2" thickBot="1">
      <c r="A193" s="594"/>
      <c r="B193" s="361"/>
      <c r="C193" s="362"/>
      <c r="D193" s="362"/>
      <c r="E193" s="362"/>
      <c r="F193" s="362"/>
      <c r="G193" s="363"/>
      <c r="H193" s="606"/>
      <c r="Q193" s="52"/>
      <c r="R193" s="44"/>
    </row>
    <row r="194" spans="1:18" s="29" customFormat="1" ht="15.6">
      <c r="A194" s="635" t="s">
        <v>63</v>
      </c>
      <c r="B194" s="355"/>
      <c r="C194" s="355"/>
      <c r="D194" s="355"/>
      <c r="E194" s="355"/>
      <c r="F194" s="356" t="s">
        <v>42</v>
      </c>
      <c r="G194" s="357">
        <f>VLOOKUP($A$7,'Manpower allocation'!A4:D11,4,FALSE)*100</f>
        <v>15</v>
      </c>
      <c r="H194" s="636" t="s">
        <v>41</v>
      </c>
      <c r="I194" s="108">
        <f>VLOOKUP($A$7,'Manpower allocation'!A4:D11,4,FALSE)*100</f>
        <v>15</v>
      </c>
      <c r="Q194" s="52"/>
      <c r="R194" s="44"/>
    </row>
    <row r="195" spans="1:18" s="29" customFormat="1" ht="15.6">
      <c r="A195" s="592"/>
      <c r="B195" s="313"/>
      <c r="C195" s="305"/>
      <c r="D195" s="305"/>
      <c r="E195" s="305"/>
      <c r="F195" s="305"/>
      <c r="G195" s="314"/>
      <c r="H195" s="571"/>
      <c r="Q195" s="52"/>
      <c r="R195" s="44"/>
    </row>
    <row r="196" spans="1:18" s="29" customFormat="1" ht="46.8">
      <c r="A196" s="850" t="s">
        <v>0</v>
      </c>
      <c r="B196" s="851"/>
      <c r="C196" s="109"/>
      <c r="D196" s="545" t="s">
        <v>17</v>
      </c>
      <c r="E196" s="545" t="s">
        <v>124</v>
      </c>
      <c r="F196" s="545" t="s">
        <v>108</v>
      </c>
      <c r="G196" s="545" t="s">
        <v>18</v>
      </c>
      <c r="H196" s="545" t="s">
        <v>62</v>
      </c>
      <c r="Q196" s="52"/>
      <c r="R196" s="44"/>
    </row>
    <row r="197" spans="1:18" s="29" customFormat="1" ht="15.6">
      <c r="A197" s="105" t="s">
        <v>250</v>
      </c>
      <c r="B197" s="531" t="s">
        <v>618</v>
      </c>
      <c r="C197" s="106"/>
      <c r="D197" s="106"/>
      <c r="E197" s="106"/>
      <c r="F197" s="110"/>
      <c r="G197" s="111"/>
      <c r="H197" s="628"/>
      <c r="Q197" s="52"/>
      <c r="R197" s="44"/>
    </row>
    <row r="198" spans="1:18" s="29" customFormat="1" ht="15.6">
      <c r="A198" s="112">
        <v>1</v>
      </c>
      <c r="B198" s="112" t="s">
        <v>304</v>
      </c>
      <c r="C198" s="113"/>
      <c r="D198" s="114"/>
      <c r="E198" s="114"/>
      <c r="F198" s="114"/>
      <c r="G198" s="114"/>
      <c r="H198" s="637"/>
      <c r="Q198" s="52"/>
      <c r="R198" s="44"/>
    </row>
    <row r="199" spans="1:18" s="29" customFormat="1">
      <c r="A199" s="541">
        <v>1.1000000000000001</v>
      </c>
      <c r="B199" s="822" t="s">
        <v>271</v>
      </c>
      <c r="C199" s="824"/>
      <c r="D199" s="20">
        <f>VLOOKUP(A199,'Point Allocation'!$A$46:$J$55,MATCH(A7,'Point Allocation'!$A$46:$J$46,0),0)</f>
        <v>15</v>
      </c>
      <c r="E199" s="38"/>
      <c r="F199" s="38"/>
      <c r="G199" s="31">
        <f>MIN(IFERROR(F199/E199,0),100%)</f>
        <v>0</v>
      </c>
      <c r="H199" s="20">
        <f>D199*G199</f>
        <v>0</v>
      </c>
      <c r="Q199" s="52"/>
      <c r="R199" s="44"/>
    </row>
    <row r="200" spans="1:18" s="29" customFormat="1" ht="15.6">
      <c r="A200" s="115">
        <v>2</v>
      </c>
      <c r="B200" s="115" t="s">
        <v>305</v>
      </c>
      <c r="C200" s="116"/>
      <c r="D200" s="32"/>
      <c r="E200" s="33"/>
      <c r="F200" s="33"/>
      <c r="G200" s="34"/>
      <c r="H200" s="638"/>
      <c r="Q200" s="52"/>
      <c r="R200" s="44"/>
    </row>
    <row r="201" spans="1:18" s="29" customFormat="1" ht="33" customHeight="1">
      <c r="A201" s="544">
        <v>2.1</v>
      </c>
      <c r="B201" s="863" t="s">
        <v>251</v>
      </c>
      <c r="C201" s="864"/>
      <c r="D201" s="20">
        <f>VLOOKUP(A201,'Point Allocation'!$A$46:$J$55,MATCH(A7,'Point Allocation'!$A$46:$J$46,0),0)</f>
        <v>12</v>
      </c>
      <c r="E201" s="38"/>
      <c r="F201" s="38"/>
      <c r="G201" s="31">
        <f>MIN(IFERROR(F201/E201,0),100%)</f>
        <v>0</v>
      </c>
      <c r="H201" s="20">
        <f>D201*G201</f>
        <v>0</v>
      </c>
      <c r="Q201" s="52"/>
      <c r="R201" s="44"/>
    </row>
    <row r="202" spans="1:18" s="29" customFormat="1" ht="15.6">
      <c r="A202" s="112">
        <v>3</v>
      </c>
      <c r="B202" s="112" t="s">
        <v>309</v>
      </c>
      <c r="C202" s="117"/>
      <c r="D202" s="35"/>
      <c r="E202" s="35"/>
      <c r="F202" s="35"/>
      <c r="G202" s="34"/>
      <c r="H202" s="639"/>
      <c r="Q202" s="52"/>
      <c r="R202" s="44"/>
    </row>
    <row r="203" spans="1:18" s="29" customFormat="1">
      <c r="A203" s="540">
        <v>3.1</v>
      </c>
      <c r="B203" s="837" t="s">
        <v>400</v>
      </c>
      <c r="C203" s="838"/>
      <c r="D203" s="20">
        <f>VLOOKUP(A203,'Point Allocation'!$A$46:$J$55,MATCH(A7,'Point Allocation'!$A$46:$J$46,0),0)</f>
        <v>4</v>
      </c>
      <c r="E203" s="38"/>
      <c r="F203" s="38"/>
      <c r="G203" s="31">
        <f>MIN(IFERROR(F203/E203,0),100%)</f>
        <v>0</v>
      </c>
      <c r="H203" s="20">
        <f>D203*G203</f>
        <v>0</v>
      </c>
      <c r="Q203" s="52"/>
      <c r="R203" s="44"/>
    </row>
    <row r="204" spans="1:18" s="29" customFormat="1">
      <c r="A204" s="540">
        <v>3.2</v>
      </c>
      <c r="B204" s="837" t="s">
        <v>401</v>
      </c>
      <c r="C204" s="838"/>
      <c r="D204" s="20">
        <f>VLOOKUP(A204,'Point Allocation'!$A$46:$J$55,MATCH(A7,'Point Allocation'!$A$46:$J$46,0),0)</f>
        <v>4</v>
      </c>
      <c r="E204" s="165"/>
      <c r="F204" s="38"/>
      <c r="G204" s="31">
        <f>MIN(IFERROR(F204/E204,0),100%)</f>
        <v>0</v>
      </c>
      <c r="H204" s="20">
        <f>D204*G204</f>
        <v>0</v>
      </c>
      <c r="Q204" s="52"/>
      <c r="R204" s="44"/>
    </row>
    <row r="205" spans="1:18" s="29" customFormat="1">
      <c r="A205" s="543">
        <v>3.3</v>
      </c>
      <c r="B205" s="858" t="s">
        <v>161</v>
      </c>
      <c r="C205" s="859"/>
      <c r="D205" s="20">
        <f>VLOOKUP(A205,'Point Allocation'!$A$46:$J$55,MATCH(A7,'Point Allocation'!$A$46:$J$46,0),0)</f>
        <v>4</v>
      </c>
      <c r="E205" s="166"/>
      <c r="F205" s="537"/>
      <c r="G205" s="31">
        <f>MIN(IFERROR(F205/E205,0),100%)</f>
        <v>0</v>
      </c>
      <c r="H205" s="20">
        <f>D205*G205</f>
        <v>0</v>
      </c>
      <c r="Q205" s="52"/>
      <c r="R205" s="44"/>
    </row>
    <row r="206" spans="1:18" s="29" customFormat="1" ht="15.6">
      <c r="A206" s="592"/>
      <c r="B206" s="307"/>
      <c r="C206" s="305"/>
      <c r="D206" s="306" t="s">
        <v>6</v>
      </c>
      <c r="E206" s="283">
        <f>MAX(SUM(E199:E205),F206)</f>
        <v>0</v>
      </c>
      <c r="F206" s="283">
        <f>SUM(F199:F205)</f>
        <v>0</v>
      </c>
      <c r="G206" s="322">
        <f>IFERROR(MIN(F206/E206,100%),0)</f>
        <v>0</v>
      </c>
      <c r="H206" s="593">
        <f>IFERROR(SUM(H199:H205),0)</f>
        <v>0</v>
      </c>
      <c r="Q206" s="52"/>
      <c r="R206" s="44"/>
    </row>
    <row r="207" spans="1:18" s="29" customFormat="1" ht="15.6">
      <c r="A207" s="592"/>
      <c r="B207" s="320"/>
      <c r="C207" s="323"/>
      <c r="D207" s="324"/>
      <c r="E207" s="323"/>
      <c r="F207" s="323"/>
      <c r="G207" s="325"/>
      <c r="H207" s="317"/>
      <c r="Q207" s="52"/>
      <c r="R207" s="44"/>
    </row>
    <row r="208" spans="1:18" s="29" customFormat="1" ht="15.6">
      <c r="A208" s="850" t="s">
        <v>0</v>
      </c>
      <c r="B208" s="851"/>
      <c r="C208" s="860"/>
      <c r="D208" s="862" t="s">
        <v>4</v>
      </c>
      <c r="E208" s="862" t="s">
        <v>1</v>
      </c>
      <c r="F208" s="862"/>
      <c r="G208" s="881" t="s">
        <v>21</v>
      </c>
      <c r="H208" s="881" t="s">
        <v>62</v>
      </c>
      <c r="Q208" s="52"/>
      <c r="R208" s="44"/>
    </row>
    <row r="209" spans="1:18" s="29" customFormat="1" ht="30.75" customHeight="1">
      <c r="A209" s="852"/>
      <c r="B209" s="853"/>
      <c r="C209" s="861"/>
      <c r="D209" s="862"/>
      <c r="E209" s="545" t="s">
        <v>64</v>
      </c>
      <c r="F209" s="545" t="s">
        <v>65</v>
      </c>
      <c r="G209" s="881"/>
      <c r="H209" s="881"/>
      <c r="Q209" s="52"/>
      <c r="R209" s="44"/>
    </row>
    <row r="210" spans="1:18" s="29" customFormat="1" ht="15.6">
      <c r="A210" s="45" t="s">
        <v>253</v>
      </c>
      <c r="B210" s="45" t="s">
        <v>254</v>
      </c>
      <c r="C210" s="56"/>
      <c r="D210" s="56"/>
      <c r="E210" s="56"/>
      <c r="F210" s="57"/>
      <c r="G210" s="104"/>
      <c r="H210" s="624"/>
      <c r="Q210" s="52"/>
      <c r="R210" s="44"/>
    </row>
    <row r="211" spans="1:18" s="29" customFormat="1" ht="15.6">
      <c r="A211" s="118">
        <v>4</v>
      </c>
      <c r="B211" s="118" t="s">
        <v>307</v>
      </c>
      <c r="C211" s="116"/>
      <c r="D211" s="119"/>
      <c r="E211" s="120"/>
      <c r="F211" s="120"/>
      <c r="G211" s="121"/>
      <c r="H211" s="640"/>
      <c r="Q211" s="52"/>
      <c r="R211" s="44"/>
    </row>
    <row r="212" spans="1:18" s="29" customFormat="1">
      <c r="A212" s="541">
        <v>4.0999999999999996</v>
      </c>
      <c r="B212" s="822" t="s">
        <v>155</v>
      </c>
      <c r="C212" s="824"/>
      <c r="D212" s="5" t="s">
        <v>50</v>
      </c>
      <c r="E212" s="20" t="s">
        <v>49</v>
      </c>
      <c r="F212" s="20">
        <f>VLOOKUP(A212,'Point Allocation'!$A$46:$J$55,MATCH(A7,'Point Allocation'!$A$46:$J$46,0),0)</f>
        <v>1.5</v>
      </c>
      <c r="G212" s="553"/>
      <c r="H212" s="20">
        <f>IF(G212&gt;=80%,F212,0)</f>
        <v>0</v>
      </c>
      <c r="Q212" s="52"/>
      <c r="R212" s="44"/>
    </row>
    <row r="213" spans="1:18" s="29" customFormat="1">
      <c r="A213" s="541">
        <v>4.2</v>
      </c>
      <c r="B213" s="822" t="s">
        <v>152</v>
      </c>
      <c r="C213" s="824"/>
      <c r="D213" s="5" t="s">
        <v>50</v>
      </c>
      <c r="E213" s="20" t="s">
        <v>49</v>
      </c>
      <c r="F213" s="20">
        <f>VLOOKUP(A213,'Point Allocation'!$A$46:$J$55,MATCH(A7,'Point Allocation'!$A$46:$J$46,0),0)</f>
        <v>1.5</v>
      </c>
      <c r="G213" s="553"/>
      <c r="H213" s="20">
        <f>IF(G213&gt;=80%,F213,0)</f>
        <v>0</v>
      </c>
      <c r="Q213" s="52"/>
      <c r="R213" s="44"/>
    </row>
    <row r="214" spans="1:18" s="29" customFormat="1">
      <c r="A214" s="541">
        <v>4.3</v>
      </c>
      <c r="B214" s="822" t="s">
        <v>146</v>
      </c>
      <c r="C214" s="824"/>
      <c r="D214" s="5" t="s">
        <v>3</v>
      </c>
      <c r="E214" s="20" t="s">
        <v>49</v>
      </c>
      <c r="F214" s="20">
        <f>VLOOKUP(A214,'Point Allocation'!$A$46:$J$55,MATCH(A7,'Point Allocation'!$A$46:$J$46,0),0)</f>
        <v>1.5</v>
      </c>
      <c r="G214" s="553"/>
      <c r="H214" s="20">
        <f>IF(G214&gt;=80%,F214,0)</f>
        <v>0</v>
      </c>
      <c r="Q214" s="52"/>
      <c r="R214" s="44"/>
    </row>
    <row r="215" spans="1:18" s="29" customFormat="1">
      <c r="A215" s="542">
        <v>4.4000000000000004</v>
      </c>
      <c r="B215" s="848" t="s">
        <v>252</v>
      </c>
      <c r="C215" s="849"/>
      <c r="D215" s="5" t="s">
        <v>3</v>
      </c>
      <c r="E215" s="20" t="s">
        <v>49</v>
      </c>
      <c r="F215" s="20">
        <f>VLOOKUP(A215,'Point Allocation'!$A$46:$J$55,MATCH(A7,'Point Allocation'!$A$46:$J$46,0),0)</f>
        <v>1.5</v>
      </c>
      <c r="G215" s="553"/>
      <c r="H215" s="20">
        <f>IF(G215&gt;=80%,F215,0)</f>
        <v>0</v>
      </c>
      <c r="Q215" s="52"/>
      <c r="R215" s="44"/>
    </row>
    <row r="216" spans="1:18" s="29" customFormat="1" ht="15.6">
      <c r="A216" s="118">
        <v>5</v>
      </c>
      <c r="B216" s="118" t="s">
        <v>202</v>
      </c>
      <c r="C216" s="116"/>
      <c r="D216" s="122"/>
      <c r="E216" s="123"/>
      <c r="F216" s="123"/>
      <c r="G216" s="124"/>
      <c r="H216" s="641"/>
      <c r="Q216" s="52"/>
      <c r="R216" s="44"/>
    </row>
    <row r="217" spans="1:18" s="29" customFormat="1">
      <c r="A217" s="591">
        <v>5.0999999999999996</v>
      </c>
      <c r="B217" s="765"/>
      <c r="C217" s="847"/>
      <c r="D217" s="391"/>
      <c r="E217" s="537"/>
      <c r="F217" s="537"/>
      <c r="G217" s="553"/>
      <c r="H217" s="633">
        <f>IF(G217&gt;=80%,F217,IF(G217&lt;65%,0,E217))</f>
        <v>0</v>
      </c>
      <c r="Q217" s="52"/>
      <c r="R217" s="44"/>
    </row>
    <row r="218" spans="1:18" s="29" customFormat="1">
      <c r="A218" s="591">
        <v>5.2</v>
      </c>
      <c r="B218" s="765"/>
      <c r="C218" s="847"/>
      <c r="D218" s="391"/>
      <c r="E218" s="537"/>
      <c r="F218" s="537"/>
      <c r="G218" s="553"/>
      <c r="H218" s="633">
        <f>IF(G218&gt;=80%,F218,IF(G218&lt;65%,0,E218))</f>
        <v>0</v>
      </c>
      <c r="Q218" s="52"/>
      <c r="R218" s="44"/>
    </row>
    <row r="219" spans="1:18" s="29" customFormat="1">
      <c r="A219" s="591">
        <v>5.3</v>
      </c>
      <c r="B219" s="765"/>
      <c r="C219" s="847"/>
      <c r="D219" s="391"/>
      <c r="E219" s="537"/>
      <c r="F219" s="537"/>
      <c r="G219" s="553"/>
      <c r="H219" s="633">
        <f>IF(G219&gt;=80%,F219,IF(G219&lt;65%,0,E219))</f>
        <v>0</v>
      </c>
      <c r="Q219" s="52"/>
      <c r="R219" s="44"/>
    </row>
    <row r="220" spans="1:18" s="29" customFormat="1" ht="15.6">
      <c r="A220" s="592"/>
      <c r="B220" s="326"/>
      <c r="C220" s="326"/>
      <c r="D220" s="314"/>
      <c r="E220" s="314"/>
      <c r="F220" s="314"/>
      <c r="G220" s="312" t="s">
        <v>7</v>
      </c>
      <c r="H220" s="617">
        <f>IFERROR(SUM(H212:H215,H217:H219),0)</f>
        <v>0</v>
      </c>
      <c r="Q220" s="52"/>
      <c r="R220" s="44"/>
    </row>
    <row r="221" spans="1:18" s="29" customFormat="1">
      <c r="A221" s="592"/>
      <c r="B221" s="307"/>
      <c r="C221" s="305"/>
      <c r="D221" s="305"/>
      <c r="E221" s="305"/>
      <c r="F221" s="305"/>
      <c r="G221" s="314"/>
      <c r="H221" s="571"/>
      <c r="Q221" s="52"/>
      <c r="R221" s="44"/>
    </row>
    <row r="222" spans="1:18" s="29" customFormat="1" ht="15.6">
      <c r="A222" s="850" t="s">
        <v>0</v>
      </c>
      <c r="B222" s="851"/>
      <c r="C222" s="860"/>
      <c r="D222" s="881" t="s">
        <v>4</v>
      </c>
      <c r="E222" s="862" t="s">
        <v>1</v>
      </c>
      <c r="F222" s="862"/>
      <c r="G222" s="881" t="s">
        <v>21</v>
      </c>
      <c r="H222" s="881" t="s">
        <v>62</v>
      </c>
      <c r="Q222" s="52"/>
      <c r="R222" s="44"/>
    </row>
    <row r="223" spans="1:18" s="29" customFormat="1" ht="31.2">
      <c r="A223" s="852"/>
      <c r="B223" s="853"/>
      <c r="C223" s="861"/>
      <c r="D223" s="862"/>
      <c r="E223" s="545" t="s">
        <v>64</v>
      </c>
      <c r="F223" s="545" t="s">
        <v>65</v>
      </c>
      <c r="G223" s="881"/>
      <c r="H223" s="881"/>
      <c r="Q223" s="52"/>
      <c r="R223" s="44"/>
    </row>
    <row r="224" spans="1:18" s="29" customFormat="1" ht="15.6">
      <c r="A224" s="105" t="s">
        <v>255</v>
      </c>
      <c r="B224" s="105" t="s">
        <v>518</v>
      </c>
      <c r="C224" s="125"/>
      <c r="D224" s="126"/>
      <c r="E224" s="126"/>
      <c r="F224" s="127"/>
      <c r="G224" s="128"/>
      <c r="H224" s="127"/>
      <c r="Q224" s="52"/>
      <c r="R224" s="44"/>
    </row>
    <row r="225" spans="1:18" s="29" customFormat="1" ht="15.6">
      <c r="A225" s="625" t="s">
        <v>188</v>
      </c>
      <c r="B225" s="822" t="s">
        <v>256</v>
      </c>
      <c r="C225" s="824"/>
      <c r="D225" s="94" t="s">
        <v>2</v>
      </c>
      <c r="E225" s="94">
        <v>1</v>
      </c>
      <c r="F225" s="94">
        <v>2</v>
      </c>
      <c r="G225" s="65"/>
      <c r="H225" s="94">
        <f>IF(G225&gt;=80%,F225,IF(G225&lt;65%,0,E225))</f>
        <v>0</v>
      </c>
      <c r="J225" s="131"/>
      <c r="Q225" s="52"/>
      <c r="R225" s="44"/>
    </row>
    <row r="226" spans="1:18" s="29" customFormat="1">
      <c r="A226" s="575" t="s">
        <v>189</v>
      </c>
      <c r="B226" s="825" t="s">
        <v>619</v>
      </c>
      <c r="C226" s="827"/>
      <c r="D226" s="94" t="s">
        <v>50</v>
      </c>
      <c r="E226" s="94">
        <v>0.5</v>
      </c>
      <c r="F226" s="94">
        <v>1</v>
      </c>
      <c r="G226" s="65"/>
      <c r="H226" s="94">
        <f>IF(G226&gt;=80%,F226,IF(G226&lt;65%,0,E226))</f>
        <v>0</v>
      </c>
      <c r="Q226" s="52"/>
      <c r="R226" s="44"/>
    </row>
    <row r="227" spans="1:18" s="29" customFormat="1" ht="15.6">
      <c r="A227" s="592"/>
      <c r="B227" s="307"/>
      <c r="C227" s="305"/>
      <c r="D227" s="305"/>
      <c r="E227" s="305"/>
      <c r="F227" s="308"/>
      <c r="G227" s="312" t="s">
        <v>109</v>
      </c>
      <c r="H227" s="129">
        <f>IFERROR(SUM(H225:H226),0)</f>
        <v>0</v>
      </c>
      <c r="Q227" s="52"/>
      <c r="R227" s="44"/>
    </row>
    <row r="228" spans="1:18" s="29" customFormat="1">
      <c r="A228" s="592"/>
      <c r="B228" s="307"/>
      <c r="C228" s="305"/>
      <c r="D228" s="305"/>
      <c r="E228" s="305"/>
      <c r="F228" s="305"/>
      <c r="G228" s="314"/>
      <c r="H228" s="571"/>
      <c r="Q228" s="52"/>
      <c r="R228" s="44"/>
    </row>
    <row r="229" spans="1:18" s="29" customFormat="1" ht="15.6">
      <c r="A229" s="592"/>
      <c r="B229" s="307"/>
      <c r="C229" s="305"/>
      <c r="D229" s="305"/>
      <c r="E229" s="305"/>
      <c r="F229" s="305"/>
      <c r="G229" s="312" t="s">
        <v>110</v>
      </c>
      <c r="H229" s="129">
        <f>IFERROR(MIN(SUM(H206+H220+H227),G194),0)</f>
        <v>0</v>
      </c>
      <c r="Q229" s="52"/>
      <c r="R229" s="44"/>
    </row>
    <row r="230" spans="1:18" s="29" customFormat="1" ht="16.2" thickBot="1">
      <c r="A230" s="594"/>
      <c r="B230" s="361"/>
      <c r="C230" s="362"/>
      <c r="D230" s="362"/>
      <c r="E230" s="362"/>
      <c r="F230" s="362"/>
      <c r="G230" s="364"/>
      <c r="H230" s="606"/>
      <c r="Q230" s="52"/>
      <c r="R230" s="44"/>
    </row>
    <row r="231" spans="1:18" s="29" customFormat="1" ht="15.6">
      <c r="A231" s="642" t="s">
        <v>129</v>
      </c>
      <c r="B231" s="455"/>
      <c r="C231" s="455"/>
      <c r="D231" s="455"/>
      <c r="E231" s="455"/>
      <c r="F231" s="456" t="s">
        <v>42</v>
      </c>
      <c r="G231" s="457">
        <v>20</v>
      </c>
      <c r="H231" s="643" t="s">
        <v>41</v>
      </c>
      <c r="Q231" s="52"/>
      <c r="R231" s="44"/>
    </row>
    <row r="232" spans="1:18" s="29" customFormat="1" ht="15.6">
      <c r="A232" s="592"/>
      <c r="B232" s="329"/>
      <c r="C232" s="305"/>
      <c r="D232" s="305"/>
      <c r="E232" s="305"/>
      <c r="F232" s="305"/>
      <c r="G232" s="314"/>
      <c r="H232" s="571"/>
      <c r="Q232" s="52"/>
      <c r="R232" s="44"/>
    </row>
    <row r="233" spans="1:18" s="29" customFormat="1" ht="33" customHeight="1">
      <c r="A233" s="854" t="s">
        <v>0</v>
      </c>
      <c r="B233" s="855"/>
      <c r="C233" s="132"/>
      <c r="D233" s="132"/>
      <c r="E233" s="133" t="s">
        <v>4</v>
      </c>
      <c r="F233" s="133" t="s">
        <v>69</v>
      </c>
      <c r="G233" s="134" t="s">
        <v>21</v>
      </c>
      <c r="H233" s="644" t="s">
        <v>62</v>
      </c>
      <c r="Q233" s="52"/>
      <c r="R233" s="44"/>
    </row>
    <row r="234" spans="1:18" s="29" customFormat="1" ht="15.6">
      <c r="A234" s="105" t="s">
        <v>257</v>
      </c>
      <c r="B234" s="105" t="s">
        <v>258</v>
      </c>
      <c r="C234" s="106"/>
      <c r="D234" s="106"/>
      <c r="E234" s="106"/>
      <c r="F234" s="57"/>
      <c r="G234" s="135"/>
      <c r="H234" s="645"/>
      <c r="I234" s="130"/>
      <c r="Q234" s="52"/>
      <c r="R234" s="44"/>
    </row>
    <row r="235" spans="1:18" s="29" customFormat="1" ht="15.6">
      <c r="A235" s="591">
        <v>1.1000000000000001</v>
      </c>
      <c r="B235" s="816" t="s">
        <v>122</v>
      </c>
      <c r="C235" s="817"/>
      <c r="D235" s="818"/>
      <c r="E235" s="155"/>
      <c r="F235" s="136"/>
      <c r="G235" s="137"/>
      <c r="H235" s="547">
        <f t="shared" ref="H235:H240" si="5">F235*G235</f>
        <v>0</v>
      </c>
      <c r="Q235" s="52"/>
      <c r="R235" s="44"/>
    </row>
    <row r="236" spans="1:18" s="29" customFormat="1" ht="15.6">
      <c r="A236" s="589">
        <v>1.2</v>
      </c>
      <c r="B236" s="844" t="s">
        <v>123</v>
      </c>
      <c r="C236" s="845"/>
      <c r="D236" s="846"/>
      <c r="E236" s="155"/>
      <c r="F236" s="136"/>
      <c r="G236" s="137"/>
      <c r="H236" s="547">
        <f t="shared" si="5"/>
        <v>0</v>
      </c>
      <c r="Q236" s="52"/>
      <c r="R236" s="44"/>
    </row>
    <row r="237" spans="1:18" s="29" customFormat="1" ht="15.6">
      <c r="A237" s="591">
        <v>1.3</v>
      </c>
      <c r="B237" s="816" t="s">
        <v>114</v>
      </c>
      <c r="C237" s="817"/>
      <c r="D237" s="818"/>
      <c r="E237" s="155"/>
      <c r="F237" s="136"/>
      <c r="G237" s="137"/>
      <c r="H237" s="547">
        <f t="shared" si="5"/>
        <v>0</v>
      </c>
      <c r="Q237" s="52"/>
      <c r="R237" s="44"/>
    </row>
    <row r="238" spans="1:18" s="29" customFormat="1" ht="15.6">
      <c r="A238" s="591">
        <v>1.4</v>
      </c>
      <c r="B238" s="816" t="s">
        <v>282</v>
      </c>
      <c r="C238" s="817"/>
      <c r="D238" s="818"/>
      <c r="E238" s="155"/>
      <c r="F238" s="136"/>
      <c r="G238" s="137"/>
      <c r="H238" s="547">
        <f t="shared" si="5"/>
        <v>0</v>
      </c>
      <c r="Q238" s="52"/>
      <c r="R238" s="44"/>
    </row>
    <row r="239" spans="1:18" s="29" customFormat="1" ht="15.6">
      <c r="A239" s="591">
        <v>1.5</v>
      </c>
      <c r="B239" s="816"/>
      <c r="C239" s="817"/>
      <c r="D239" s="818"/>
      <c r="E239" s="155"/>
      <c r="F239" s="136"/>
      <c r="G239" s="137"/>
      <c r="H239" s="547">
        <f t="shared" si="5"/>
        <v>0</v>
      </c>
      <c r="Q239" s="52"/>
      <c r="R239" s="44"/>
    </row>
    <row r="240" spans="1:18" s="29" customFormat="1" ht="15.6">
      <c r="A240" s="591">
        <v>1.6</v>
      </c>
      <c r="B240" s="816"/>
      <c r="C240" s="817"/>
      <c r="D240" s="818"/>
      <c r="E240" s="155"/>
      <c r="F240" s="136"/>
      <c r="G240" s="137"/>
      <c r="H240" s="547">
        <f t="shared" si="5"/>
        <v>0</v>
      </c>
      <c r="Q240" s="52"/>
      <c r="R240" s="44"/>
    </row>
    <row r="241" spans="1:18" s="29" customFormat="1" ht="15.6">
      <c r="A241" s="105" t="s">
        <v>260</v>
      </c>
      <c r="B241" s="105" t="s">
        <v>259</v>
      </c>
      <c r="C241" s="106"/>
      <c r="D241" s="106"/>
      <c r="E241" s="106"/>
      <c r="F241" s="57"/>
      <c r="G241" s="135"/>
      <c r="H241" s="645"/>
      <c r="Q241" s="52"/>
      <c r="R241" s="44"/>
    </row>
    <row r="242" spans="1:18" s="29" customFormat="1" ht="30.6" customHeight="1">
      <c r="A242" s="620">
        <v>2.1</v>
      </c>
      <c r="B242" s="825" t="s">
        <v>620</v>
      </c>
      <c r="C242" s="842"/>
      <c r="D242" s="843"/>
      <c r="E242" s="148" t="s">
        <v>367</v>
      </c>
      <c r="F242" s="389">
        <v>2</v>
      </c>
      <c r="G242" s="390"/>
      <c r="H242" s="547">
        <f>IFERROR(VLOOKUP(E242,J243:K246,2,FALSE),0)</f>
        <v>0</v>
      </c>
      <c r="J242" s="29" t="s">
        <v>367</v>
      </c>
      <c r="K242" s="29">
        <v>0</v>
      </c>
      <c r="Q242" s="52"/>
      <c r="R242" s="44"/>
    </row>
    <row r="243" spans="1:18" s="29" customFormat="1" ht="15.6">
      <c r="A243" s="592"/>
      <c r="B243" s="304"/>
      <c r="C243" s="305"/>
      <c r="D243" s="305"/>
      <c r="E243" s="305"/>
      <c r="F243" s="305"/>
      <c r="G243" s="312" t="s">
        <v>130</v>
      </c>
      <c r="H243" s="138">
        <f>IFERROR(MIN(SUM(H235:H242),G231),0)</f>
        <v>0</v>
      </c>
      <c r="J243" s="29" t="s">
        <v>363</v>
      </c>
      <c r="K243" s="29">
        <v>2</v>
      </c>
      <c r="Q243" s="44"/>
      <c r="R243" s="44"/>
    </row>
    <row r="244" spans="1:18" s="29" customFormat="1">
      <c r="A244" s="592"/>
      <c r="B244" s="307"/>
      <c r="C244" s="305"/>
      <c r="D244" s="305"/>
      <c r="E244" s="305"/>
      <c r="F244" s="305"/>
      <c r="G244" s="314"/>
      <c r="H244" s="571"/>
      <c r="J244" s="29" t="s">
        <v>364</v>
      </c>
      <c r="K244" s="29">
        <v>2</v>
      </c>
      <c r="Q244" s="44"/>
      <c r="R244" s="44"/>
    </row>
    <row r="245" spans="1:18" s="29" customFormat="1" ht="15.6">
      <c r="A245" s="592"/>
      <c r="B245" s="307"/>
      <c r="C245" s="305"/>
      <c r="D245" s="305"/>
      <c r="E245" s="305"/>
      <c r="F245" s="305"/>
      <c r="G245" s="312" t="s">
        <v>68</v>
      </c>
      <c r="H245" s="617">
        <f>IFERROR(H89+H192+H229+H243,0)</f>
        <v>0</v>
      </c>
      <c r="J245" s="29" t="s">
        <v>365</v>
      </c>
      <c r="K245" s="29">
        <v>2</v>
      </c>
      <c r="Q245" s="44"/>
      <c r="R245" s="44"/>
    </row>
    <row r="246" spans="1:18" s="29" customFormat="1">
      <c r="A246" s="592"/>
      <c r="B246" s="307"/>
      <c r="C246" s="305"/>
      <c r="D246" s="305"/>
      <c r="E246" s="305"/>
      <c r="F246" s="305"/>
      <c r="G246" s="314"/>
      <c r="H246" s="571"/>
      <c r="J246" s="29" t="s">
        <v>366</v>
      </c>
      <c r="K246" s="29">
        <v>2</v>
      </c>
      <c r="Q246" s="52"/>
      <c r="R246" s="44"/>
    </row>
    <row r="247" spans="1:18" s="29" customFormat="1" ht="15.75" customHeight="1">
      <c r="A247" s="592"/>
      <c r="B247" s="327" t="s">
        <v>37</v>
      </c>
      <c r="C247" s="314"/>
      <c r="D247" s="809" t="s">
        <v>372</v>
      </c>
      <c r="E247" s="809"/>
      <c r="F247" s="809"/>
      <c r="G247" s="314"/>
      <c r="H247" s="646"/>
      <c r="Q247" s="52"/>
      <c r="R247" s="44"/>
    </row>
    <row r="248" spans="1:18" s="29" customFormat="1" ht="15.6">
      <c r="A248" s="592"/>
      <c r="B248" s="328"/>
      <c r="C248" s="314"/>
      <c r="D248" s="809"/>
      <c r="E248" s="809"/>
      <c r="F248" s="809"/>
      <c r="G248" s="314"/>
      <c r="H248" s="646"/>
      <c r="Q248" s="52"/>
      <c r="R248" s="44"/>
    </row>
    <row r="249" spans="1:18" s="29" customFormat="1" ht="15.6">
      <c r="A249" s="647" t="s">
        <v>261</v>
      </c>
      <c r="B249" s="328" t="s">
        <v>99</v>
      </c>
      <c r="C249" s="347">
        <f>IFERROR(SUM(G32+G35+G37+G38+G47+G50),0)</f>
        <v>0</v>
      </c>
      <c r="D249" s="314" t="s">
        <v>265</v>
      </c>
      <c r="E249" s="137"/>
      <c r="F249" s="314" t="s">
        <v>266</v>
      </c>
      <c r="G249" s="139">
        <f>MIN(IFERROR(SUM(C249+E249),0),100%)</f>
        <v>0</v>
      </c>
      <c r="H249" s="571"/>
      <c r="L249" s="52"/>
      <c r="M249" s="44"/>
    </row>
    <row r="250" spans="1:18" s="29" customFormat="1" ht="15.6">
      <c r="A250" s="647" t="s">
        <v>262</v>
      </c>
      <c r="B250" s="328" t="s">
        <v>100</v>
      </c>
      <c r="C250" s="347">
        <f>IFERROR(SUM(F19+G96+G98+G100+G103+G106+G107+G108+G109+G110),0)</f>
        <v>0</v>
      </c>
      <c r="D250" s="314" t="s">
        <v>265</v>
      </c>
      <c r="E250" s="137"/>
      <c r="F250" s="314" t="s">
        <v>266</v>
      </c>
      <c r="G250" s="139">
        <f>MIN(IFERROR(SUM(C250+E250),0),100%)</f>
        <v>0</v>
      </c>
      <c r="H250" s="571"/>
      <c r="L250" s="52"/>
      <c r="M250" s="44"/>
    </row>
    <row r="251" spans="1:18" s="29" customFormat="1" ht="15.6">
      <c r="A251" s="647" t="s">
        <v>263</v>
      </c>
      <c r="B251" s="328" t="s">
        <v>101</v>
      </c>
      <c r="C251" s="347">
        <f>IFERROR(G206,0)</f>
        <v>0</v>
      </c>
      <c r="D251" s="314" t="s">
        <v>265</v>
      </c>
      <c r="E251" s="137"/>
      <c r="F251" s="286" t="s">
        <v>266</v>
      </c>
      <c r="G251" s="139">
        <f>MIN(IFERROR(SUM(C251+E251),0),100%)</f>
        <v>0</v>
      </c>
      <c r="H251" s="562"/>
      <c r="I251" s="3"/>
      <c r="J251" s="3"/>
      <c r="K251" s="3"/>
      <c r="L251" s="52"/>
      <c r="M251" s="44"/>
    </row>
    <row r="252" spans="1:18" s="29" customFormat="1">
      <c r="A252" s="622"/>
      <c r="B252" s="320"/>
      <c r="C252" s="323"/>
      <c r="D252" s="323"/>
      <c r="E252" s="323"/>
      <c r="F252" s="323"/>
      <c r="G252" s="648"/>
      <c r="H252" s="649"/>
      <c r="J252" s="3"/>
      <c r="K252" s="3"/>
      <c r="L252" s="3"/>
      <c r="M252" s="3"/>
      <c r="N252" s="3"/>
      <c r="O252" s="3"/>
      <c r="P252" s="3"/>
      <c r="Q252" s="52"/>
      <c r="R252" s="44"/>
    </row>
    <row r="253" spans="1:18" s="29" customFormat="1">
      <c r="A253" s="161"/>
      <c r="B253" s="3"/>
      <c r="C253" s="3"/>
      <c r="D253" s="3"/>
      <c r="E253" s="3"/>
      <c r="F253" s="3"/>
      <c r="G253" s="10"/>
      <c r="H253" s="3"/>
      <c r="J253" s="3"/>
      <c r="K253" s="3"/>
      <c r="L253" s="3"/>
      <c r="M253" s="3"/>
      <c r="N253" s="3"/>
      <c r="O253" s="3"/>
      <c r="P253" s="3"/>
      <c r="Q253" s="52"/>
      <c r="R253" s="44"/>
    </row>
    <row r="254" spans="1:18" s="29" customFormat="1">
      <c r="A254" s="161"/>
      <c r="B254" s="3"/>
      <c r="C254" s="3"/>
      <c r="D254" s="3"/>
      <c r="E254" s="3"/>
      <c r="F254" s="3"/>
      <c r="G254" s="10"/>
      <c r="H254" s="3"/>
      <c r="J254" s="3"/>
      <c r="K254" s="3"/>
      <c r="L254" s="3"/>
      <c r="M254" s="3"/>
      <c r="N254" s="3"/>
      <c r="O254" s="3"/>
      <c r="P254" s="3"/>
      <c r="Q254" s="52"/>
      <c r="R254" s="44"/>
    </row>
    <row r="255" spans="1:18" s="29" customFormat="1">
      <c r="A255" s="161"/>
      <c r="B255" s="3"/>
      <c r="C255" s="3"/>
      <c r="D255" s="3"/>
      <c r="E255" s="3"/>
      <c r="F255" s="3"/>
      <c r="G255" s="10"/>
      <c r="H255" s="3"/>
      <c r="J255" s="3"/>
      <c r="K255" s="3"/>
      <c r="L255" s="3"/>
      <c r="M255" s="3"/>
      <c r="N255" s="3"/>
      <c r="O255" s="3"/>
      <c r="P255" s="3"/>
      <c r="Q255" s="52"/>
      <c r="R255" s="44"/>
    </row>
    <row r="256" spans="1:18" s="29" customFormat="1">
      <c r="A256" s="161"/>
      <c r="B256" s="3"/>
      <c r="C256" s="3"/>
      <c r="D256" s="3"/>
      <c r="E256" s="3"/>
      <c r="F256" s="3"/>
      <c r="G256" s="10"/>
      <c r="H256" s="3"/>
      <c r="J256" s="3"/>
      <c r="K256" s="3"/>
      <c r="L256" s="3"/>
      <c r="M256" s="3"/>
      <c r="N256" s="3"/>
      <c r="O256" s="3"/>
      <c r="P256" s="3"/>
      <c r="Q256" s="44"/>
      <c r="R256" s="44"/>
    </row>
    <row r="257" spans="1:18" s="29" customFormat="1">
      <c r="A257" s="161"/>
      <c r="B257" s="3"/>
      <c r="C257" s="3"/>
      <c r="D257" s="3"/>
      <c r="E257" s="3"/>
      <c r="F257" s="3"/>
      <c r="G257" s="10"/>
      <c r="H257" s="3"/>
      <c r="J257" s="3"/>
      <c r="K257" s="3"/>
      <c r="L257" s="3"/>
      <c r="M257" s="3"/>
      <c r="N257" s="3"/>
      <c r="O257" s="3"/>
      <c r="P257" s="3"/>
      <c r="Q257" s="44"/>
      <c r="R257" s="44"/>
    </row>
    <row r="258" spans="1:18" s="29" customFormat="1">
      <c r="A258" s="161"/>
      <c r="B258" s="3"/>
      <c r="C258" s="3"/>
      <c r="D258" s="3"/>
      <c r="E258" s="3"/>
      <c r="F258" s="3"/>
      <c r="G258" s="10"/>
      <c r="H258" s="3"/>
      <c r="J258" s="3"/>
      <c r="K258" s="3"/>
      <c r="L258" s="3"/>
      <c r="M258" s="3"/>
      <c r="N258" s="3"/>
      <c r="O258" s="3"/>
      <c r="P258" s="3"/>
      <c r="Q258" s="44"/>
      <c r="R258" s="44"/>
    </row>
    <row r="259" spans="1:18" s="29" customFormat="1">
      <c r="A259" s="161"/>
      <c r="B259" s="3"/>
      <c r="C259" s="3"/>
      <c r="D259" s="3"/>
      <c r="E259" s="3"/>
      <c r="F259" s="3"/>
      <c r="G259" s="10"/>
      <c r="H259" s="3"/>
      <c r="J259" s="3"/>
      <c r="K259" s="3"/>
      <c r="L259" s="3"/>
      <c r="M259" s="3"/>
      <c r="N259" s="3"/>
      <c r="O259" s="3"/>
      <c r="P259" s="3"/>
      <c r="Q259" s="44"/>
      <c r="R259" s="44"/>
    </row>
  </sheetData>
  <sheetProtection algorithmName="SHA-512" hashValue="4QRB4Za+gKAEWUfAaVklAKFf4iXX9G0QzawF9LltZisfsUFpOdr4jOtYGx5DgfyxrGiG+g14FDN2z2WLyyrtfA==" saltValue="VTBIADnUQHoMwAE+ujzbEw==" spinCount="100000" sheet="1" selectLockedCells="1"/>
  <mergeCells count="236">
    <mergeCell ref="B23:C23"/>
    <mergeCell ref="B24:C24"/>
    <mergeCell ref="B25:C25"/>
    <mergeCell ref="B96:D96"/>
    <mergeCell ref="B99:D99"/>
    <mergeCell ref="A98:A99"/>
    <mergeCell ref="B98:D98"/>
    <mergeCell ref="E98:E99"/>
    <mergeCell ref="F98:F99"/>
    <mergeCell ref="B32:D32"/>
    <mergeCell ref="B42:D42"/>
    <mergeCell ref="B41:D41"/>
    <mergeCell ref="A32:A33"/>
    <mergeCell ref="E32:E33"/>
    <mergeCell ref="F32:F33"/>
    <mergeCell ref="B40:D40"/>
    <mergeCell ref="E40:E45"/>
    <mergeCell ref="B82:C82"/>
    <mergeCell ref="B84:C84"/>
    <mergeCell ref="B85:C85"/>
    <mergeCell ref="B86:C86"/>
    <mergeCell ref="E74:F74"/>
    <mergeCell ref="B69:C69"/>
    <mergeCell ref="B67:C67"/>
    <mergeCell ref="A4:B4"/>
    <mergeCell ref="D7:G7"/>
    <mergeCell ref="A7:B7"/>
    <mergeCell ref="B20:C20"/>
    <mergeCell ref="B21:C21"/>
    <mergeCell ref="B22:C22"/>
    <mergeCell ref="D11:D12"/>
    <mergeCell ref="E11:E12"/>
    <mergeCell ref="F11:F12"/>
    <mergeCell ref="B14:C14"/>
    <mergeCell ref="B15:C15"/>
    <mergeCell ref="A11:B12"/>
    <mergeCell ref="B17:C17"/>
    <mergeCell ref="B19:C19"/>
    <mergeCell ref="B16:C16"/>
    <mergeCell ref="G32:G33"/>
    <mergeCell ref="H32:H33"/>
    <mergeCell ref="B33:D33"/>
    <mergeCell ref="B35:D35"/>
    <mergeCell ref="A38:A39"/>
    <mergeCell ref="B38:D39"/>
    <mergeCell ref="E38:E39"/>
    <mergeCell ref="H38:H39"/>
    <mergeCell ref="B37:D37"/>
    <mergeCell ref="B66:C66"/>
    <mergeCell ref="B68:C68"/>
    <mergeCell ref="G98:G99"/>
    <mergeCell ref="H98:H99"/>
    <mergeCell ref="B76:C76"/>
    <mergeCell ref="B78:C78"/>
    <mergeCell ref="B117:D117"/>
    <mergeCell ref="B64:C64"/>
    <mergeCell ref="B74:C74"/>
    <mergeCell ref="B65:C65"/>
    <mergeCell ref="B70:C70"/>
    <mergeCell ref="B71:C71"/>
    <mergeCell ref="B73:C73"/>
    <mergeCell ref="B77:C77"/>
    <mergeCell ref="B79:C79"/>
    <mergeCell ref="B81:C81"/>
    <mergeCell ref="D69:D72"/>
    <mergeCell ref="B72:C72"/>
    <mergeCell ref="B106:D106"/>
    <mergeCell ref="B107:D107"/>
    <mergeCell ref="B115:D115"/>
    <mergeCell ref="B108:D108"/>
    <mergeCell ref="B110:D110"/>
    <mergeCell ref="B114:D114"/>
    <mergeCell ref="D147:D148"/>
    <mergeCell ref="E147:E148"/>
    <mergeCell ref="F147:G147"/>
    <mergeCell ref="F148:G148"/>
    <mergeCell ref="A151:B152"/>
    <mergeCell ref="C151:C152"/>
    <mergeCell ref="D151:D152"/>
    <mergeCell ref="B159:C159"/>
    <mergeCell ref="B172:C172"/>
    <mergeCell ref="B169:C169"/>
    <mergeCell ref="E151:F151"/>
    <mergeCell ref="H162:H165"/>
    <mergeCell ref="E163:F163"/>
    <mergeCell ref="A100:A101"/>
    <mergeCell ref="E164:F164"/>
    <mergeCell ref="E165:F165"/>
    <mergeCell ref="B166:C167"/>
    <mergeCell ref="B170:C170"/>
    <mergeCell ref="A174:A175"/>
    <mergeCell ref="B174:C174"/>
    <mergeCell ref="D174:D175"/>
    <mergeCell ref="E174:E175"/>
    <mergeCell ref="F174:F175"/>
    <mergeCell ref="A166:A167"/>
    <mergeCell ref="A162:A165"/>
    <mergeCell ref="B162:C165"/>
    <mergeCell ref="E162:F162"/>
    <mergeCell ref="B171:C171"/>
    <mergeCell ref="G162:G165"/>
    <mergeCell ref="G174:G175"/>
    <mergeCell ref="H174:H175"/>
    <mergeCell ref="B175:C175"/>
    <mergeCell ref="B129:C129"/>
    <mergeCell ref="B134:C134"/>
    <mergeCell ref="B135:C135"/>
    <mergeCell ref="H40:H45"/>
    <mergeCell ref="B43:D43"/>
    <mergeCell ref="B48:D48"/>
    <mergeCell ref="B49:D49"/>
    <mergeCell ref="B56:D56"/>
    <mergeCell ref="B57:D57"/>
    <mergeCell ref="B58:D58"/>
    <mergeCell ref="A61:B62"/>
    <mergeCell ref="D61:D62"/>
    <mergeCell ref="E61:F61"/>
    <mergeCell ref="G61:G62"/>
    <mergeCell ref="H61:H62"/>
    <mergeCell ref="B54:D54"/>
    <mergeCell ref="B44:D44"/>
    <mergeCell ref="B45:D45"/>
    <mergeCell ref="B53:D53"/>
    <mergeCell ref="B47:D47"/>
    <mergeCell ref="B50:D50"/>
    <mergeCell ref="B100:D100"/>
    <mergeCell ref="E100:E101"/>
    <mergeCell ref="B101:D101"/>
    <mergeCell ref="A103:A104"/>
    <mergeCell ref="E103:E104"/>
    <mergeCell ref="F103:F104"/>
    <mergeCell ref="G103:G104"/>
    <mergeCell ref="H103:H104"/>
    <mergeCell ref="F100:F101"/>
    <mergeCell ref="G100:G101"/>
    <mergeCell ref="H100:H101"/>
    <mergeCell ref="B103:D103"/>
    <mergeCell ref="B104:D104"/>
    <mergeCell ref="B113:D113"/>
    <mergeCell ref="B109:D109"/>
    <mergeCell ref="Q106:Q107"/>
    <mergeCell ref="B118:D118"/>
    <mergeCell ref="B119:D119"/>
    <mergeCell ref="B125:C125"/>
    <mergeCell ref="A127:A128"/>
    <mergeCell ref="D127:D128"/>
    <mergeCell ref="E127:E128"/>
    <mergeCell ref="F127:F128"/>
    <mergeCell ref="G127:G128"/>
    <mergeCell ref="H127:H128"/>
    <mergeCell ref="B128:C128"/>
    <mergeCell ref="B127:C127"/>
    <mergeCell ref="H131:H132"/>
    <mergeCell ref="B132:C132"/>
    <mergeCell ref="B138:C138"/>
    <mergeCell ref="B139:C139"/>
    <mergeCell ref="B140:C140"/>
    <mergeCell ref="B141:C141"/>
    <mergeCell ref="B142:C142"/>
    <mergeCell ref="A145:B145"/>
    <mergeCell ref="F145:G145"/>
    <mergeCell ref="A131:A132"/>
    <mergeCell ref="B131:C131"/>
    <mergeCell ref="D131:D132"/>
    <mergeCell ref="E131:E132"/>
    <mergeCell ref="F131:F132"/>
    <mergeCell ref="G131:G132"/>
    <mergeCell ref="H151:H152"/>
    <mergeCell ref="B155:C155"/>
    <mergeCell ref="B156:C156"/>
    <mergeCell ref="B157:C157"/>
    <mergeCell ref="B158:C158"/>
    <mergeCell ref="A160:A161"/>
    <mergeCell ref="B160:C161"/>
    <mergeCell ref="E160:F160"/>
    <mergeCell ref="G160:G161"/>
    <mergeCell ref="H160:H161"/>
    <mergeCell ref="E161:F161"/>
    <mergeCell ref="G151:G152"/>
    <mergeCell ref="G184:G185"/>
    <mergeCell ref="H184:H185"/>
    <mergeCell ref="B187:C187"/>
    <mergeCell ref="B188:C188"/>
    <mergeCell ref="B189:C189"/>
    <mergeCell ref="E189:F189"/>
    <mergeCell ref="H176:H177"/>
    <mergeCell ref="B177:C177"/>
    <mergeCell ref="A196:B196"/>
    <mergeCell ref="B179:C179"/>
    <mergeCell ref="B180:C180"/>
    <mergeCell ref="E176:E177"/>
    <mergeCell ref="F176:F177"/>
    <mergeCell ref="G176:G177"/>
    <mergeCell ref="B181:C181"/>
    <mergeCell ref="A184:B185"/>
    <mergeCell ref="C184:C185"/>
    <mergeCell ref="D184:D185"/>
    <mergeCell ref="E184:F184"/>
    <mergeCell ref="A176:A177"/>
    <mergeCell ref="B176:C176"/>
    <mergeCell ref="D176:D177"/>
    <mergeCell ref="B199:C199"/>
    <mergeCell ref="B201:C201"/>
    <mergeCell ref="A208:B209"/>
    <mergeCell ref="C208:C209"/>
    <mergeCell ref="D208:D209"/>
    <mergeCell ref="E208:F208"/>
    <mergeCell ref="G208:G209"/>
    <mergeCell ref="H208:H209"/>
    <mergeCell ref="B212:C212"/>
    <mergeCell ref="B205:C205"/>
    <mergeCell ref="B204:C204"/>
    <mergeCell ref="B203:C203"/>
    <mergeCell ref="B213:C213"/>
    <mergeCell ref="B214:C214"/>
    <mergeCell ref="B215:C215"/>
    <mergeCell ref="B218:C218"/>
    <mergeCell ref="B219:C219"/>
    <mergeCell ref="A222:B223"/>
    <mergeCell ref="C222:C223"/>
    <mergeCell ref="D222:D223"/>
    <mergeCell ref="E222:F222"/>
    <mergeCell ref="B217:C217"/>
    <mergeCell ref="B239:D239"/>
    <mergeCell ref="B240:D240"/>
    <mergeCell ref="B242:D242"/>
    <mergeCell ref="D247:F248"/>
    <mergeCell ref="G222:G223"/>
    <mergeCell ref="H222:H223"/>
    <mergeCell ref="B225:C225"/>
    <mergeCell ref="B226:C226"/>
    <mergeCell ref="A233:B233"/>
    <mergeCell ref="B235:D235"/>
    <mergeCell ref="B236:D236"/>
    <mergeCell ref="B237:D237"/>
    <mergeCell ref="B238:D238"/>
  </mergeCells>
  <dataValidations count="3">
    <dataValidation type="list" allowBlank="1" showInputMessage="1" showErrorMessage="1" sqref="A7" xr:uid="{F639875F-3820-4CA0-B5F4-57C960A01DF9}">
      <formula1>$J$1:$J$7</formula1>
    </dataValidation>
    <dataValidation type="list" allowBlank="1" showInputMessage="1" showErrorMessage="1" sqref="E242" xr:uid="{1959361E-7DDE-4E59-A635-F65E3BE4C56E}">
      <formula1>$J$242:$J$246</formula1>
    </dataValidation>
    <dataValidation type="list" allowBlank="1" showInputMessage="1" showErrorMessage="1" sqref="F148:G148" xr:uid="{BD9C3E09-15C6-4D7A-88B4-A4A3B4BBC2A1}">
      <formula1>$K$145:$P$145</formula1>
    </dataValidation>
  </dataValidations>
  <pageMargins left="0.25" right="0.25" top="0.75" bottom="0.75" header="0.3" footer="0.3"/>
  <pageSetup paperSize="9" scale="55" fitToHeight="4" orientation="portrait" r:id="rId1"/>
  <headerFooter>
    <oddFooter>&amp;F</oddFooter>
  </headerFooter>
  <rowBreaks count="3" manualBreakCount="3">
    <brk id="60" max="7" man="1"/>
    <brk id="121" max="7" man="1"/>
    <brk id="183"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R259"/>
  <sheetViews>
    <sheetView zoomScale="80" zoomScaleNormal="80" zoomScaleSheetLayoutView="100" workbookViewId="0">
      <selection activeCell="A7" sqref="A7:B7"/>
    </sheetView>
  </sheetViews>
  <sheetFormatPr defaultColWidth="9.109375" defaultRowHeight="15"/>
  <cols>
    <col min="1" max="1" width="7" style="160"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29" style="3" hidden="1" customWidth="1"/>
    <col min="10" max="10" width="45.6640625" style="3" hidden="1" customWidth="1"/>
    <col min="11" max="15" width="9.109375" style="3" hidden="1" customWidth="1"/>
    <col min="16" max="16" width="9.6640625" style="3" hidden="1" customWidth="1"/>
    <col min="17" max="17" width="9.109375" style="3" customWidth="1"/>
    <col min="18" max="16384" width="9.109375" style="3"/>
  </cols>
  <sheetData>
    <row r="1" spans="1:15" ht="15.6">
      <c r="A1" s="558" t="s">
        <v>89</v>
      </c>
      <c r="B1" s="559"/>
      <c r="C1" s="559"/>
      <c r="D1" s="559"/>
      <c r="E1" s="559"/>
      <c r="F1" s="559"/>
      <c r="G1" s="559"/>
      <c r="H1" s="560"/>
      <c r="J1" s="3" t="s">
        <v>40</v>
      </c>
    </row>
    <row r="2" spans="1:15">
      <c r="A2" s="561"/>
      <c r="B2" s="264"/>
      <c r="C2" s="264"/>
      <c r="D2" s="264"/>
      <c r="E2" s="264"/>
      <c r="F2" s="264"/>
      <c r="G2" s="265"/>
      <c r="H2" s="562"/>
      <c r="I2" s="6"/>
      <c r="J2" s="6" t="s">
        <v>384</v>
      </c>
    </row>
    <row r="3" spans="1:15" ht="15.6">
      <c r="A3" s="563" t="s">
        <v>336</v>
      </c>
      <c r="B3" s="264"/>
      <c r="C3" s="264"/>
      <c r="D3" s="331" t="s">
        <v>134</v>
      </c>
      <c r="E3" s="331" t="s">
        <v>135</v>
      </c>
      <c r="F3" s="331" t="s">
        <v>136</v>
      </c>
      <c r="G3" s="289" t="s">
        <v>104</v>
      </c>
      <c r="H3" s="564" t="s">
        <v>62</v>
      </c>
      <c r="I3" s="6"/>
      <c r="J3" s="6" t="s">
        <v>44</v>
      </c>
    </row>
    <row r="4" spans="1:15" ht="15.6">
      <c r="A4" s="966">
        <f>Summary!A6</f>
        <v>0</v>
      </c>
      <c r="B4" s="967"/>
      <c r="C4" s="264"/>
      <c r="D4" s="74">
        <f>H89</f>
        <v>0</v>
      </c>
      <c r="E4" s="154">
        <f>H192</f>
        <v>0</v>
      </c>
      <c r="F4" s="129">
        <f>H229</f>
        <v>0</v>
      </c>
      <c r="G4" s="138">
        <f>H243</f>
        <v>0</v>
      </c>
      <c r="H4" s="565">
        <f>H245</f>
        <v>0</v>
      </c>
      <c r="I4" s="6"/>
      <c r="J4" s="6" t="s">
        <v>15</v>
      </c>
    </row>
    <row r="5" spans="1:15">
      <c r="A5" s="561"/>
      <c r="B5" s="264"/>
      <c r="C5" s="264"/>
      <c r="D5" s="264"/>
      <c r="E5" s="264"/>
      <c r="F5" s="264"/>
      <c r="G5" s="265"/>
      <c r="H5" s="562"/>
      <c r="I5" s="6"/>
      <c r="J5" s="6" t="s">
        <v>16</v>
      </c>
    </row>
    <row r="6" spans="1:15" s="4" customFormat="1" ht="15.6">
      <c r="A6" s="563" t="s">
        <v>90</v>
      </c>
      <c r="B6" s="296"/>
      <c r="C6" s="296"/>
      <c r="D6" s="297" t="s">
        <v>35</v>
      </c>
      <c r="E6" s="264"/>
      <c r="F6" s="264"/>
      <c r="G6" s="265"/>
      <c r="H6" s="562"/>
      <c r="I6" s="6"/>
      <c r="J6" s="6" t="s">
        <v>383</v>
      </c>
      <c r="K6" s="3"/>
      <c r="L6" s="3"/>
      <c r="M6" s="3"/>
    </row>
    <row r="7" spans="1:15" ht="15.75" customHeight="1">
      <c r="A7" s="976" t="s">
        <v>384</v>
      </c>
      <c r="B7" s="977"/>
      <c r="D7" s="761">
        <f>Summary!A82</f>
        <v>0</v>
      </c>
      <c r="E7" s="779"/>
      <c r="F7" s="779"/>
      <c r="G7" s="780"/>
      <c r="H7" s="566"/>
      <c r="I7" s="29"/>
      <c r="J7" s="29" t="s">
        <v>382</v>
      </c>
    </row>
    <row r="8" spans="1:15" ht="15.6" thickBot="1">
      <c r="A8" s="561"/>
      <c r="B8" s="298"/>
      <c r="C8" s="264"/>
      <c r="D8" s="264"/>
      <c r="E8" s="264"/>
      <c r="F8" s="264"/>
      <c r="G8" s="265"/>
      <c r="H8" s="562"/>
    </row>
    <row r="9" spans="1:15" ht="16.2" thickBot="1">
      <c r="A9" s="567" t="s">
        <v>125</v>
      </c>
      <c r="B9" s="140"/>
      <c r="C9" s="140"/>
      <c r="D9" s="140"/>
      <c r="E9" s="140"/>
      <c r="F9" s="141"/>
      <c r="G9" s="16"/>
      <c r="H9" s="568"/>
    </row>
    <row r="10" spans="1:15">
      <c r="A10" s="561"/>
      <c r="B10" s="299"/>
      <c r="C10" s="264"/>
      <c r="D10" s="264"/>
      <c r="E10" s="264"/>
      <c r="F10" s="264"/>
      <c r="G10" s="265"/>
      <c r="H10" s="562"/>
    </row>
    <row r="11" spans="1:15" ht="15.75" customHeight="1">
      <c r="A11" s="905" t="s">
        <v>0</v>
      </c>
      <c r="B11" s="906"/>
      <c r="C11" s="144"/>
      <c r="D11" s="883" t="s">
        <v>4</v>
      </c>
      <c r="E11" s="882" t="s">
        <v>80</v>
      </c>
      <c r="F11" s="882" t="s">
        <v>21</v>
      </c>
      <c r="G11" s="300"/>
      <c r="H11" s="569"/>
    </row>
    <row r="12" spans="1:15" ht="15.75" customHeight="1">
      <c r="A12" s="907"/>
      <c r="B12" s="908"/>
      <c r="C12" s="145"/>
      <c r="D12" s="884"/>
      <c r="E12" s="882"/>
      <c r="F12" s="882"/>
      <c r="G12" s="300"/>
      <c r="H12" s="569"/>
    </row>
    <row r="13" spans="1:15" s="29" customFormat="1" ht="15.6">
      <c r="A13" s="570" t="s">
        <v>127</v>
      </c>
      <c r="B13" s="167"/>
      <c r="C13" s="167"/>
      <c r="D13" s="167"/>
      <c r="E13" s="170"/>
      <c r="F13" s="170"/>
      <c r="G13" s="301"/>
      <c r="H13" s="571"/>
      <c r="N13" s="44"/>
      <c r="O13" s="44"/>
    </row>
    <row r="14" spans="1:15">
      <c r="A14" s="572">
        <v>1</v>
      </c>
      <c r="B14" s="826" t="s">
        <v>268</v>
      </c>
      <c r="C14" s="827"/>
      <c r="D14" s="511" t="s">
        <v>2</v>
      </c>
      <c r="E14" s="512" t="s">
        <v>49</v>
      </c>
      <c r="F14" s="30"/>
      <c r="G14" s="573" t="str">
        <f>IF(F14&lt;65%,"To comply with min. 65%"," ")</f>
        <v>To comply with min. 65%</v>
      </c>
      <c r="H14" s="574"/>
    </row>
    <row r="15" spans="1:15">
      <c r="A15" s="575">
        <v>2</v>
      </c>
      <c r="B15" s="826" t="s">
        <v>590</v>
      </c>
      <c r="C15" s="827"/>
      <c r="D15" s="513" t="s">
        <v>50</v>
      </c>
      <c r="E15" s="514" t="s">
        <v>49</v>
      </c>
      <c r="F15" s="553"/>
      <c r="G15" s="573" t="str">
        <f>IF(F15&lt;80%,"To comply with min. 80%"," ")</f>
        <v>To comply with min. 80%</v>
      </c>
      <c r="H15" s="562"/>
    </row>
    <row r="16" spans="1:15" ht="15" customHeight="1">
      <c r="A16" s="572">
        <v>3</v>
      </c>
      <c r="B16" s="826" t="s">
        <v>589</v>
      </c>
      <c r="C16" s="827"/>
      <c r="D16" s="513" t="s">
        <v>50</v>
      </c>
      <c r="E16" s="514" t="s">
        <v>49</v>
      </c>
      <c r="F16" s="553"/>
      <c r="G16" s="573" t="str">
        <f>IF(F16&lt;80%,"To comply with min. 80%"," ")</f>
        <v>To comply with min. 80%</v>
      </c>
      <c r="H16" s="569"/>
    </row>
    <row r="17" spans="1:18">
      <c r="A17" s="572">
        <v>4</v>
      </c>
      <c r="B17" s="826" t="s">
        <v>591</v>
      </c>
      <c r="C17" s="827"/>
      <c r="D17" s="515" t="s">
        <v>3</v>
      </c>
      <c r="E17" s="514" t="s">
        <v>49</v>
      </c>
      <c r="F17" s="553"/>
      <c r="G17" s="573" t="str">
        <f>IF(F17&lt;65%,"To comply with min. 65%"," ")</f>
        <v>To comply with min. 65%</v>
      </c>
      <c r="H17" s="569"/>
    </row>
    <row r="18" spans="1:18" s="29" customFormat="1" ht="15.6">
      <c r="A18" s="576" t="s">
        <v>126</v>
      </c>
      <c r="B18" s="167"/>
      <c r="C18" s="167"/>
      <c r="D18" s="167"/>
      <c r="E18" s="168"/>
      <c r="F18" s="169"/>
      <c r="G18" s="534"/>
      <c r="H18" s="571"/>
      <c r="J18" s="10"/>
      <c r="N18" s="44"/>
      <c r="O18" s="44"/>
    </row>
    <row r="19" spans="1:18" ht="32.25" customHeight="1">
      <c r="A19" s="577">
        <v>5</v>
      </c>
      <c r="B19" s="886" t="s">
        <v>269</v>
      </c>
      <c r="C19" s="887"/>
      <c r="D19" s="143" t="s">
        <v>3</v>
      </c>
      <c r="E19" s="537"/>
      <c r="F19" s="31">
        <f>IFERROR(E19/$F$120,0)</f>
        <v>0</v>
      </c>
      <c r="G19" s="573" t="str">
        <f>IF(OR($A$7=$J$2,$A$7=$J$3),IF(E19=0,"Please input wall length"," ")," ")</f>
        <v>Please input wall length</v>
      </c>
      <c r="H19" s="569"/>
    </row>
    <row r="20" spans="1:18">
      <c r="A20" s="577" t="s">
        <v>509</v>
      </c>
      <c r="B20" s="826" t="s">
        <v>270</v>
      </c>
      <c r="C20" s="827"/>
      <c r="D20" s="516" t="s">
        <v>50</v>
      </c>
      <c r="E20" s="514" t="s">
        <v>49</v>
      </c>
      <c r="F20" s="30"/>
      <c r="G20" s="573" t="str">
        <f>IF(OR($A$7=$J$2,$A$7=$J$3),IF(F20&lt;65%,"To comply with min. 65%"," ")," ")</f>
        <v>To comply with min. 65%</v>
      </c>
      <c r="H20" s="569"/>
    </row>
    <row r="21" spans="1:18">
      <c r="A21" s="577" t="s">
        <v>510</v>
      </c>
      <c r="B21" s="826" t="s">
        <v>592</v>
      </c>
      <c r="C21" s="827"/>
      <c r="D21" s="516" t="s">
        <v>50</v>
      </c>
      <c r="E21" s="514" t="s">
        <v>49</v>
      </c>
      <c r="F21" s="30"/>
      <c r="G21" s="573" t="str">
        <f>IF(OR($A$7=$J$2,$A$7=$J$3),IF(F21&lt;60%,"To comply with min. 60%"," ")," ")</f>
        <v>To comply with min. 60%</v>
      </c>
      <c r="H21" s="569"/>
    </row>
    <row r="22" spans="1:18">
      <c r="A22" s="577" t="s">
        <v>511</v>
      </c>
      <c r="B22" s="826" t="s">
        <v>593</v>
      </c>
      <c r="C22" s="827"/>
      <c r="D22" s="516" t="s">
        <v>50</v>
      </c>
      <c r="E22" s="514" t="s">
        <v>49</v>
      </c>
      <c r="F22" s="30"/>
      <c r="G22" s="573" t="str">
        <f>IF(OR($A$7=$J$2,$A$7=$J$3),IF(F22&lt;65%,"To comply with min. 65%"," ")," ")</f>
        <v>To comply with min. 65%</v>
      </c>
      <c r="H22" s="569"/>
    </row>
    <row r="23" spans="1:18">
      <c r="A23" s="577" t="s">
        <v>512</v>
      </c>
      <c r="B23" s="826" t="s">
        <v>594</v>
      </c>
      <c r="C23" s="827"/>
      <c r="D23" s="516" t="s">
        <v>50</v>
      </c>
      <c r="E23" s="514" t="s">
        <v>49</v>
      </c>
      <c r="F23" s="30"/>
      <c r="G23" s="573" t="str">
        <f>IF(OR($A$7=$J$2,$A$7=$J$3),IF(F23&lt;60%,"To comply with min. 60%"," ")," ")</f>
        <v>To comply with min. 60%</v>
      </c>
      <c r="H23" s="569"/>
    </row>
    <row r="24" spans="1:18">
      <c r="A24" s="577" t="s">
        <v>283</v>
      </c>
      <c r="B24" s="826" t="s">
        <v>595</v>
      </c>
      <c r="C24" s="827"/>
      <c r="D24" s="513" t="s">
        <v>50</v>
      </c>
      <c r="E24" s="514" t="s">
        <v>49</v>
      </c>
      <c r="F24" s="553"/>
      <c r="G24" s="573" t="str">
        <f>IF(OR($A$7=$J$2,$A$7=$J$3),IF(F24&lt;65%,"To comply with min. 65%"," ")," ")</f>
        <v>To comply with min. 65%</v>
      </c>
      <c r="H24" s="569"/>
    </row>
    <row r="25" spans="1:18">
      <c r="A25" s="577" t="s">
        <v>513</v>
      </c>
      <c r="B25" s="826" t="s">
        <v>596</v>
      </c>
      <c r="C25" s="827"/>
      <c r="D25" s="513" t="s">
        <v>50</v>
      </c>
      <c r="E25" s="514" t="s">
        <v>49</v>
      </c>
      <c r="F25" s="553"/>
      <c r="G25" s="573" t="str">
        <f>IF(OR($A$7=$J$2,$A$7=$J$3),IF(F25&lt;80%,"To comply with min. 80%"," ")," ")</f>
        <v>To comply with min. 80%</v>
      </c>
      <c r="H25" s="569"/>
    </row>
    <row r="26" spans="1:18">
      <c r="A26" s="561"/>
      <c r="B26" s="264"/>
      <c r="C26" s="264"/>
      <c r="D26" s="264"/>
      <c r="E26" s="264"/>
      <c r="F26" s="264"/>
      <c r="G26" s="265"/>
      <c r="H26" s="562"/>
      <c r="J26" s="6"/>
    </row>
    <row r="27" spans="1:18" ht="15.6">
      <c r="A27" s="578" t="s">
        <v>43</v>
      </c>
      <c r="B27" s="157"/>
      <c r="C27" s="157"/>
      <c r="D27" s="157"/>
      <c r="E27" s="157"/>
      <c r="F27" s="158" t="s">
        <v>42</v>
      </c>
      <c r="G27" s="159">
        <f>VLOOKUP($A$7,'Manpower allocation'!A4:D11,2,FALSE)*100</f>
        <v>45</v>
      </c>
      <c r="H27" s="579" t="s">
        <v>41</v>
      </c>
      <c r="I27" s="365">
        <f>VLOOKUP($A$7,'Manpower allocation'!A4:D11,2,FALSE)*100</f>
        <v>45</v>
      </c>
      <c r="J27" s="6"/>
    </row>
    <row r="28" spans="1:18" ht="15.6">
      <c r="A28" s="561"/>
      <c r="B28" s="302"/>
      <c r="C28" s="303"/>
      <c r="D28" s="264"/>
      <c r="E28" s="264"/>
      <c r="F28" s="264"/>
      <c r="G28" s="265"/>
      <c r="H28" s="562"/>
      <c r="J28" s="6"/>
    </row>
    <row r="29" spans="1:18" s="29" customFormat="1" ht="46.8">
      <c r="A29" s="580" t="s">
        <v>0</v>
      </c>
      <c r="B29" s="40"/>
      <c r="C29" s="40"/>
      <c r="D29" s="41"/>
      <c r="E29" s="42" t="s">
        <v>17</v>
      </c>
      <c r="F29" s="42" t="s">
        <v>113</v>
      </c>
      <c r="G29" s="42" t="s">
        <v>18</v>
      </c>
      <c r="H29" s="42" t="s">
        <v>52</v>
      </c>
      <c r="J29" s="43"/>
      <c r="Q29" s="44"/>
      <c r="R29" s="44"/>
    </row>
    <row r="30" spans="1:18" s="29" customFormat="1" ht="15.6">
      <c r="A30" s="581" t="s">
        <v>187</v>
      </c>
      <c r="B30" s="45" t="s">
        <v>203</v>
      </c>
      <c r="C30" s="46"/>
      <c r="D30" s="46"/>
      <c r="E30" s="47"/>
      <c r="F30" s="47"/>
      <c r="G30" s="47"/>
      <c r="H30" s="582"/>
      <c r="Q30" s="44"/>
      <c r="R30" s="44"/>
    </row>
    <row r="31" spans="1:18" s="29" customFormat="1" ht="15.6">
      <c r="A31" s="583">
        <v>1</v>
      </c>
      <c r="B31" s="39" t="s">
        <v>304</v>
      </c>
      <c r="C31" s="40"/>
      <c r="D31" s="48"/>
      <c r="E31" s="40"/>
      <c r="F31" s="49"/>
      <c r="G31" s="49"/>
      <c r="H31" s="584"/>
      <c r="Q31" s="44"/>
      <c r="R31" s="44"/>
    </row>
    <row r="32" spans="1:18" s="29" customFormat="1">
      <c r="A32" s="918">
        <v>1.1000000000000001</v>
      </c>
      <c r="B32" s="836" t="s">
        <v>271</v>
      </c>
      <c r="C32" s="885"/>
      <c r="D32" s="885"/>
      <c r="E32" s="811">
        <f>VLOOKUP(A32,'Point Allocation'!$A$5:$J$15,MATCH(A7,'Point Allocation'!$A$5:$J$5,0),0)</f>
        <v>45</v>
      </c>
      <c r="F32" s="812"/>
      <c r="G32" s="813">
        <f>IFERROR(F32/$F$59,0)</f>
        <v>0</v>
      </c>
      <c r="H32" s="811">
        <f>E32*G32</f>
        <v>0</v>
      </c>
      <c r="Q32" s="44"/>
      <c r="R32" s="44"/>
    </row>
    <row r="33" spans="1:18" s="29" customFormat="1" ht="15.6">
      <c r="A33" s="919"/>
      <c r="B33" s="810" t="s">
        <v>358</v>
      </c>
      <c r="C33" s="810"/>
      <c r="D33" s="810"/>
      <c r="E33" s="811"/>
      <c r="F33" s="812"/>
      <c r="G33" s="813">
        <f t="shared" ref="G33" si="0">IFERROR(F33/$F$59,0)</f>
        <v>0</v>
      </c>
      <c r="H33" s="811"/>
      <c r="Q33" s="44"/>
      <c r="R33" s="44"/>
    </row>
    <row r="34" spans="1:18" s="29" customFormat="1" ht="15.6">
      <c r="A34" s="583">
        <v>2</v>
      </c>
      <c r="B34" s="39" t="s">
        <v>305</v>
      </c>
      <c r="C34" s="50"/>
      <c r="D34" s="48"/>
      <c r="E34" s="51"/>
      <c r="F34" s="8"/>
      <c r="G34" s="22"/>
      <c r="H34" s="585"/>
      <c r="Q34" s="52"/>
      <c r="R34" s="44"/>
    </row>
    <row r="35" spans="1:18" s="29" customFormat="1">
      <c r="A35" s="586">
        <v>2.1</v>
      </c>
      <c r="B35" s="858" t="s">
        <v>192</v>
      </c>
      <c r="C35" s="859"/>
      <c r="D35" s="840"/>
      <c r="E35" s="20">
        <f>VLOOKUP(A35,'Point Allocation'!$A$5:$J$15,MATCH(A7,'Point Allocation'!$A$5:$J$5,0),0)</f>
        <v>42</v>
      </c>
      <c r="F35" s="537"/>
      <c r="G35" s="31">
        <f>IFERROR(F35/$F$59,0)</f>
        <v>0</v>
      </c>
      <c r="H35" s="20">
        <f>E35*G35</f>
        <v>0</v>
      </c>
      <c r="Q35" s="52"/>
      <c r="R35" s="44"/>
    </row>
    <row r="36" spans="1:18" s="29" customFormat="1" ht="15.6">
      <c r="A36" s="583">
        <v>3</v>
      </c>
      <c r="B36" s="39" t="s">
        <v>306</v>
      </c>
      <c r="C36" s="50"/>
      <c r="D36" s="48"/>
      <c r="E36" s="51"/>
      <c r="F36" s="8"/>
      <c r="G36" s="22"/>
      <c r="H36" s="585"/>
      <c r="Q36" s="52"/>
      <c r="R36" s="44"/>
    </row>
    <row r="37" spans="1:18" s="29" customFormat="1" ht="15" customHeight="1">
      <c r="A37" s="586">
        <v>3.1</v>
      </c>
      <c r="B37" s="858" t="s">
        <v>640</v>
      </c>
      <c r="C37" s="859"/>
      <c r="D37" s="840"/>
      <c r="E37" s="20">
        <f>VLOOKUP(A37,'Point Allocation'!$A$5:$J$15,MATCH(A7,'Point Allocation'!$A$5:$J$5,0),0)</f>
        <v>39</v>
      </c>
      <c r="F37" s="37"/>
      <c r="G37" s="31">
        <f>IFERROR(F37/$F$59,0)</f>
        <v>0</v>
      </c>
      <c r="H37" s="546">
        <f>E37*G37</f>
        <v>0</v>
      </c>
      <c r="Q37" s="52"/>
      <c r="R37" s="44"/>
    </row>
    <row r="38" spans="1:18" s="29" customFormat="1" ht="31.5" customHeight="1">
      <c r="A38" s="909">
        <v>3.2</v>
      </c>
      <c r="B38" s="863" t="s">
        <v>296</v>
      </c>
      <c r="C38" s="911"/>
      <c r="D38" s="864"/>
      <c r="E38" s="828">
        <f>VLOOKUP(A38,'Point Allocation'!$A$5:$J$15,MATCH(A7,'Point Allocation'!$A$5:$J$5,0),0)</f>
        <v>39</v>
      </c>
      <c r="F38" s="37"/>
      <c r="G38" s="31">
        <f>IFERROR(F38/$F$59,0)</f>
        <v>0</v>
      </c>
      <c r="H38" s="828">
        <f>IF(SUM(I40:I45)&gt;=4,E38*G38,0)</f>
        <v>0</v>
      </c>
      <c r="Q38" s="52"/>
      <c r="R38" s="44"/>
    </row>
    <row r="39" spans="1:18" s="29" customFormat="1" ht="46.95" customHeight="1">
      <c r="A39" s="910"/>
      <c r="B39" s="912"/>
      <c r="C39" s="913"/>
      <c r="D39" s="914"/>
      <c r="E39" s="829"/>
      <c r="F39" s="521" t="s">
        <v>601</v>
      </c>
      <c r="G39" s="53" t="s">
        <v>116</v>
      </c>
      <c r="H39" s="829"/>
      <c r="Q39" s="52"/>
      <c r="R39" s="44"/>
    </row>
    <row r="40" spans="1:18" s="29" customFormat="1" ht="112.2" customHeight="1">
      <c r="A40" s="587" t="s">
        <v>181</v>
      </c>
      <c r="B40" s="830" t="s">
        <v>323</v>
      </c>
      <c r="C40" s="831"/>
      <c r="D40" s="832"/>
      <c r="E40" s="900"/>
      <c r="F40" s="536" t="s">
        <v>609</v>
      </c>
      <c r="G40" s="552"/>
      <c r="H40" s="889"/>
      <c r="I40" s="54">
        <f t="shared" ref="I40:I45" si="1">IF(G40&gt;=65%,1,0)</f>
        <v>0</v>
      </c>
      <c r="Q40" s="52"/>
      <c r="R40" s="44"/>
    </row>
    <row r="41" spans="1:18" s="29" customFormat="1" ht="63" customHeight="1">
      <c r="A41" s="587" t="s">
        <v>182</v>
      </c>
      <c r="B41" s="833" t="s">
        <v>204</v>
      </c>
      <c r="C41" s="834"/>
      <c r="D41" s="835"/>
      <c r="E41" s="900"/>
      <c r="F41" s="483" t="s">
        <v>598</v>
      </c>
      <c r="G41" s="553"/>
      <c r="H41" s="889"/>
      <c r="I41" s="54">
        <f t="shared" si="1"/>
        <v>0</v>
      </c>
      <c r="Q41" s="52"/>
      <c r="R41" s="44"/>
    </row>
    <row r="42" spans="1:18" s="29" customFormat="1" ht="48.75" customHeight="1">
      <c r="A42" s="587" t="s">
        <v>190</v>
      </c>
      <c r="B42" s="833" t="s">
        <v>205</v>
      </c>
      <c r="C42" s="834"/>
      <c r="D42" s="835"/>
      <c r="E42" s="900"/>
      <c r="F42" s="483" t="s">
        <v>611</v>
      </c>
      <c r="G42" s="553"/>
      <c r="H42" s="889"/>
      <c r="I42" s="54">
        <f t="shared" si="1"/>
        <v>0</v>
      </c>
      <c r="Q42" s="52"/>
      <c r="R42" s="44"/>
    </row>
    <row r="43" spans="1:18" s="29" customFormat="1" ht="45">
      <c r="A43" s="587" t="s">
        <v>183</v>
      </c>
      <c r="B43" s="833" t="s">
        <v>206</v>
      </c>
      <c r="C43" s="834"/>
      <c r="D43" s="835"/>
      <c r="E43" s="900"/>
      <c r="F43" s="483" t="s">
        <v>597</v>
      </c>
      <c r="G43" s="553"/>
      <c r="H43" s="889"/>
      <c r="I43" s="54">
        <f t="shared" si="1"/>
        <v>0</v>
      </c>
      <c r="Q43" s="52"/>
      <c r="R43" s="44"/>
    </row>
    <row r="44" spans="1:18" s="29" customFormat="1" ht="63" customHeight="1">
      <c r="A44" s="587" t="s">
        <v>191</v>
      </c>
      <c r="B44" s="833" t="s">
        <v>207</v>
      </c>
      <c r="C44" s="834"/>
      <c r="D44" s="835"/>
      <c r="E44" s="900"/>
      <c r="F44" s="483" t="s">
        <v>599</v>
      </c>
      <c r="G44" s="553"/>
      <c r="H44" s="889"/>
      <c r="I44" s="54">
        <f t="shared" si="1"/>
        <v>0</v>
      </c>
      <c r="Q44" s="52"/>
      <c r="R44" s="44"/>
    </row>
    <row r="45" spans="1:18" s="29" customFormat="1" ht="31.5" customHeight="1">
      <c r="A45" s="587" t="s">
        <v>184</v>
      </c>
      <c r="B45" s="915" t="s">
        <v>610</v>
      </c>
      <c r="C45" s="916"/>
      <c r="D45" s="886"/>
      <c r="E45" s="901"/>
      <c r="F45" s="483" t="s">
        <v>600</v>
      </c>
      <c r="G45" s="553"/>
      <c r="H45" s="829"/>
      <c r="I45" s="54">
        <f t="shared" si="1"/>
        <v>0</v>
      </c>
      <c r="Q45" s="52"/>
      <c r="R45" s="44"/>
    </row>
    <row r="46" spans="1:18" s="29" customFormat="1" ht="15.6">
      <c r="A46" s="583" t="s">
        <v>185</v>
      </c>
      <c r="B46" s="39" t="s">
        <v>307</v>
      </c>
      <c r="C46" s="55"/>
      <c r="D46" s="48"/>
      <c r="E46" s="51"/>
      <c r="F46" s="36"/>
      <c r="G46" s="23"/>
      <c r="H46" s="588"/>
      <c r="Q46" s="52"/>
      <c r="R46" s="44"/>
    </row>
    <row r="47" spans="1:18" s="29" customFormat="1" ht="31.5" customHeight="1">
      <c r="A47" s="543">
        <v>4.0999999999999996</v>
      </c>
      <c r="B47" s="858" t="s">
        <v>602</v>
      </c>
      <c r="C47" s="859"/>
      <c r="D47" s="840"/>
      <c r="E47" s="20">
        <f>VLOOKUP(A47,'Point Allocation'!$A$5:$J$15,MATCH(A7,'Point Allocation'!$A$5:$J$5,0),0)</f>
        <v>35</v>
      </c>
      <c r="F47" s="537"/>
      <c r="G47" s="31">
        <f>IFERROR(F47/$F$59,0)</f>
        <v>0</v>
      </c>
      <c r="H47" s="20">
        <f>E47*G47</f>
        <v>0</v>
      </c>
      <c r="Q47" s="52"/>
      <c r="R47" s="44"/>
    </row>
    <row r="48" spans="1:18" s="29" customFormat="1">
      <c r="A48" s="589">
        <v>4.2</v>
      </c>
      <c r="B48" s="825" t="s">
        <v>313</v>
      </c>
      <c r="C48" s="826"/>
      <c r="D48" s="827"/>
      <c r="E48" s="20">
        <f>VLOOKUP(A48,'Point Allocation'!$A$5:$J$15,MATCH(A7,'Point Allocation'!$A$5:$J$5,0),0)</f>
        <v>35</v>
      </c>
      <c r="F48" s="537"/>
      <c r="G48" s="31">
        <f>IFERROR(F48/$F$59,0)</f>
        <v>0</v>
      </c>
      <c r="H48" s="20">
        <f>E48*G48</f>
        <v>0</v>
      </c>
      <c r="Q48" s="52"/>
      <c r="R48" s="44"/>
    </row>
    <row r="49" spans="1:18" s="29" customFormat="1">
      <c r="A49" s="589">
        <v>4.3</v>
      </c>
      <c r="B49" s="902" t="s">
        <v>311</v>
      </c>
      <c r="C49" s="903"/>
      <c r="D49" s="904"/>
      <c r="E49" s="20">
        <f>VLOOKUP(A49,'Point Allocation'!$A$5:$J$15,MATCH(A7,'Point Allocation'!$A$5:$J$5,0),0)</f>
        <v>28</v>
      </c>
      <c r="F49" s="537"/>
      <c r="G49" s="31">
        <f>IFERROR(F49/$F$59,0)</f>
        <v>0</v>
      </c>
      <c r="H49" s="20">
        <f>E49*G49</f>
        <v>0</v>
      </c>
      <c r="Q49" s="52"/>
      <c r="R49" s="44"/>
    </row>
    <row r="50" spans="1:18" s="29" customFormat="1">
      <c r="A50" s="543">
        <v>4.4000000000000004</v>
      </c>
      <c r="B50" s="858" t="s">
        <v>312</v>
      </c>
      <c r="C50" s="859"/>
      <c r="D50" s="840"/>
      <c r="E50" s="20">
        <f>VLOOKUP(A50,'Point Allocation'!$A$5:$J$15,MATCH(A7,'Point Allocation'!$A$5:$J$5,0),0)</f>
        <v>28</v>
      </c>
      <c r="F50" s="537"/>
      <c r="G50" s="31">
        <f>IFERROR(F50/$F$59,0)</f>
        <v>0</v>
      </c>
      <c r="H50" s="20">
        <f>E50*G50</f>
        <v>0</v>
      </c>
      <c r="Q50" s="52"/>
      <c r="R50" s="44"/>
    </row>
    <row r="51" spans="1:18" s="58" customFormat="1" ht="15.6">
      <c r="A51" s="581" t="s">
        <v>186</v>
      </c>
      <c r="B51" s="45" t="s">
        <v>200</v>
      </c>
      <c r="C51" s="56"/>
      <c r="D51" s="57"/>
      <c r="E51" s="7"/>
      <c r="F51" s="7"/>
      <c r="G51" s="24"/>
      <c r="H51" s="590"/>
      <c r="I51" s="29"/>
      <c r="J51" s="29"/>
      <c r="K51" s="29"/>
      <c r="L51" s="29"/>
      <c r="M51" s="29"/>
      <c r="Q51" s="59"/>
    </row>
    <row r="52" spans="1:18" s="58" customFormat="1" ht="15.6">
      <c r="A52" s="39">
        <v>5</v>
      </c>
      <c r="B52" s="39" t="s">
        <v>201</v>
      </c>
      <c r="C52" s="48"/>
      <c r="D52" s="48"/>
      <c r="E52" s="8"/>
      <c r="F52" s="8"/>
      <c r="G52" s="22"/>
      <c r="H52" s="588"/>
      <c r="I52" s="29"/>
      <c r="J52" s="29"/>
      <c r="K52" s="29"/>
      <c r="L52" s="29"/>
      <c r="M52" s="29"/>
      <c r="Q52" s="59"/>
    </row>
    <row r="53" spans="1:18" s="29" customFormat="1">
      <c r="A53" s="541">
        <v>5.0999999999999996</v>
      </c>
      <c r="B53" s="822" t="s">
        <v>193</v>
      </c>
      <c r="C53" s="823"/>
      <c r="D53" s="824"/>
      <c r="E53" s="20">
        <f>VLOOKUP(A53,'Point Allocation'!$A$5:$J$15,MATCH(A7,'Point Allocation'!$A$5:$J$5,0),0)</f>
        <v>22</v>
      </c>
      <c r="F53" s="537"/>
      <c r="G53" s="31">
        <f>IFERROR(F53/$F$59,0)</f>
        <v>0</v>
      </c>
      <c r="H53" s="20">
        <f>E53*G53</f>
        <v>0</v>
      </c>
      <c r="Q53" s="52"/>
      <c r="R53" s="44"/>
    </row>
    <row r="54" spans="1:18" s="29" customFormat="1">
      <c r="A54" s="541">
        <v>5.2</v>
      </c>
      <c r="B54" s="822" t="s">
        <v>142</v>
      </c>
      <c r="C54" s="823"/>
      <c r="D54" s="824"/>
      <c r="E54" s="20">
        <f>VLOOKUP(A54,'Point Allocation'!$A$5:$J$15,MATCH(A7,'Point Allocation'!$A$5:$J$5,0),0)</f>
        <v>10</v>
      </c>
      <c r="F54" s="537"/>
      <c r="G54" s="31">
        <f>IFERROR(F54/$F$59,0)</f>
        <v>0</v>
      </c>
      <c r="H54" s="20">
        <f>E54*G54</f>
        <v>0</v>
      </c>
      <c r="Q54" s="52"/>
      <c r="R54" s="44"/>
    </row>
    <row r="55" spans="1:18" s="29" customFormat="1" ht="15.6">
      <c r="A55" s="60">
        <v>6</v>
      </c>
      <c r="B55" s="60" t="s">
        <v>202</v>
      </c>
      <c r="C55" s="48"/>
      <c r="D55" s="48"/>
      <c r="E55" s="8"/>
      <c r="F55" s="8"/>
      <c r="G55" s="22"/>
      <c r="H55" s="588"/>
      <c r="Q55" s="52"/>
      <c r="R55" s="44"/>
    </row>
    <row r="56" spans="1:18" s="29" customFormat="1">
      <c r="A56" s="591">
        <v>6.1</v>
      </c>
      <c r="B56" s="762"/>
      <c r="C56" s="763"/>
      <c r="D56" s="803"/>
      <c r="E56" s="537"/>
      <c r="F56" s="537"/>
      <c r="G56" s="31">
        <f>IFERROR(F56/$F$59,0)</f>
        <v>0</v>
      </c>
      <c r="H56" s="20">
        <f>E56*G56</f>
        <v>0</v>
      </c>
      <c r="Q56" s="52"/>
      <c r="R56" s="44"/>
    </row>
    <row r="57" spans="1:18" s="29" customFormat="1">
      <c r="A57" s="591">
        <v>6.2</v>
      </c>
      <c r="B57" s="762"/>
      <c r="C57" s="763"/>
      <c r="D57" s="803"/>
      <c r="E57" s="537"/>
      <c r="F57" s="537"/>
      <c r="G57" s="31">
        <f>IFERROR(F57/$F$59,0)</f>
        <v>0</v>
      </c>
      <c r="H57" s="20">
        <f>E57*G57</f>
        <v>0</v>
      </c>
      <c r="Q57" s="52"/>
      <c r="R57" s="44"/>
    </row>
    <row r="58" spans="1:18" s="29" customFormat="1">
      <c r="A58" s="591">
        <v>6.3</v>
      </c>
      <c r="B58" s="762"/>
      <c r="C58" s="763"/>
      <c r="D58" s="803"/>
      <c r="E58" s="537"/>
      <c r="F58" s="537"/>
      <c r="G58" s="31">
        <f>IFERROR(F58/$F$59,0)</f>
        <v>0</v>
      </c>
      <c r="H58" s="20">
        <f>E58*G58</f>
        <v>0</v>
      </c>
      <c r="Q58" s="52"/>
      <c r="R58" s="44"/>
    </row>
    <row r="59" spans="1:18" s="29" customFormat="1" ht="15.6">
      <c r="A59" s="592"/>
      <c r="B59" s="304"/>
      <c r="C59" s="305"/>
      <c r="D59" s="305"/>
      <c r="E59" s="306" t="s">
        <v>60</v>
      </c>
      <c r="F59" s="26">
        <f>SUM(F32,F35,F37,F38,F47,F48,F49,F50,F53,F54,F56,F57,F58)</f>
        <v>0</v>
      </c>
      <c r="G59" s="25">
        <f>SUM(G32,G35:G35,G37:G38,G47:G50,G53:G54,G56:G58)</f>
        <v>0</v>
      </c>
      <c r="H59" s="593">
        <f>IFERROR(SUM(H32:H58),0)</f>
        <v>0</v>
      </c>
      <c r="M59" s="61"/>
      <c r="Q59" s="52"/>
      <c r="R59" s="44"/>
    </row>
    <row r="60" spans="1:18" s="29" customFormat="1" ht="15.6" thickBot="1">
      <c r="A60" s="594"/>
      <c r="B60" s="361"/>
      <c r="C60" s="362"/>
      <c r="D60" s="362"/>
      <c r="E60" s="362"/>
      <c r="F60" s="362"/>
      <c r="G60" s="354"/>
      <c r="H60" s="595"/>
      <c r="Q60" s="52"/>
      <c r="R60" s="44"/>
    </row>
    <row r="61" spans="1:18" s="29" customFormat="1" ht="15.6">
      <c r="A61" s="896" t="s">
        <v>0</v>
      </c>
      <c r="B61" s="897"/>
      <c r="C61" s="461"/>
      <c r="D61" s="892" t="s">
        <v>4</v>
      </c>
      <c r="E61" s="894" t="s">
        <v>1</v>
      </c>
      <c r="F61" s="895"/>
      <c r="G61" s="890" t="s">
        <v>21</v>
      </c>
      <c r="H61" s="892" t="s">
        <v>62</v>
      </c>
      <c r="Q61" s="52"/>
      <c r="R61" s="44"/>
    </row>
    <row r="62" spans="1:18" s="29" customFormat="1" ht="31.2">
      <c r="A62" s="898"/>
      <c r="B62" s="899"/>
      <c r="C62" s="62"/>
      <c r="D62" s="893"/>
      <c r="E62" s="42" t="s">
        <v>117</v>
      </c>
      <c r="F62" s="42" t="s">
        <v>118</v>
      </c>
      <c r="G62" s="891"/>
      <c r="H62" s="893"/>
      <c r="I62" s="63"/>
      <c r="Q62" s="52"/>
      <c r="R62" s="44"/>
    </row>
    <row r="63" spans="1:18" s="29" customFormat="1" ht="15.6">
      <c r="A63" s="45" t="s">
        <v>208</v>
      </c>
      <c r="B63" s="45" t="s">
        <v>139</v>
      </c>
      <c r="C63" s="57"/>
      <c r="D63" s="64"/>
      <c r="E63" s="47"/>
      <c r="F63" s="47"/>
      <c r="G63" s="47"/>
      <c r="H63" s="596"/>
      <c r="I63" s="61"/>
      <c r="J63" s="61"/>
      <c r="K63" s="61"/>
      <c r="L63" s="61"/>
      <c r="Q63" s="52"/>
      <c r="R63" s="44"/>
    </row>
    <row r="64" spans="1:18" s="29" customFormat="1" ht="15" customHeight="1">
      <c r="A64" s="597" t="s">
        <v>314</v>
      </c>
      <c r="B64" s="837" t="s">
        <v>647</v>
      </c>
      <c r="C64" s="838"/>
      <c r="D64" s="5" t="s">
        <v>50</v>
      </c>
      <c r="E64" s="9">
        <v>3</v>
      </c>
      <c r="F64" s="9">
        <v>4</v>
      </c>
      <c r="G64" s="30"/>
      <c r="H64" s="20">
        <f>IF(G64&gt;=80%,F64,IF(G64&lt;65%,0,E64))</f>
        <v>0</v>
      </c>
      <c r="Q64" s="52"/>
      <c r="R64" s="44"/>
    </row>
    <row r="65" spans="1:18" s="29" customFormat="1">
      <c r="A65" s="597" t="s">
        <v>315</v>
      </c>
      <c r="B65" s="837" t="s">
        <v>646</v>
      </c>
      <c r="C65" s="838"/>
      <c r="D65" s="5" t="s">
        <v>50</v>
      </c>
      <c r="E65" s="9">
        <v>3</v>
      </c>
      <c r="F65" s="9">
        <v>4</v>
      </c>
      <c r="G65" s="30"/>
      <c r="H65" s="20">
        <f>IF(G65&gt;=80%,F65,IF(G65&lt;65%,0,E65))</f>
        <v>0</v>
      </c>
      <c r="Q65" s="52"/>
      <c r="R65" s="44"/>
    </row>
    <row r="66" spans="1:18" s="29" customFormat="1">
      <c r="A66" s="598" t="s">
        <v>316</v>
      </c>
      <c r="B66" s="837" t="s">
        <v>641</v>
      </c>
      <c r="C66" s="838"/>
      <c r="D66" s="5" t="s">
        <v>50</v>
      </c>
      <c r="E66" s="9">
        <v>3</v>
      </c>
      <c r="F66" s="9">
        <v>4</v>
      </c>
      <c r="G66" s="30"/>
      <c r="H66" s="20">
        <f>IF(G66&gt;=80%,F66,IF(G66&lt;65%,0,E66))</f>
        <v>0</v>
      </c>
      <c r="Q66" s="52"/>
      <c r="R66" s="44"/>
    </row>
    <row r="67" spans="1:18" s="29" customFormat="1" ht="51" customHeight="1">
      <c r="A67" s="597">
        <v>7.2</v>
      </c>
      <c r="B67" s="841" t="s">
        <v>319</v>
      </c>
      <c r="C67" s="841"/>
      <c r="D67" s="385" t="s">
        <v>50</v>
      </c>
      <c r="E67" s="546">
        <v>2</v>
      </c>
      <c r="F67" s="546">
        <v>2.5</v>
      </c>
      <c r="G67" s="518"/>
      <c r="H67" s="546">
        <f>IF(H38&gt;0,0,IF(G67&gt;=80%,F67,IF(G67&lt;65%,0,E67)))</f>
        <v>0</v>
      </c>
      <c r="I67" s="11"/>
      <c r="J67" s="11"/>
      <c r="K67" s="11"/>
      <c r="Q67" s="52"/>
      <c r="R67" s="44"/>
    </row>
    <row r="68" spans="1:18" s="29" customFormat="1" ht="15" customHeight="1">
      <c r="A68" s="597">
        <v>7.3</v>
      </c>
      <c r="B68" s="858" t="s">
        <v>215</v>
      </c>
      <c r="C68" s="859"/>
      <c r="D68" s="353"/>
      <c r="E68" s="353"/>
      <c r="F68" s="353"/>
      <c r="G68" s="519"/>
      <c r="H68" s="599"/>
      <c r="I68" s="11"/>
      <c r="J68" s="11"/>
      <c r="K68" s="11"/>
      <c r="Q68" s="52"/>
      <c r="R68" s="44"/>
    </row>
    <row r="69" spans="1:18" s="29" customFormat="1" ht="32.25" customHeight="1">
      <c r="A69" s="598" t="s">
        <v>209</v>
      </c>
      <c r="B69" s="839" t="s">
        <v>216</v>
      </c>
      <c r="C69" s="840"/>
      <c r="D69" s="980" t="s">
        <v>50</v>
      </c>
      <c r="E69" s="279">
        <v>1</v>
      </c>
      <c r="F69" s="279">
        <v>1.5</v>
      </c>
      <c r="G69" s="553"/>
      <c r="H69" s="279">
        <f>IF(H32+H38&gt;0,0.5,IF(G69&gt;=80%,F69,IF(G69&lt;65%,0,E69)))</f>
        <v>0</v>
      </c>
      <c r="J69" s="11"/>
      <c r="K69" s="11"/>
      <c r="Q69" s="52"/>
      <c r="R69" s="44"/>
    </row>
    <row r="70" spans="1:18" s="29" customFormat="1" ht="47.25" customHeight="1">
      <c r="A70" s="598" t="s">
        <v>210</v>
      </c>
      <c r="B70" s="839" t="s">
        <v>217</v>
      </c>
      <c r="C70" s="840"/>
      <c r="D70" s="981"/>
      <c r="E70" s="279">
        <v>1</v>
      </c>
      <c r="F70" s="279">
        <v>1.5</v>
      </c>
      <c r="G70" s="553"/>
      <c r="H70" s="279">
        <f>IF(H32+H38&gt;0,0.5,IF(G70&gt;=80%,F70,IF(G70&lt;65%,0,E70)))</f>
        <v>0</v>
      </c>
      <c r="Q70" s="52"/>
      <c r="R70" s="44"/>
    </row>
    <row r="71" spans="1:18" s="29" customFormat="1">
      <c r="A71" s="598" t="s">
        <v>222</v>
      </c>
      <c r="B71" s="839" t="s">
        <v>218</v>
      </c>
      <c r="C71" s="840"/>
      <c r="D71" s="981"/>
      <c r="E71" s="279">
        <v>1</v>
      </c>
      <c r="F71" s="279">
        <v>1.5</v>
      </c>
      <c r="G71" s="553"/>
      <c r="H71" s="279">
        <f>IF(H32+H38&gt;0,0.5,IF(G71&gt;=80%,F71,IF(G71&lt;65%,0,E71)))</f>
        <v>0</v>
      </c>
      <c r="Q71" s="52"/>
      <c r="R71" s="44"/>
    </row>
    <row r="72" spans="1:18" s="29" customFormat="1" ht="46.5" customHeight="1">
      <c r="A72" s="598" t="s">
        <v>211</v>
      </c>
      <c r="B72" s="839" t="s">
        <v>219</v>
      </c>
      <c r="C72" s="840"/>
      <c r="D72" s="982"/>
      <c r="E72" s="279">
        <v>1</v>
      </c>
      <c r="F72" s="279">
        <v>1.5</v>
      </c>
      <c r="G72" s="553"/>
      <c r="H72" s="279">
        <f>IF(H32+H38&gt;0,0.5,IF(G72&gt;=80%,F72,IF(G72&lt;65%,0,E72)))</f>
        <v>0</v>
      </c>
      <c r="Q72" s="52"/>
      <c r="R72" s="44"/>
    </row>
    <row r="73" spans="1:18" s="29" customFormat="1">
      <c r="A73" s="597">
        <v>7.4</v>
      </c>
      <c r="B73" s="923" t="s">
        <v>393</v>
      </c>
      <c r="C73" s="923"/>
      <c r="D73" s="332" t="s">
        <v>2</v>
      </c>
      <c r="E73" s="279">
        <v>1</v>
      </c>
      <c r="F73" s="279">
        <v>1.5</v>
      </c>
      <c r="G73" s="553"/>
      <c r="H73" s="279">
        <f>IF(G73&gt;=80%,F73,IF(G73&lt;65%,0,E73))</f>
        <v>0</v>
      </c>
      <c r="Q73" s="52"/>
      <c r="R73" s="44"/>
    </row>
    <row r="74" spans="1:18" s="29" customFormat="1" ht="15" customHeight="1">
      <c r="A74" s="600">
        <v>7.5</v>
      </c>
      <c r="B74" s="928" t="s">
        <v>380</v>
      </c>
      <c r="C74" s="928"/>
      <c r="D74" s="490" t="s">
        <v>377</v>
      </c>
      <c r="E74" s="979">
        <v>2</v>
      </c>
      <c r="F74" s="979"/>
      <c r="G74" s="552"/>
      <c r="H74" s="557">
        <f>IF(G74&gt;=5%,E74,0)</f>
        <v>0</v>
      </c>
      <c r="Q74" s="52"/>
      <c r="R74" s="44"/>
    </row>
    <row r="75" spans="1:18" s="29" customFormat="1" ht="15.6">
      <c r="A75" s="66" t="s">
        <v>212</v>
      </c>
      <c r="B75" s="66" t="s">
        <v>517</v>
      </c>
      <c r="C75" s="67"/>
      <c r="D75" s="68"/>
      <c r="E75" s="69"/>
      <c r="F75" s="69"/>
      <c r="G75" s="69"/>
      <c r="H75" s="601"/>
      <c r="Q75" s="52"/>
      <c r="R75" s="44"/>
    </row>
    <row r="76" spans="1:18" s="29" customFormat="1">
      <c r="A76" s="597">
        <v>8.1</v>
      </c>
      <c r="B76" s="836" t="s">
        <v>220</v>
      </c>
      <c r="C76" s="836"/>
      <c r="D76" s="5" t="s">
        <v>50</v>
      </c>
      <c r="E76" s="20">
        <v>2</v>
      </c>
      <c r="F76" s="20">
        <v>2.5</v>
      </c>
      <c r="G76" s="553"/>
      <c r="H76" s="20">
        <f>IF(G76&gt;=80%,F76,IF(G76&lt;65%,0,E76))</f>
        <v>0</v>
      </c>
      <c r="I76" s="70"/>
      <c r="Q76" s="52"/>
      <c r="R76" s="44"/>
    </row>
    <row r="77" spans="1:18" s="29" customFormat="1">
      <c r="A77" s="597">
        <v>8.1999999999999993</v>
      </c>
      <c r="B77" s="836" t="s">
        <v>221</v>
      </c>
      <c r="C77" s="836"/>
      <c r="D77" s="5" t="s">
        <v>50</v>
      </c>
      <c r="E77" s="20">
        <v>2</v>
      </c>
      <c r="F77" s="20">
        <v>2.5</v>
      </c>
      <c r="G77" s="553"/>
      <c r="H77" s="20">
        <f>IF(G77&gt;=80%,F77,IF(G77&lt;65%,0,E77))</f>
        <v>0</v>
      </c>
      <c r="I77" s="11"/>
      <c r="J77" s="11"/>
      <c r="K77" s="11"/>
      <c r="Q77" s="52"/>
      <c r="R77" s="44"/>
    </row>
    <row r="78" spans="1:18" s="29" customFormat="1" ht="30.6" customHeight="1">
      <c r="A78" s="602">
        <v>8.3000000000000007</v>
      </c>
      <c r="B78" s="825" t="s">
        <v>607</v>
      </c>
      <c r="C78" s="827"/>
      <c r="D78" s="420" t="s">
        <v>50</v>
      </c>
      <c r="E78" s="434">
        <v>2</v>
      </c>
      <c r="F78" s="434">
        <v>2.5</v>
      </c>
      <c r="G78" s="553"/>
      <c r="H78" s="279">
        <f>IF(H76&gt;0,0,IF(G78&gt;=80%,F78,IF(G78&lt;65%,0,E78)))</f>
        <v>0</v>
      </c>
      <c r="I78" s="11"/>
      <c r="J78" s="11"/>
      <c r="K78" s="11"/>
      <c r="Q78" s="52"/>
      <c r="R78" s="44"/>
    </row>
    <row r="79" spans="1:18" s="29" customFormat="1">
      <c r="A79" s="602">
        <v>8.4</v>
      </c>
      <c r="B79" s="917" t="s">
        <v>138</v>
      </c>
      <c r="C79" s="843"/>
      <c r="D79" s="420" t="s">
        <v>2</v>
      </c>
      <c r="E79" s="434">
        <v>2</v>
      </c>
      <c r="F79" s="434">
        <v>2.5</v>
      </c>
      <c r="G79" s="30"/>
      <c r="H79" s="20">
        <f>IF(G79&gt;=80%,F79,IF(G79&lt;65%,0,E79))</f>
        <v>0</v>
      </c>
      <c r="Q79" s="52"/>
      <c r="R79" s="44"/>
    </row>
    <row r="80" spans="1:18" s="29" customFormat="1" ht="15.6">
      <c r="A80" s="66" t="s">
        <v>213</v>
      </c>
      <c r="B80" s="66" t="s">
        <v>518</v>
      </c>
      <c r="C80" s="67"/>
      <c r="D80" s="68"/>
      <c r="E80" s="69"/>
      <c r="F80" s="69"/>
      <c r="G80" s="69"/>
      <c r="H80" s="601"/>
      <c r="Q80" s="52"/>
      <c r="R80" s="44"/>
    </row>
    <row r="81" spans="1:18" s="29" customFormat="1" ht="31.5" customHeight="1">
      <c r="A81" s="602">
        <v>9.1</v>
      </c>
      <c r="B81" s="978" t="s">
        <v>514</v>
      </c>
      <c r="C81" s="978"/>
      <c r="D81" s="420" t="s">
        <v>50</v>
      </c>
      <c r="E81" s="434" t="s">
        <v>49</v>
      </c>
      <c r="F81" s="434">
        <v>2.5</v>
      </c>
      <c r="G81" s="517">
        <f>F21</f>
        <v>0</v>
      </c>
      <c r="H81" s="434">
        <f>IF(G81&gt;=80%,F81,0)</f>
        <v>0</v>
      </c>
      <c r="Q81" s="52"/>
      <c r="R81" s="44"/>
    </row>
    <row r="82" spans="1:18" s="29" customFormat="1" ht="31.5" customHeight="1">
      <c r="A82" s="602">
        <v>9.1999999999999993</v>
      </c>
      <c r="B82" s="825" t="s">
        <v>608</v>
      </c>
      <c r="C82" s="827"/>
      <c r="D82" s="420" t="s">
        <v>50</v>
      </c>
      <c r="E82" s="434">
        <v>2</v>
      </c>
      <c r="F82" s="434">
        <v>2.5</v>
      </c>
      <c r="G82" s="553"/>
      <c r="H82" s="279">
        <f>IF(G82&gt;=80%,F82,IF(G82&lt;65%,0,E82))</f>
        <v>0</v>
      </c>
      <c r="Q82" s="52"/>
      <c r="R82" s="44"/>
    </row>
    <row r="83" spans="1:18" s="29" customFormat="1" ht="15.6">
      <c r="A83" s="71" t="s">
        <v>214</v>
      </c>
      <c r="B83" s="71" t="s">
        <v>202</v>
      </c>
      <c r="C83" s="57"/>
      <c r="D83" s="57"/>
      <c r="E83" s="72"/>
      <c r="F83" s="72"/>
      <c r="G83" s="73"/>
      <c r="H83" s="603"/>
      <c r="Q83" s="52"/>
      <c r="R83" s="44"/>
    </row>
    <row r="84" spans="1:18" s="29" customFormat="1">
      <c r="A84" s="597">
        <v>10.1</v>
      </c>
      <c r="B84" s="776"/>
      <c r="C84" s="776"/>
      <c r="D84" s="520"/>
      <c r="E84" s="537"/>
      <c r="F84" s="537"/>
      <c r="G84" s="553"/>
      <c r="H84" s="20">
        <f>IF(G84&gt;=80%,F84,IF(G84&lt;65%,0,E84))</f>
        <v>0</v>
      </c>
      <c r="Q84" s="52"/>
      <c r="R84" s="44"/>
    </row>
    <row r="85" spans="1:18" s="29" customFormat="1">
      <c r="A85" s="597">
        <v>10.199999999999999</v>
      </c>
      <c r="B85" s="776"/>
      <c r="C85" s="776"/>
      <c r="D85" s="520"/>
      <c r="E85" s="537"/>
      <c r="F85" s="537"/>
      <c r="G85" s="553"/>
      <c r="H85" s="20">
        <f>IF(G85&gt;=80%,F85,IF(G85&lt;65%,0,E85))</f>
        <v>0</v>
      </c>
      <c r="Q85" s="52"/>
      <c r="R85" s="44"/>
    </row>
    <row r="86" spans="1:18" s="29" customFormat="1">
      <c r="A86" s="597">
        <v>10.3</v>
      </c>
      <c r="B86" s="776"/>
      <c r="C86" s="776"/>
      <c r="D86" s="520"/>
      <c r="E86" s="537"/>
      <c r="F86" s="537"/>
      <c r="G86" s="553"/>
      <c r="H86" s="20">
        <f>IF(G86&gt;=80%,F86,IF(G86&lt;65%,0,E86))</f>
        <v>0</v>
      </c>
      <c r="Q86" s="52"/>
      <c r="R86" s="44"/>
    </row>
    <row r="87" spans="1:18" s="29" customFormat="1" ht="15.6">
      <c r="A87" s="604"/>
      <c r="B87" s="307"/>
      <c r="C87" s="305"/>
      <c r="D87" s="305"/>
      <c r="E87" s="308"/>
      <c r="F87" s="309"/>
      <c r="G87" s="310" t="s">
        <v>375</v>
      </c>
      <c r="H87" s="605">
        <f>IFERROR((SUM(H64:H86)),0)</f>
        <v>0</v>
      </c>
      <c r="Q87" s="52"/>
      <c r="R87" s="44"/>
    </row>
    <row r="88" spans="1:18" s="29" customFormat="1">
      <c r="A88" s="592"/>
      <c r="B88" s="307"/>
      <c r="C88" s="305"/>
      <c r="D88" s="305"/>
      <c r="E88" s="305"/>
      <c r="F88" s="305"/>
      <c r="G88" s="311"/>
      <c r="H88" s="571"/>
      <c r="Q88" s="52"/>
      <c r="R88" s="44"/>
    </row>
    <row r="89" spans="1:18" s="29" customFormat="1" ht="15.6">
      <c r="A89" s="592"/>
      <c r="B89" s="307"/>
      <c r="C89" s="305"/>
      <c r="D89" s="305"/>
      <c r="E89" s="305"/>
      <c r="F89" s="305"/>
      <c r="G89" s="312" t="s">
        <v>128</v>
      </c>
      <c r="H89" s="74">
        <f>IFERROR(MIN(G27,H59+H87),0)</f>
        <v>0</v>
      </c>
      <c r="Q89" s="52"/>
      <c r="R89" s="44"/>
    </row>
    <row r="90" spans="1:18" s="29" customFormat="1" ht="16.2" thickBot="1">
      <c r="A90" s="594"/>
      <c r="B90" s="361"/>
      <c r="C90" s="362"/>
      <c r="D90" s="362"/>
      <c r="E90" s="362"/>
      <c r="F90" s="362"/>
      <c r="G90" s="364"/>
      <c r="H90" s="606"/>
      <c r="Q90" s="52"/>
      <c r="R90" s="44"/>
    </row>
    <row r="91" spans="1:18" s="29" customFormat="1" ht="15.6">
      <c r="A91" s="607" t="s">
        <v>51</v>
      </c>
      <c r="B91" s="358"/>
      <c r="C91" s="358"/>
      <c r="D91" s="358"/>
      <c r="E91" s="358"/>
      <c r="F91" s="359" t="s">
        <v>42</v>
      </c>
      <c r="G91" s="360">
        <f>VLOOKUP($A$7,'Manpower allocation'!A4:D11,3,FALSE)*100</f>
        <v>40</v>
      </c>
      <c r="H91" s="608" t="s">
        <v>41</v>
      </c>
      <c r="I91" s="75">
        <f>VLOOKUP($A$7,'Manpower allocation'!A4:D11,3,FALSE)*100</f>
        <v>40</v>
      </c>
      <c r="Q91" s="52"/>
      <c r="R91" s="44"/>
    </row>
    <row r="92" spans="1:18" s="29" customFormat="1" ht="15.6">
      <c r="A92" s="592"/>
      <c r="B92" s="313"/>
      <c r="C92" s="308"/>
      <c r="D92" s="305"/>
      <c r="E92" s="305"/>
      <c r="F92" s="305"/>
      <c r="G92" s="314"/>
      <c r="H92" s="571"/>
      <c r="Q92" s="52"/>
      <c r="R92" s="44"/>
    </row>
    <row r="93" spans="1:18" s="29" customFormat="1" ht="46.8">
      <c r="A93" s="609" t="s">
        <v>0</v>
      </c>
      <c r="B93" s="556"/>
      <c r="C93" s="156"/>
      <c r="D93" s="76"/>
      <c r="E93" s="77" t="s">
        <v>17</v>
      </c>
      <c r="F93" s="78" t="s">
        <v>80</v>
      </c>
      <c r="G93" s="78" t="s">
        <v>20</v>
      </c>
      <c r="H93" s="550" t="s">
        <v>52</v>
      </c>
      <c r="Q93" s="52"/>
      <c r="R93" s="44"/>
    </row>
    <row r="94" spans="1:18" s="29" customFormat="1" ht="15.6">
      <c r="A94" s="79" t="s">
        <v>280</v>
      </c>
      <c r="B94" s="79" t="s">
        <v>298</v>
      </c>
      <c r="C94" s="80"/>
      <c r="D94" s="80"/>
      <c r="E94" s="81"/>
      <c r="F94" s="81"/>
      <c r="G94" s="81"/>
      <c r="H94" s="610"/>
      <c r="Q94" s="52"/>
      <c r="R94" s="44"/>
    </row>
    <row r="95" spans="1:18" s="29" customFormat="1" ht="15.6">
      <c r="A95" s="82">
        <v>1</v>
      </c>
      <c r="B95" s="82" t="s">
        <v>304</v>
      </c>
      <c r="C95" s="83"/>
      <c r="D95" s="83"/>
      <c r="E95" s="84"/>
      <c r="F95" s="84"/>
      <c r="G95" s="84"/>
      <c r="H95" s="611"/>
      <c r="Q95" s="52"/>
      <c r="R95" s="44"/>
    </row>
    <row r="96" spans="1:18" s="29" customFormat="1">
      <c r="A96" s="597">
        <v>1.1000000000000001</v>
      </c>
      <c r="B96" s="858" t="s">
        <v>271</v>
      </c>
      <c r="C96" s="823"/>
      <c r="D96" s="824"/>
      <c r="E96" s="85">
        <f>VLOOKUP(A96,'Point Allocation'!$A$20:$J$41,MATCH(A7,'Point Allocation'!$A$20:$J$20,0),0)</f>
        <v>30</v>
      </c>
      <c r="F96" s="86"/>
      <c r="G96" s="87">
        <f>IFERROR(F96/$F$120,0)</f>
        <v>0</v>
      </c>
      <c r="H96" s="612">
        <f>E96*G96</f>
        <v>0</v>
      </c>
      <c r="Q96" s="44"/>
      <c r="R96" s="44"/>
    </row>
    <row r="97" spans="1:18" s="29" customFormat="1" ht="15.6">
      <c r="A97" s="88">
        <v>2</v>
      </c>
      <c r="B97" s="88" t="s">
        <v>305</v>
      </c>
      <c r="C97" s="89"/>
      <c r="D97" s="90"/>
      <c r="E97" s="90"/>
      <c r="F97" s="91"/>
      <c r="G97" s="92"/>
      <c r="H97" s="613"/>
      <c r="Q97" s="52"/>
      <c r="R97" s="44"/>
    </row>
    <row r="98" spans="1:18" s="29" customFormat="1">
      <c r="A98" s="814">
        <v>2.1</v>
      </c>
      <c r="B98" s="822" t="s">
        <v>196</v>
      </c>
      <c r="C98" s="823"/>
      <c r="D98" s="824"/>
      <c r="E98" s="819">
        <f>VLOOKUP(A98,'Point Allocation'!$A$20:$J$41,MATCH(A7,'Point Allocation'!$A$20:$J$20,0),0)</f>
        <v>28</v>
      </c>
      <c r="F98" s="820"/>
      <c r="G98" s="821">
        <f>IFERROR(F98/$F$120,0)</f>
        <v>0</v>
      </c>
      <c r="H98" s="819">
        <f>E98*G98</f>
        <v>0</v>
      </c>
      <c r="Q98" s="52"/>
      <c r="R98" s="44"/>
    </row>
    <row r="99" spans="1:18" s="29" customFormat="1" ht="15.6">
      <c r="A99" s="878"/>
      <c r="B99" s="816" t="s">
        <v>119</v>
      </c>
      <c r="C99" s="817"/>
      <c r="D99" s="818"/>
      <c r="E99" s="819"/>
      <c r="F99" s="820"/>
      <c r="G99" s="821"/>
      <c r="H99" s="819"/>
      <c r="Q99" s="52"/>
      <c r="R99" s="44"/>
    </row>
    <row r="100" spans="1:18" s="29" customFormat="1">
      <c r="A100" s="814">
        <v>2.2000000000000002</v>
      </c>
      <c r="B100" s="825" t="s">
        <v>606</v>
      </c>
      <c r="C100" s="826"/>
      <c r="D100" s="827"/>
      <c r="E100" s="819">
        <f>VLOOKUP(A100,'Point Allocation'!$A$20:$J$41,MATCH(A7,'Point Allocation'!$A$20:$J$20,0),0)</f>
        <v>28</v>
      </c>
      <c r="F100" s="820"/>
      <c r="G100" s="821">
        <f>IFERROR(F100/$F$120,0)</f>
        <v>0</v>
      </c>
      <c r="H100" s="819">
        <f>E100*G100</f>
        <v>0</v>
      </c>
      <c r="Q100" s="52"/>
      <c r="R100" s="44"/>
    </row>
    <row r="101" spans="1:18" s="29" customFormat="1" ht="15.6">
      <c r="A101" s="815"/>
      <c r="B101" s="816" t="s">
        <v>119</v>
      </c>
      <c r="C101" s="817"/>
      <c r="D101" s="818"/>
      <c r="E101" s="819"/>
      <c r="F101" s="820"/>
      <c r="G101" s="821"/>
      <c r="H101" s="819"/>
      <c r="Q101" s="52"/>
      <c r="R101" s="44"/>
    </row>
    <row r="102" spans="1:18" s="29" customFormat="1" ht="15.6">
      <c r="A102" s="82">
        <v>3</v>
      </c>
      <c r="B102" s="82" t="s">
        <v>306</v>
      </c>
      <c r="C102" s="89"/>
      <c r="D102" s="89"/>
      <c r="E102" s="91"/>
      <c r="F102" s="91"/>
      <c r="G102" s="92"/>
      <c r="H102" s="614"/>
      <c r="Q102" s="52"/>
      <c r="R102" s="44"/>
    </row>
    <row r="103" spans="1:18" s="29" customFormat="1">
      <c r="A103" s="814">
        <v>3.1</v>
      </c>
      <c r="B103" s="822" t="s">
        <v>197</v>
      </c>
      <c r="C103" s="823"/>
      <c r="D103" s="824"/>
      <c r="E103" s="819">
        <f>VLOOKUP(A103,'Point Allocation'!$A$20:$J$41,MATCH(A7,'Point Allocation'!$A$20:$J$20,0),0)</f>
        <v>27</v>
      </c>
      <c r="F103" s="820"/>
      <c r="G103" s="821">
        <f>IFERROR(F103/$F$120,0)</f>
        <v>0</v>
      </c>
      <c r="H103" s="819">
        <f>E103*G103</f>
        <v>0</v>
      </c>
      <c r="Q103" s="52"/>
      <c r="R103" s="44"/>
    </row>
    <row r="104" spans="1:18" s="29" customFormat="1" ht="15.6">
      <c r="A104" s="878"/>
      <c r="B104" s="816" t="s">
        <v>267</v>
      </c>
      <c r="C104" s="817"/>
      <c r="D104" s="818"/>
      <c r="E104" s="819"/>
      <c r="F104" s="820"/>
      <c r="G104" s="821"/>
      <c r="H104" s="819"/>
      <c r="Q104" s="52"/>
      <c r="R104" s="44"/>
    </row>
    <row r="105" spans="1:18" s="29" customFormat="1" ht="15.6">
      <c r="A105" s="82">
        <v>4</v>
      </c>
      <c r="B105" s="82" t="s">
        <v>307</v>
      </c>
      <c r="C105" s="89"/>
      <c r="D105" s="89"/>
      <c r="E105" s="91"/>
      <c r="F105" s="91"/>
      <c r="G105" s="92"/>
      <c r="H105" s="614"/>
      <c r="Q105" s="52"/>
      <c r="R105" s="44"/>
    </row>
    <row r="106" spans="1:18" s="29" customFormat="1" ht="30" customHeight="1">
      <c r="A106" s="598" t="s">
        <v>194</v>
      </c>
      <c r="B106" s="833" t="s">
        <v>273</v>
      </c>
      <c r="C106" s="834"/>
      <c r="D106" s="835"/>
      <c r="E106" s="93">
        <f>VLOOKUP(A106,'Point Allocation'!$A$20:$J$41,MATCH(A7,'Point Allocation'!$A$20:$J$20,0),0)</f>
        <v>25</v>
      </c>
      <c r="F106" s="538"/>
      <c r="G106" s="539">
        <f>IFERROR(F106/$F$120,0)</f>
        <v>0</v>
      </c>
      <c r="H106" s="94">
        <f>E106*G106</f>
        <v>0</v>
      </c>
      <c r="Q106" s="939"/>
      <c r="R106" s="44"/>
    </row>
    <row r="107" spans="1:18" s="29" customFormat="1">
      <c r="A107" s="598" t="s">
        <v>195</v>
      </c>
      <c r="B107" s="833" t="s">
        <v>274</v>
      </c>
      <c r="C107" s="834"/>
      <c r="D107" s="835"/>
      <c r="E107" s="93">
        <f>VLOOKUP(A107,'Point Allocation'!$A$20:$J$41,MATCH(A7,'Point Allocation'!$A$20:$J$20,0),0)</f>
        <v>25</v>
      </c>
      <c r="F107" s="538"/>
      <c r="G107" s="539">
        <f>IFERROR(F107/$F$120,0)</f>
        <v>0</v>
      </c>
      <c r="H107" s="94">
        <f>E107*G107</f>
        <v>0</v>
      </c>
      <c r="Q107" s="939"/>
      <c r="R107" s="44"/>
    </row>
    <row r="108" spans="1:18" s="29" customFormat="1">
      <c r="A108" s="597">
        <v>4.2</v>
      </c>
      <c r="B108" s="848" t="s">
        <v>198</v>
      </c>
      <c r="C108" s="924"/>
      <c r="D108" s="849"/>
      <c r="E108" s="93">
        <f>VLOOKUP(A108,'Point Allocation'!$A$20:$J$41,MATCH(A7,'Point Allocation'!$A$20:$J$20,0),0)</f>
        <v>25</v>
      </c>
      <c r="F108" s="538"/>
      <c r="G108" s="539">
        <f>IFERROR(F108/$F$120,0)</f>
        <v>0</v>
      </c>
      <c r="H108" s="94">
        <f>E108*G108</f>
        <v>0</v>
      </c>
      <c r="Q108" s="52"/>
      <c r="R108" s="44"/>
    </row>
    <row r="109" spans="1:18" s="29" customFormat="1">
      <c r="A109" s="597">
        <v>4.3</v>
      </c>
      <c r="B109" s="925" t="s">
        <v>150</v>
      </c>
      <c r="C109" s="926"/>
      <c r="D109" s="927"/>
      <c r="E109" s="93">
        <f>VLOOKUP(A109,'Point Allocation'!$A$20:$J$41,MATCH(A7,'Point Allocation'!$A$20:$J$20,0),0)</f>
        <v>25</v>
      </c>
      <c r="F109" s="538"/>
      <c r="G109" s="539">
        <f>IFERROR(F109/$F$120,0)</f>
        <v>0</v>
      </c>
      <c r="H109" s="174">
        <f>E109*G109</f>
        <v>0</v>
      </c>
      <c r="Q109" s="52"/>
      <c r="R109" s="44"/>
    </row>
    <row r="110" spans="1:18" s="29" customFormat="1">
      <c r="A110" s="597">
        <v>4.4000000000000004</v>
      </c>
      <c r="B110" s="925" t="s">
        <v>320</v>
      </c>
      <c r="C110" s="926"/>
      <c r="D110" s="927"/>
      <c r="E110" s="93">
        <f>VLOOKUP(A110,'Point Allocation'!$A$20:$J$41,MATCH(A7,'Point Allocation'!$A$20:$J$20,0),0)</f>
        <v>22</v>
      </c>
      <c r="F110" s="538"/>
      <c r="G110" s="539">
        <f>IFERROR(F110/$F$120,0)</f>
        <v>0</v>
      </c>
      <c r="H110" s="174">
        <f>E110*G110</f>
        <v>0</v>
      </c>
      <c r="Q110" s="52"/>
      <c r="R110" s="44"/>
    </row>
    <row r="111" spans="1:18" s="29" customFormat="1" ht="15.6">
      <c r="A111" s="95" t="s">
        <v>281</v>
      </c>
      <c r="B111" s="95" t="s">
        <v>223</v>
      </c>
      <c r="C111" s="96"/>
      <c r="D111" s="97"/>
      <c r="E111" s="98"/>
      <c r="F111" s="99"/>
      <c r="G111" s="100"/>
      <c r="H111" s="615"/>
      <c r="Q111" s="52"/>
      <c r="R111" s="44"/>
    </row>
    <row r="112" spans="1:18" s="29" customFormat="1" ht="15.6">
      <c r="A112" s="82">
        <v>5</v>
      </c>
      <c r="B112" s="82" t="s">
        <v>224</v>
      </c>
      <c r="C112" s="89"/>
      <c r="D112" s="89"/>
      <c r="E112" s="91"/>
      <c r="F112" s="91"/>
      <c r="G112" s="92"/>
      <c r="H112" s="614"/>
      <c r="Q112" s="52"/>
      <c r="R112" s="44"/>
    </row>
    <row r="113" spans="1:18" s="29" customFormat="1">
      <c r="A113" s="597">
        <v>5.0999999999999996</v>
      </c>
      <c r="B113" s="822" t="s">
        <v>199</v>
      </c>
      <c r="C113" s="823"/>
      <c r="D113" s="824"/>
      <c r="E113" s="101">
        <f>VLOOKUP(A113,'Point Allocation'!$A$20:$J$41,MATCH(A7,'Point Allocation'!$A$20:$J$20,0),0)</f>
        <v>16</v>
      </c>
      <c r="F113" s="147"/>
      <c r="G113" s="539">
        <f>IFERROR(F113/$F$120,0)</f>
        <v>0</v>
      </c>
      <c r="H113" s="547">
        <f>E113*G113</f>
        <v>0</v>
      </c>
      <c r="Q113" s="52"/>
      <c r="R113" s="44"/>
    </row>
    <row r="114" spans="1:18" s="29" customFormat="1">
      <c r="A114" s="597">
        <v>5.2</v>
      </c>
      <c r="B114" s="822" t="s">
        <v>321</v>
      </c>
      <c r="C114" s="823"/>
      <c r="D114" s="824"/>
      <c r="E114" s="101">
        <f>VLOOKUP(A114,'Point Allocation'!$A$20:$J$41,MATCH(A7,'Point Allocation'!$A$20:$J$20,0),0)</f>
        <v>5</v>
      </c>
      <c r="F114" s="86"/>
      <c r="G114" s="539">
        <f>IFERROR(F114/$F$120,0)</f>
        <v>0</v>
      </c>
      <c r="H114" s="547">
        <f>E114*G114</f>
        <v>0</v>
      </c>
      <c r="Q114" s="52"/>
      <c r="R114" s="44"/>
    </row>
    <row r="115" spans="1:18" s="29" customFormat="1">
      <c r="A115" s="597">
        <v>5.3</v>
      </c>
      <c r="B115" s="822" t="s">
        <v>322</v>
      </c>
      <c r="C115" s="823"/>
      <c r="D115" s="824"/>
      <c r="E115" s="101">
        <f>VLOOKUP(A115,'Point Allocation'!$A$20:$J$41,MATCH(A7,'Point Allocation'!$A$20:$J$20,0),0)</f>
        <v>0</v>
      </c>
      <c r="F115" s="146"/>
      <c r="G115" s="539">
        <f>IFERROR(F115/$F$120,0)</f>
        <v>0</v>
      </c>
      <c r="H115" s="616">
        <f>E115*G115</f>
        <v>0</v>
      </c>
      <c r="Q115" s="52"/>
      <c r="R115" s="44"/>
    </row>
    <row r="116" spans="1:18" s="29" customFormat="1" ht="15.6">
      <c r="A116" s="102">
        <v>6</v>
      </c>
      <c r="B116" s="102" t="s">
        <v>202</v>
      </c>
      <c r="C116" s="89"/>
      <c r="D116" s="89"/>
      <c r="E116" s="91"/>
      <c r="F116" s="91"/>
      <c r="G116" s="92"/>
      <c r="H116" s="614"/>
      <c r="Q116" s="52"/>
      <c r="R116" s="44"/>
    </row>
    <row r="117" spans="1:18" s="29" customFormat="1">
      <c r="A117" s="386">
        <v>6.1</v>
      </c>
      <c r="B117" s="765"/>
      <c r="C117" s="766"/>
      <c r="D117" s="847"/>
      <c r="E117" s="538"/>
      <c r="F117" s="538"/>
      <c r="G117" s="539">
        <f>IFERROR(F117/$F$120,0)</f>
        <v>0</v>
      </c>
      <c r="H117" s="616">
        <f>E117*G117</f>
        <v>0</v>
      </c>
      <c r="Q117" s="52"/>
      <c r="R117" s="44"/>
    </row>
    <row r="118" spans="1:18" s="29" customFormat="1">
      <c r="A118" s="386">
        <v>6.2</v>
      </c>
      <c r="B118" s="765"/>
      <c r="C118" s="766"/>
      <c r="D118" s="847"/>
      <c r="E118" s="538"/>
      <c r="F118" s="538"/>
      <c r="G118" s="539">
        <f>IFERROR(F118/$F$120,0)</f>
        <v>0</v>
      </c>
      <c r="H118" s="616">
        <f>E118*G118</f>
        <v>0</v>
      </c>
      <c r="Q118" s="52"/>
      <c r="R118" s="44"/>
    </row>
    <row r="119" spans="1:18" s="29" customFormat="1">
      <c r="A119" s="386">
        <v>6.3</v>
      </c>
      <c r="B119" s="920"/>
      <c r="C119" s="920"/>
      <c r="D119" s="920"/>
      <c r="E119" s="538"/>
      <c r="F119" s="538"/>
      <c r="G119" s="539">
        <f>IFERROR(F119/$F$120,0)</f>
        <v>0</v>
      </c>
      <c r="H119" s="616">
        <f>E119*G119</f>
        <v>0</v>
      </c>
      <c r="Q119" s="52"/>
      <c r="R119" s="44"/>
    </row>
    <row r="120" spans="1:18" s="29" customFormat="1" ht="15.6">
      <c r="A120" s="604"/>
      <c r="B120" s="307"/>
      <c r="C120" s="305"/>
      <c r="D120" s="305"/>
      <c r="E120" s="312" t="s">
        <v>61</v>
      </c>
      <c r="F120" s="315">
        <f>SUM(F96:F119)+E19</f>
        <v>0</v>
      </c>
      <c r="G120" s="316">
        <f>SUM(G96:G119)+F19</f>
        <v>0</v>
      </c>
      <c r="H120" s="617">
        <f>IFERROR(SUM(H96:H119),0)</f>
        <v>0</v>
      </c>
      <c r="Q120" s="52"/>
      <c r="R120" s="44"/>
    </row>
    <row r="121" spans="1:18" s="29" customFormat="1" ht="15.6" thickBot="1">
      <c r="A121" s="594"/>
      <c r="B121" s="361"/>
      <c r="C121" s="362"/>
      <c r="D121" s="362"/>
      <c r="E121" s="362"/>
      <c r="F121" s="362"/>
      <c r="G121" s="354"/>
      <c r="H121" s="595"/>
      <c r="Q121" s="52"/>
      <c r="R121" s="44"/>
    </row>
    <row r="122" spans="1:18" s="29" customFormat="1" ht="31.2">
      <c r="A122" s="618" t="s">
        <v>0</v>
      </c>
      <c r="B122" s="458"/>
      <c r="C122" s="458"/>
      <c r="D122" s="549" t="s">
        <v>17</v>
      </c>
      <c r="E122" s="459" t="s">
        <v>80</v>
      </c>
      <c r="F122" s="460" t="s">
        <v>301</v>
      </c>
      <c r="G122" s="460" t="s">
        <v>302</v>
      </c>
      <c r="H122" s="549" t="s">
        <v>52</v>
      </c>
      <c r="Q122" s="52"/>
      <c r="R122" s="44"/>
    </row>
    <row r="123" spans="1:18" s="29" customFormat="1" ht="15.6">
      <c r="A123" s="79" t="s">
        <v>225</v>
      </c>
      <c r="B123" s="79" t="s">
        <v>299</v>
      </c>
      <c r="C123" s="80"/>
      <c r="D123" s="81"/>
      <c r="E123" s="81"/>
      <c r="F123" s="81"/>
      <c r="G123" s="81"/>
      <c r="H123" s="610"/>
      <c r="Q123" s="52"/>
      <c r="R123" s="44"/>
    </row>
    <row r="124" spans="1:18" s="29" customFormat="1" ht="15.6">
      <c r="A124" s="82">
        <v>7</v>
      </c>
      <c r="B124" s="82" t="s">
        <v>304</v>
      </c>
      <c r="C124" s="83"/>
      <c r="D124" s="84"/>
      <c r="E124" s="84"/>
      <c r="F124" s="84"/>
      <c r="G124" s="84"/>
      <c r="H124" s="611"/>
      <c r="Q124" s="52"/>
      <c r="R124" s="44"/>
    </row>
    <row r="125" spans="1:18" s="29" customFormat="1" ht="15" customHeight="1">
      <c r="A125" s="543">
        <v>7.1</v>
      </c>
      <c r="B125" s="858" t="s">
        <v>271</v>
      </c>
      <c r="C125" s="840"/>
      <c r="D125" s="94">
        <f>VLOOKUP(A125,'Point Allocation'!$A$20:$J$41,MATCH(A7,'Point Allocation'!$A$20:$J$20,0),0)</f>
        <v>10</v>
      </c>
      <c r="E125" s="85">
        <f>F96</f>
        <v>0</v>
      </c>
      <c r="F125" s="85">
        <f>F32</f>
        <v>0</v>
      </c>
      <c r="G125" s="87">
        <f>IFERROR(SUM(E125:F125)/SUM($E$143:$F$143),0)</f>
        <v>0</v>
      </c>
      <c r="H125" s="612">
        <f>D125*G125</f>
        <v>0</v>
      </c>
      <c r="Q125" s="52"/>
      <c r="R125" s="44"/>
    </row>
    <row r="126" spans="1:18" s="29" customFormat="1" ht="15.6">
      <c r="A126" s="88">
        <v>8</v>
      </c>
      <c r="B126" s="88" t="s">
        <v>305</v>
      </c>
      <c r="C126" s="89"/>
      <c r="D126" s="90"/>
      <c r="E126" s="91"/>
      <c r="F126" s="91"/>
      <c r="G126" s="92"/>
      <c r="H126" s="613"/>
      <c r="Q126" s="52"/>
      <c r="R126" s="44"/>
    </row>
    <row r="127" spans="1:18" s="29" customFormat="1">
      <c r="A127" s="814">
        <v>8.1</v>
      </c>
      <c r="B127" s="822" t="s">
        <v>303</v>
      </c>
      <c r="C127" s="824"/>
      <c r="D127" s="921">
        <f>VLOOKUP(A127,'Point Allocation'!$A$20:$J$41,MATCH(A7,'Point Allocation'!$A$20:$J$20,0),0)</f>
        <v>8</v>
      </c>
      <c r="E127" s="945">
        <f>F98</f>
        <v>0</v>
      </c>
      <c r="F127" s="946"/>
      <c r="G127" s="983">
        <f>IFERROR(SUM(E127:F128)/SUM($E$143:$F$143),0)</f>
        <v>0</v>
      </c>
      <c r="H127" s="819">
        <f>D127*G127</f>
        <v>0</v>
      </c>
      <c r="Q127" s="52"/>
      <c r="R127" s="44"/>
    </row>
    <row r="128" spans="1:18" s="29" customFormat="1" ht="15.6">
      <c r="A128" s="815"/>
      <c r="B128" s="816" t="s">
        <v>119</v>
      </c>
      <c r="C128" s="818"/>
      <c r="D128" s="922"/>
      <c r="E128" s="945"/>
      <c r="F128" s="946"/>
      <c r="G128" s="984"/>
      <c r="H128" s="819"/>
      <c r="Q128" s="52"/>
      <c r="R128" s="44"/>
    </row>
    <row r="129" spans="1:18" s="29" customFormat="1">
      <c r="A129" s="543">
        <v>8.1999999999999993</v>
      </c>
      <c r="B129" s="825" t="s">
        <v>606</v>
      </c>
      <c r="C129" s="827"/>
      <c r="D129" s="94">
        <f>VLOOKUP(A129,'Point Allocation'!$A$20:$J$41,MATCH(A7,'Point Allocation'!$A$20:$J$20,0),0)</f>
        <v>8</v>
      </c>
      <c r="E129" s="174">
        <f>F100</f>
        <v>0</v>
      </c>
      <c r="F129" s="555"/>
      <c r="G129" s="87">
        <f>IFERROR(SUM(E129:F129)/SUM($E$143:$F$143),0)</f>
        <v>0</v>
      </c>
      <c r="H129" s="94">
        <f>D129*G129</f>
        <v>0</v>
      </c>
      <c r="Q129" s="52"/>
      <c r="R129" s="44"/>
    </row>
    <row r="130" spans="1:18" s="29" customFormat="1" ht="15.6">
      <c r="A130" s="82">
        <v>9</v>
      </c>
      <c r="B130" s="82" t="s">
        <v>306</v>
      </c>
      <c r="C130" s="89"/>
      <c r="D130" s="91"/>
      <c r="E130" s="91"/>
      <c r="F130" s="91"/>
      <c r="G130" s="92"/>
      <c r="H130" s="614"/>
      <c r="Q130" s="52"/>
      <c r="R130" s="44"/>
    </row>
    <row r="131" spans="1:18" s="29" customFormat="1">
      <c r="A131" s="814">
        <v>9.1</v>
      </c>
      <c r="B131" s="822" t="s">
        <v>339</v>
      </c>
      <c r="C131" s="824"/>
      <c r="D131" s="921">
        <f>VLOOKUP(A131,'Point Allocation'!$A$20:$J$41,MATCH(A7,'Point Allocation'!$A$20:$J$20,0),0)</f>
        <v>6</v>
      </c>
      <c r="E131" s="946"/>
      <c r="F131" s="946"/>
      <c r="G131" s="821">
        <f>IFERROR(SUM(E131:F132)/SUM($E$143:$F$143),0)</f>
        <v>0</v>
      </c>
      <c r="H131" s="819">
        <f>D131*G131</f>
        <v>0</v>
      </c>
      <c r="Q131" s="52"/>
      <c r="R131" s="44"/>
    </row>
    <row r="132" spans="1:18" s="29" customFormat="1" ht="15.6">
      <c r="A132" s="815"/>
      <c r="B132" s="816" t="s">
        <v>5</v>
      </c>
      <c r="C132" s="818"/>
      <c r="D132" s="922"/>
      <c r="E132" s="946"/>
      <c r="F132" s="946"/>
      <c r="G132" s="821"/>
      <c r="H132" s="819"/>
      <c r="Q132" s="52"/>
      <c r="R132" s="44"/>
    </row>
    <row r="133" spans="1:18" s="29" customFormat="1" ht="15.6">
      <c r="A133" s="82">
        <v>10</v>
      </c>
      <c r="B133" s="82" t="s">
        <v>308</v>
      </c>
      <c r="C133" s="89"/>
      <c r="D133" s="91"/>
      <c r="E133" s="91"/>
      <c r="F133" s="91"/>
      <c r="G133" s="92"/>
      <c r="H133" s="614"/>
      <c r="Q133" s="52"/>
      <c r="R133" s="44"/>
    </row>
    <row r="134" spans="1:18" s="29" customFormat="1" ht="15" customHeight="1">
      <c r="A134" s="541">
        <v>10.1</v>
      </c>
      <c r="B134" s="822" t="s">
        <v>340</v>
      </c>
      <c r="C134" s="824"/>
      <c r="D134" s="94">
        <f>VLOOKUP(A134,'Point Allocation'!$A$20:$J$41,MATCH(A7,'Point Allocation'!$A$20:$J$20,0),0)</f>
        <v>4</v>
      </c>
      <c r="E134" s="555"/>
      <c r="F134" s="555"/>
      <c r="G134" s="87">
        <f>IFERROR(SUM(E134:F134)/SUM($E$143:$F$143),0)</f>
        <v>0</v>
      </c>
      <c r="H134" s="94">
        <f>D134*G134</f>
        <v>0</v>
      </c>
      <c r="Q134" s="52"/>
      <c r="R134" s="44"/>
    </row>
    <row r="135" spans="1:18" s="29" customFormat="1" ht="32.25" customHeight="1">
      <c r="A135" s="589">
        <v>10.199999999999999</v>
      </c>
      <c r="B135" s="825" t="s">
        <v>318</v>
      </c>
      <c r="C135" s="827"/>
      <c r="D135" s="94">
        <f>VLOOKUP(A135,'Point Allocation'!$A$20:$J$41,MATCH(A7,'Point Allocation'!$A$20:$J$20,0),0)</f>
        <v>4</v>
      </c>
      <c r="E135" s="173"/>
      <c r="F135" s="555"/>
      <c r="G135" s="539">
        <f>IFERROR(SUM(E135:F135)/SUM($E$143:$F$143),0)</f>
        <v>0</v>
      </c>
      <c r="H135" s="94">
        <f>D135*G135</f>
        <v>0</v>
      </c>
      <c r="Q135" s="52"/>
      <c r="R135" s="44"/>
    </row>
    <row r="136" spans="1:18" s="29" customFormat="1" ht="15.6">
      <c r="A136" s="95" t="s">
        <v>226</v>
      </c>
      <c r="B136" s="95" t="s">
        <v>248</v>
      </c>
      <c r="C136" s="96"/>
      <c r="D136" s="98"/>
      <c r="E136" s="99"/>
      <c r="F136" s="99"/>
      <c r="G136" s="100"/>
      <c r="H136" s="615"/>
      <c r="Q136" s="52"/>
      <c r="R136" s="44"/>
    </row>
    <row r="137" spans="1:18" s="29" customFormat="1" ht="15.6">
      <c r="A137" s="82">
        <v>11</v>
      </c>
      <c r="B137" s="82" t="s">
        <v>249</v>
      </c>
      <c r="C137" s="89"/>
      <c r="D137" s="91"/>
      <c r="E137" s="91"/>
      <c r="F137" s="91"/>
      <c r="G137" s="92"/>
      <c r="H137" s="614"/>
      <c r="Q137" s="52"/>
      <c r="R137" s="44"/>
    </row>
    <row r="138" spans="1:18" s="29" customFormat="1">
      <c r="A138" s="541">
        <v>11.1</v>
      </c>
      <c r="B138" s="822" t="s">
        <v>642</v>
      </c>
      <c r="C138" s="824"/>
      <c r="D138" s="94">
        <f>VLOOKUP(A138,'Point Allocation'!$A$20:$J$41,MATCH(A7,'Point Allocation'!$A$20:$J$20,0),0)</f>
        <v>2</v>
      </c>
      <c r="E138" s="555"/>
      <c r="F138" s="555"/>
      <c r="G138" s="539">
        <f>IFERROR(SUM(E138:F138)/SUM($E$143:$F$143),0)</f>
        <v>0</v>
      </c>
      <c r="H138" s="94">
        <f t="shared" ref="H138:H142" si="2">D138*G138</f>
        <v>0</v>
      </c>
      <c r="Q138" s="52"/>
      <c r="R138" s="44"/>
    </row>
    <row r="139" spans="1:18" s="29" customFormat="1">
      <c r="A139" s="619">
        <v>11.2</v>
      </c>
      <c r="B139" s="848" t="s">
        <v>310</v>
      </c>
      <c r="C139" s="849"/>
      <c r="D139" s="174">
        <f>VLOOKUP(A138,'Point Allocation'!$A$20:$J$41,MATCH(A7,'Point Allocation'!$A$20:$J$20,0),0)</f>
        <v>2</v>
      </c>
      <c r="E139" s="555"/>
      <c r="F139" s="555"/>
      <c r="G139" s="539">
        <f>IFERROR(SUM(E139:F139)/SUM($E$143:$F$143),0)</f>
        <v>0</v>
      </c>
      <c r="H139" s="94">
        <f t="shared" si="2"/>
        <v>0</v>
      </c>
      <c r="Q139" s="52"/>
      <c r="R139" s="44"/>
    </row>
    <row r="140" spans="1:18" s="29" customFormat="1">
      <c r="A140" s="541">
        <v>11.3</v>
      </c>
      <c r="B140" s="848" t="s">
        <v>317</v>
      </c>
      <c r="C140" s="849"/>
      <c r="D140" s="94">
        <f>VLOOKUP(A140,'Point Allocation'!$A$20:$J$41,MATCH(A7,'Point Allocation'!$A$20:$J$20,0),0)</f>
        <v>0</v>
      </c>
      <c r="E140" s="555"/>
      <c r="F140" s="555"/>
      <c r="G140" s="539">
        <f>IFERROR(SUM(E140:F140)/SUM($E$143:$F$143),0)</f>
        <v>0</v>
      </c>
      <c r="H140" s="94">
        <f t="shared" si="2"/>
        <v>0</v>
      </c>
      <c r="Q140" s="52"/>
      <c r="R140" s="44"/>
    </row>
    <row r="141" spans="1:18" s="29" customFormat="1">
      <c r="A141" s="620">
        <v>11.4</v>
      </c>
      <c r="B141" s="968"/>
      <c r="C141" s="969"/>
      <c r="D141" s="538"/>
      <c r="E141" s="555"/>
      <c r="F141" s="555"/>
      <c r="G141" s="539">
        <f>IFERROR(SUM(E141:F141)/SUM($E$143:$F$143),0)</f>
        <v>0</v>
      </c>
      <c r="H141" s="94">
        <f t="shared" si="2"/>
        <v>0</v>
      </c>
      <c r="Q141" s="52"/>
      <c r="R141" s="44"/>
    </row>
    <row r="142" spans="1:18" s="29" customFormat="1">
      <c r="A142" s="620">
        <v>11.5</v>
      </c>
      <c r="B142" s="968"/>
      <c r="C142" s="969"/>
      <c r="D142" s="538"/>
      <c r="E142" s="555"/>
      <c r="F142" s="555"/>
      <c r="G142" s="539">
        <f>IFERROR(SUM(E142:F142)/SUM($E$143:$F$143),0)</f>
        <v>0</v>
      </c>
      <c r="H142" s="94">
        <f t="shared" si="2"/>
        <v>0</v>
      </c>
      <c r="Q142" s="52"/>
      <c r="R142" s="44"/>
    </row>
    <row r="143" spans="1:18" s="29" customFormat="1" ht="15.6">
      <c r="A143" s="592"/>
      <c r="B143" s="307"/>
      <c r="C143" s="305"/>
      <c r="D143" s="312" t="s">
        <v>131</v>
      </c>
      <c r="E143" s="315">
        <f>SUM(E125:E142)</f>
        <v>0</v>
      </c>
      <c r="F143" s="317">
        <f>SUM(F125:F142)</f>
        <v>0</v>
      </c>
      <c r="G143" s="318">
        <f>SUM(G125:G142)</f>
        <v>0</v>
      </c>
      <c r="H143" s="621">
        <f>IFERROR(SUM(H125:H142),0)</f>
        <v>0</v>
      </c>
      <c r="Q143" s="52"/>
      <c r="R143" s="44"/>
    </row>
    <row r="144" spans="1:18" s="29" customFormat="1">
      <c r="A144" s="622"/>
      <c r="B144" s="307"/>
      <c r="C144" s="305"/>
      <c r="D144" s="305"/>
      <c r="E144" s="305"/>
      <c r="F144" s="305"/>
      <c r="G144" s="314"/>
      <c r="H144" s="571"/>
      <c r="Q144" s="52"/>
      <c r="R144" s="44"/>
    </row>
    <row r="145" spans="1:18" s="29" customFormat="1" ht="46.8">
      <c r="A145" s="970" t="s">
        <v>0</v>
      </c>
      <c r="B145" s="971"/>
      <c r="C145" s="163"/>
      <c r="D145" s="550" t="s">
        <v>57</v>
      </c>
      <c r="E145" s="550" t="s">
        <v>58</v>
      </c>
      <c r="F145" s="956" t="s">
        <v>59</v>
      </c>
      <c r="G145" s="956"/>
      <c r="H145" s="623" t="s">
        <v>62</v>
      </c>
      <c r="J145" s="103" t="s">
        <v>71</v>
      </c>
      <c r="K145" s="103">
        <v>1</v>
      </c>
      <c r="L145" s="103">
        <v>2</v>
      </c>
      <c r="M145" s="103">
        <v>3</v>
      </c>
      <c r="N145" s="103">
        <v>4</v>
      </c>
      <c r="O145" s="103">
        <v>5</v>
      </c>
      <c r="P145" s="103">
        <v>6</v>
      </c>
      <c r="Q145" s="52"/>
      <c r="R145" s="44"/>
    </row>
    <row r="146" spans="1:18" s="29" customFormat="1" ht="15.6">
      <c r="A146" s="126" t="s">
        <v>227</v>
      </c>
      <c r="B146" s="126" t="s">
        <v>139</v>
      </c>
      <c r="C146" s="162"/>
      <c r="D146" s="56"/>
      <c r="E146" s="56"/>
      <c r="F146" s="57"/>
      <c r="G146" s="104"/>
      <c r="H146" s="624"/>
      <c r="J146" s="103" t="s">
        <v>73</v>
      </c>
      <c r="K146" s="103" t="s">
        <v>72</v>
      </c>
      <c r="L146" s="103">
        <v>1</v>
      </c>
      <c r="M146" s="103">
        <v>2</v>
      </c>
      <c r="N146" s="103">
        <v>3</v>
      </c>
      <c r="O146" s="103">
        <v>4</v>
      </c>
      <c r="P146" s="103">
        <v>4</v>
      </c>
      <c r="Q146" s="52"/>
      <c r="R146" s="44"/>
    </row>
    <row r="147" spans="1:18" s="29" customFormat="1">
      <c r="A147" s="625" t="s">
        <v>228</v>
      </c>
      <c r="B147" s="386" t="s">
        <v>394</v>
      </c>
      <c r="C147" s="164" t="s">
        <v>55</v>
      </c>
      <c r="D147" s="820"/>
      <c r="E147" s="820"/>
      <c r="F147" s="949" t="str">
        <f>IF(D147&gt;9,D147/E147," ")</f>
        <v xml:space="preserve"> </v>
      </c>
      <c r="G147" s="949"/>
      <c r="H147" s="94">
        <f>IF(D147="",0,IF(D147&lt;9,2,IF((D147/E147)=0,2,IF((D147/E147)&lt;10%,1.5,IF((D147/E147)&lt;15%,1,IF((D147/E147)&lt;20%,0.5,0))))))</f>
        <v>0</v>
      </c>
      <c r="J147" s="103" t="s">
        <v>74</v>
      </c>
      <c r="K147" s="103" t="s">
        <v>72</v>
      </c>
      <c r="L147" s="103">
        <v>5</v>
      </c>
      <c r="M147" s="103">
        <v>15</v>
      </c>
      <c r="N147" s="103">
        <v>25</v>
      </c>
      <c r="O147" s="103">
        <v>35</v>
      </c>
      <c r="P147" s="103">
        <v>35</v>
      </c>
      <c r="Q147" s="52"/>
      <c r="R147" s="44"/>
    </row>
    <row r="148" spans="1:18" s="29" customFormat="1">
      <c r="A148" s="625" t="s">
        <v>229</v>
      </c>
      <c r="B148" s="386" t="s">
        <v>395</v>
      </c>
      <c r="C148" s="164" t="s">
        <v>56</v>
      </c>
      <c r="D148" s="820"/>
      <c r="E148" s="820"/>
      <c r="F148" s="950"/>
      <c r="G148" s="950"/>
      <c r="H148" s="94">
        <f>IF(E147="",0,IF(E147&lt;15,HLOOKUP(F148,J145:P152,4,FALSE),IF(E147&lt;45,HLOOKUP(F148,J145:P152,5,FALSE),IF(E147&lt;90,HLOOKUP(F148,J145:P152,6,FALSE),IF(E147&lt;135,HLOOKUP(F148,J145:P152,7,FALSE),IF(E147&gt;=135,HLOOKUP(F148,J145:P152,8,FALSE),3))))))</f>
        <v>0</v>
      </c>
      <c r="I148" s="54"/>
      <c r="J148" s="103" t="s">
        <v>75</v>
      </c>
      <c r="K148" s="103">
        <v>3</v>
      </c>
      <c r="L148" s="103">
        <v>3</v>
      </c>
      <c r="M148" s="103">
        <v>3</v>
      </c>
      <c r="N148" s="103">
        <v>2.5</v>
      </c>
      <c r="O148" s="103">
        <v>1.5</v>
      </c>
      <c r="P148" s="103">
        <v>0</v>
      </c>
      <c r="Q148" s="52"/>
      <c r="R148" s="44"/>
    </row>
    <row r="149" spans="1:18" s="29" customFormat="1">
      <c r="A149" s="592"/>
      <c r="B149" s="307"/>
      <c r="C149" s="314"/>
      <c r="D149" s="319"/>
      <c r="E149" s="319"/>
      <c r="F149" s="319"/>
      <c r="G149" s="319"/>
      <c r="H149" s="626"/>
      <c r="I149" s="54"/>
      <c r="J149" s="103" t="s">
        <v>76</v>
      </c>
      <c r="K149" s="103">
        <v>3</v>
      </c>
      <c r="L149" s="103">
        <v>3</v>
      </c>
      <c r="M149" s="103">
        <v>2.5</v>
      </c>
      <c r="N149" s="103">
        <v>1.5</v>
      </c>
      <c r="O149" s="103">
        <v>1</v>
      </c>
      <c r="P149" s="103">
        <v>0</v>
      </c>
      <c r="Q149" s="52"/>
      <c r="R149" s="44"/>
    </row>
    <row r="150" spans="1:18" s="29" customFormat="1" ht="15.6">
      <c r="A150" s="592"/>
      <c r="B150" s="320"/>
      <c r="C150" s="314"/>
      <c r="D150" s="314"/>
      <c r="E150" s="314"/>
      <c r="F150" s="305"/>
      <c r="G150" s="321"/>
      <c r="H150" s="627"/>
      <c r="I150" s="54"/>
      <c r="J150" s="103" t="s">
        <v>77</v>
      </c>
      <c r="K150" s="103">
        <v>3</v>
      </c>
      <c r="L150" s="103">
        <v>2.5</v>
      </c>
      <c r="M150" s="103">
        <v>1.5</v>
      </c>
      <c r="N150" s="103">
        <v>1</v>
      </c>
      <c r="O150" s="103">
        <v>0</v>
      </c>
      <c r="P150" s="103">
        <v>0</v>
      </c>
      <c r="Q150" s="52"/>
      <c r="R150" s="44"/>
    </row>
    <row r="151" spans="1:18" s="29" customFormat="1" ht="15.75" customHeight="1">
      <c r="A151" s="972" t="s">
        <v>0</v>
      </c>
      <c r="B151" s="973"/>
      <c r="C151" s="888"/>
      <c r="D151" s="974" t="s">
        <v>4</v>
      </c>
      <c r="E151" s="951" t="s">
        <v>1</v>
      </c>
      <c r="F151" s="952"/>
      <c r="G151" s="953" t="s">
        <v>21</v>
      </c>
      <c r="H151" s="947" t="s">
        <v>62</v>
      </c>
      <c r="I151" s="54"/>
      <c r="J151" s="103" t="s">
        <v>78</v>
      </c>
      <c r="K151" s="103">
        <v>3</v>
      </c>
      <c r="L151" s="103">
        <v>1.5</v>
      </c>
      <c r="M151" s="103">
        <v>1</v>
      </c>
      <c r="N151" s="103">
        <v>0</v>
      </c>
      <c r="O151" s="103">
        <v>0</v>
      </c>
      <c r="P151" s="103">
        <v>0</v>
      </c>
      <c r="Q151" s="52"/>
      <c r="R151" s="44"/>
    </row>
    <row r="152" spans="1:18" s="29" customFormat="1" ht="30" customHeight="1">
      <c r="A152" s="867"/>
      <c r="B152" s="868"/>
      <c r="C152" s="870"/>
      <c r="D152" s="952"/>
      <c r="E152" s="550" t="s">
        <v>64</v>
      </c>
      <c r="F152" s="550" t="s">
        <v>65</v>
      </c>
      <c r="G152" s="954"/>
      <c r="H152" s="948"/>
      <c r="I152" s="54"/>
      <c r="J152" s="103" t="s">
        <v>79</v>
      </c>
      <c r="K152" s="103">
        <v>3</v>
      </c>
      <c r="L152" s="103">
        <v>1</v>
      </c>
      <c r="M152" s="103">
        <v>0</v>
      </c>
      <c r="N152" s="103">
        <v>0</v>
      </c>
      <c r="O152" s="103">
        <v>0</v>
      </c>
      <c r="P152" s="103">
        <v>0</v>
      </c>
      <c r="Q152" s="52"/>
      <c r="R152" s="44"/>
    </row>
    <row r="153" spans="1:18" s="29" customFormat="1" ht="15.6">
      <c r="A153" s="105" t="s">
        <v>230</v>
      </c>
      <c r="B153" s="105" t="s">
        <v>516</v>
      </c>
      <c r="C153" s="106"/>
      <c r="D153" s="106"/>
      <c r="E153" s="106"/>
      <c r="F153" s="110"/>
      <c r="G153" s="111"/>
      <c r="H153" s="628"/>
      <c r="J153" s="103" t="s">
        <v>73</v>
      </c>
      <c r="K153" s="103" t="s">
        <v>72</v>
      </c>
      <c r="L153" s="103">
        <v>1</v>
      </c>
      <c r="M153" s="103">
        <v>2</v>
      </c>
      <c r="N153" s="103">
        <v>3</v>
      </c>
      <c r="O153" s="103">
        <v>4</v>
      </c>
      <c r="P153" s="103">
        <v>4</v>
      </c>
      <c r="Q153" s="52"/>
      <c r="R153" s="44"/>
    </row>
    <row r="154" spans="1:18" s="29" customFormat="1" ht="15.6">
      <c r="A154" s="149" t="s">
        <v>231</v>
      </c>
      <c r="B154" s="149" t="s">
        <v>517</v>
      </c>
      <c r="C154" s="150"/>
      <c r="D154" s="151"/>
      <c r="E154" s="152"/>
      <c r="F154" s="152"/>
      <c r="G154" s="153"/>
      <c r="H154" s="629"/>
      <c r="I154" s="54"/>
      <c r="Q154" s="52"/>
      <c r="R154" s="44"/>
    </row>
    <row r="155" spans="1:18" s="29" customFormat="1">
      <c r="A155" s="630" t="s">
        <v>232</v>
      </c>
      <c r="B155" s="825" t="s">
        <v>612</v>
      </c>
      <c r="C155" s="827"/>
      <c r="D155" s="522" t="s">
        <v>50</v>
      </c>
      <c r="E155" s="523">
        <v>2</v>
      </c>
      <c r="F155" s="523">
        <v>3</v>
      </c>
      <c r="G155" s="27"/>
      <c r="H155" s="434">
        <f t="shared" ref="H155:H166" si="3">IF(G155&gt;=80%,F155,IF(G155&lt;65%,0,E155))</f>
        <v>0</v>
      </c>
      <c r="Q155" s="52"/>
      <c r="R155" s="44"/>
    </row>
    <row r="156" spans="1:18" s="29" customFormat="1">
      <c r="A156" s="630" t="s">
        <v>233</v>
      </c>
      <c r="B156" s="917" t="s">
        <v>613</v>
      </c>
      <c r="C156" s="843"/>
      <c r="D156" s="483" t="s">
        <v>50</v>
      </c>
      <c r="E156" s="434">
        <v>2</v>
      </c>
      <c r="F156" s="434">
        <v>3</v>
      </c>
      <c r="G156" s="553"/>
      <c r="H156" s="434">
        <f>IF(G156&gt;=80%,F156,IF(G156&lt;65%,0,E156))</f>
        <v>0</v>
      </c>
      <c r="Q156" s="52"/>
      <c r="R156" s="44"/>
    </row>
    <row r="157" spans="1:18" s="29" customFormat="1">
      <c r="A157" s="631" t="s">
        <v>234</v>
      </c>
      <c r="B157" s="917" t="s">
        <v>563</v>
      </c>
      <c r="C157" s="843"/>
      <c r="D157" s="524" t="s">
        <v>50</v>
      </c>
      <c r="E157" s="554">
        <v>2</v>
      </c>
      <c r="F157" s="434">
        <v>2.5</v>
      </c>
      <c r="G157" s="551"/>
      <c r="H157" s="434">
        <f t="shared" ref="H157" si="4">IF(G157&gt;=80%,F157,IF(G157&lt;65%,0,E157))</f>
        <v>0</v>
      </c>
      <c r="Q157" s="52"/>
      <c r="R157" s="44"/>
    </row>
    <row r="158" spans="1:18" s="29" customFormat="1">
      <c r="A158" s="631" t="s">
        <v>235</v>
      </c>
      <c r="B158" s="917" t="s">
        <v>623</v>
      </c>
      <c r="C158" s="843"/>
      <c r="D158" s="524" t="s">
        <v>50</v>
      </c>
      <c r="E158" s="554">
        <v>2</v>
      </c>
      <c r="F158" s="434">
        <v>2.5</v>
      </c>
      <c r="G158" s="551"/>
      <c r="H158" s="434">
        <f>IF(G158&gt;=80%,F158,IF(G158&lt;65%,0,E158))</f>
        <v>0</v>
      </c>
      <c r="Q158" s="52"/>
      <c r="R158" s="44"/>
    </row>
    <row r="159" spans="1:18" s="29" customFormat="1">
      <c r="A159" s="630" t="s">
        <v>371</v>
      </c>
      <c r="B159" s="875" t="s">
        <v>379</v>
      </c>
      <c r="C159" s="876"/>
      <c r="D159" s="530" t="s">
        <v>50</v>
      </c>
      <c r="E159" s="523">
        <v>2</v>
      </c>
      <c r="F159" s="523">
        <v>2.5</v>
      </c>
      <c r="G159" s="529"/>
      <c r="H159" s="434">
        <f>IF(G159&gt;=80%,F159,IF(G159&lt;65%,0,E159))</f>
        <v>0</v>
      </c>
      <c r="Q159" s="52"/>
      <c r="R159" s="44"/>
    </row>
    <row r="160" spans="1:18" s="29" customFormat="1" ht="30">
      <c r="A160" s="871" t="s">
        <v>519</v>
      </c>
      <c r="B160" s="873" t="s">
        <v>397</v>
      </c>
      <c r="C160" s="940"/>
      <c r="D160" s="524" t="s">
        <v>402</v>
      </c>
      <c r="E160" s="964">
        <v>2.5</v>
      </c>
      <c r="F160" s="965"/>
      <c r="G160" s="933"/>
      <c r="H160" s="931">
        <f>IF(G160&gt;=35,E161,IF(G160&gt;=30,E160,0))</f>
        <v>0</v>
      </c>
      <c r="Q160" s="52"/>
      <c r="R160" s="44"/>
    </row>
    <row r="161" spans="1:18" s="29" customFormat="1" ht="30">
      <c r="A161" s="872"/>
      <c r="B161" s="941"/>
      <c r="C161" s="942"/>
      <c r="D161" s="524" t="s">
        <v>396</v>
      </c>
      <c r="E161" s="964">
        <v>3</v>
      </c>
      <c r="F161" s="965"/>
      <c r="G161" s="934"/>
      <c r="H161" s="932"/>
      <c r="Q161" s="52"/>
      <c r="R161" s="44"/>
    </row>
    <row r="162" spans="1:18" s="29" customFormat="1" ht="31.5" customHeight="1">
      <c r="A162" s="871" t="s">
        <v>520</v>
      </c>
      <c r="B162" s="873" t="s">
        <v>398</v>
      </c>
      <c r="C162" s="874"/>
      <c r="D162" s="524" t="s">
        <v>333</v>
      </c>
      <c r="E162" s="962">
        <v>4</v>
      </c>
      <c r="F162" s="963"/>
      <c r="G162" s="933"/>
      <c r="H162" s="931">
        <f>IF(G162&gt;=80,E162,IF(G162&gt;=70,E163,IF(G162&gt;=60,E164,IF(G162&gt;=50,E165,0))))</f>
        <v>0</v>
      </c>
      <c r="Q162" s="52"/>
      <c r="R162" s="44"/>
    </row>
    <row r="163" spans="1:18" s="29" customFormat="1" ht="31.5" customHeight="1">
      <c r="A163" s="975"/>
      <c r="B163" s="929"/>
      <c r="C163" s="930"/>
      <c r="D163" s="524" t="s">
        <v>334</v>
      </c>
      <c r="E163" s="962">
        <v>3</v>
      </c>
      <c r="F163" s="963"/>
      <c r="G163" s="935"/>
      <c r="H163" s="936"/>
      <c r="Q163" s="52"/>
      <c r="R163" s="44"/>
    </row>
    <row r="164" spans="1:18" s="29" customFormat="1" ht="31.5" customHeight="1">
      <c r="A164" s="975"/>
      <c r="B164" s="929"/>
      <c r="C164" s="930"/>
      <c r="D164" s="524" t="s">
        <v>368</v>
      </c>
      <c r="E164" s="962">
        <v>2</v>
      </c>
      <c r="F164" s="963"/>
      <c r="G164" s="935"/>
      <c r="H164" s="936"/>
      <c r="Q164" s="52"/>
      <c r="R164" s="44"/>
    </row>
    <row r="165" spans="1:18" s="29" customFormat="1" ht="31.5" customHeight="1">
      <c r="A165" s="872"/>
      <c r="B165" s="875"/>
      <c r="C165" s="876"/>
      <c r="D165" s="524" t="s">
        <v>369</v>
      </c>
      <c r="E165" s="962">
        <v>1</v>
      </c>
      <c r="F165" s="963"/>
      <c r="G165" s="934"/>
      <c r="H165" s="932"/>
      <c r="Q165" s="52"/>
      <c r="R165" s="44"/>
    </row>
    <row r="166" spans="1:18" s="29" customFormat="1" ht="31.5" customHeight="1">
      <c r="A166" s="871" t="s">
        <v>643</v>
      </c>
      <c r="B166" s="873" t="s">
        <v>614</v>
      </c>
      <c r="C166" s="874"/>
      <c r="D166" s="524" t="s">
        <v>66</v>
      </c>
      <c r="E166" s="525">
        <v>3.5</v>
      </c>
      <c r="F166" s="525">
        <v>4</v>
      </c>
      <c r="G166" s="27"/>
      <c r="H166" s="434">
        <f t="shared" si="3"/>
        <v>0</v>
      </c>
      <c r="Q166" s="52"/>
      <c r="R166" s="44"/>
    </row>
    <row r="167" spans="1:18" s="29" customFormat="1" ht="30">
      <c r="A167" s="872"/>
      <c r="B167" s="875"/>
      <c r="C167" s="876"/>
      <c r="D167" s="524" t="s">
        <v>67</v>
      </c>
      <c r="E167" s="525" t="s">
        <v>49</v>
      </c>
      <c r="F167" s="525">
        <v>3</v>
      </c>
      <c r="G167" s="27"/>
      <c r="H167" s="434">
        <f>IF(G167&gt;=80%,F167,0)</f>
        <v>0</v>
      </c>
      <c r="Q167" s="52"/>
      <c r="R167" s="44"/>
    </row>
    <row r="168" spans="1:18" s="29" customFormat="1" ht="15.6">
      <c r="A168" s="82">
        <v>14</v>
      </c>
      <c r="B168" s="470" t="s">
        <v>515</v>
      </c>
      <c r="C168" s="89"/>
      <c r="D168" s="151"/>
      <c r="E168" s="152"/>
      <c r="F168" s="152"/>
      <c r="G168" s="153"/>
      <c r="H168" s="629"/>
      <c r="Q168" s="52"/>
      <c r="R168" s="44"/>
    </row>
    <row r="169" spans="1:18" s="29" customFormat="1" ht="31.95" customHeight="1">
      <c r="A169" s="630" t="s">
        <v>236</v>
      </c>
      <c r="B169" s="875" t="s">
        <v>648</v>
      </c>
      <c r="C169" s="876"/>
      <c r="D169" s="527" t="s">
        <v>50</v>
      </c>
      <c r="E169" s="528">
        <v>2</v>
      </c>
      <c r="F169" s="528">
        <v>2.5</v>
      </c>
      <c r="G169" s="529"/>
      <c r="H169" s="9">
        <f>IF(G169&gt;=80%,F169,IF(G169&lt;65%,0,E169))</f>
        <v>0</v>
      </c>
      <c r="Q169" s="52"/>
      <c r="R169" s="44"/>
    </row>
    <row r="170" spans="1:18" s="29" customFormat="1">
      <c r="A170" s="630" t="s">
        <v>237</v>
      </c>
      <c r="B170" s="875" t="s">
        <v>615</v>
      </c>
      <c r="C170" s="876"/>
      <c r="D170" s="530" t="s">
        <v>50</v>
      </c>
      <c r="E170" s="523" t="s">
        <v>49</v>
      </c>
      <c r="F170" s="523">
        <v>2.5</v>
      </c>
      <c r="G170" s="526">
        <f>F23</f>
        <v>0</v>
      </c>
      <c r="H170" s="434">
        <f>IF(G170&gt;=80%,F170,0)</f>
        <v>0</v>
      </c>
      <c r="Q170" s="52"/>
      <c r="R170" s="44"/>
    </row>
    <row r="171" spans="1:18" s="29" customFormat="1" ht="32.25" customHeight="1">
      <c r="A171" s="630" t="s">
        <v>378</v>
      </c>
      <c r="B171" s="875" t="s">
        <v>617</v>
      </c>
      <c r="C171" s="876"/>
      <c r="D171" s="530" t="s">
        <v>50</v>
      </c>
      <c r="E171" s="523">
        <v>2</v>
      </c>
      <c r="F171" s="523">
        <v>3</v>
      </c>
      <c r="G171" s="529"/>
      <c r="H171" s="434">
        <f>IF(G171&gt;=80%,F171,IF(G171&lt;65%,0,E171))</f>
        <v>0</v>
      </c>
      <c r="Q171" s="52"/>
      <c r="R171" s="44"/>
    </row>
    <row r="172" spans="1:18" s="29" customFormat="1" ht="30" customHeight="1">
      <c r="A172" s="632" t="s">
        <v>521</v>
      </c>
      <c r="B172" s="825" t="s">
        <v>616</v>
      </c>
      <c r="C172" s="827"/>
      <c r="D172" s="420" t="s">
        <v>50</v>
      </c>
      <c r="E172" s="434">
        <v>2</v>
      </c>
      <c r="F172" s="434">
        <v>2.5</v>
      </c>
      <c r="G172" s="30"/>
      <c r="H172" s="434">
        <f>IF(G172&gt;=80%,F172,IF(G172&lt;65%,0,E172))</f>
        <v>0</v>
      </c>
      <c r="Q172" s="52"/>
      <c r="R172" s="44"/>
    </row>
    <row r="173" spans="1:18" s="29" customFormat="1" ht="15.6">
      <c r="A173" s="82">
        <v>15</v>
      </c>
      <c r="B173" s="82" t="s">
        <v>259</v>
      </c>
      <c r="C173" s="89"/>
      <c r="D173" s="151"/>
      <c r="E173" s="152"/>
      <c r="F173" s="152"/>
      <c r="G173" s="153"/>
      <c r="H173" s="629"/>
      <c r="Q173" s="52"/>
      <c r="R173" s="44"/>
    </row>
    <row r="174" spans="1:18" s="29" customFormat="1">
      <c r="A174" s="877" t="s">
        <v>238</v>
      </c>
      <c r="B174" s="879" t="s">
        <v>275</v>
      </c>
      <c r="C174" s="880"/>
      <c r="D174" s="943" t="s">
        <v>50</v>
      </c>
      <c r="E174" s="828">
        <v>2.5</v>
      </c>
      <c r="F174" s="828">
        <v>4</v>
      </c>
      <c r="G174" s="957"/>
      <c r="H174" s="828">
        <f>IF(G174&gt;=80%,F174,IF(G174&lt;65%,0,E174))</f>
        <v>0</v>
      </c>
      <c r="Q174" s="52"/>
      <c r="R174" s="44"/>
    </row>
    <row r="175" spans="1:18" s="29" customFormat="1" ht="15.6">
      <c r="A175" s="878"/>
      <c r="B175" s="810" t="s">
        <v>276</v>
      </c>
      <c r="C175" s="810"/>
      <c r="D175" s="944"/>
      <c r="E175" s="829"/>
      <c r="F175" s="829"/>
      <c r="G175" s="958"/>
      <c r="H175" s="829"/>
      <c r="Q175" s="52"/>
      <c r="R175" s="44"/>
    </row>
    <row r="176" spans="1:18" s="29" customFormat="1">
      <c r="A176" s="877" t="s">
        <v>239</v>
      </c>
      <c r="B176" s="858" t="s">
        <v>137</v>
      </c>
      <c r="C176" s="840"/>
      <c r="D176" s="937" t="s">
        <v>50</v>
      </c>
      <c r="E176" s="938">
        <v>2.5</v>
      </c>
      <c r="F176" s="938">
        <v>4</v>
      </c>
      <c r="G176" s="961"/>
      <c r="H176" s="811">
        <f>IF(G176&gt;=80%,F176,IF(G176&lt;65%,0,E176))</f>
        <v>0</v>
      </c>
      <c r="Q176" s="52"/>
      <c r="R176" s="44"/>
    </row>
    <row r="177" spans="1:18" s="29" customFormat="1" ht="15.6">
      <c r="A177" s="878"/>
      <c r="B177" s="810" t="s">
        <v>119</v>
      </c>
      <c r="C177" s="810"/>
      <c r="D177" s="937"/>
      <c r="E177" s="938"/>
      <c r="F177" s="938"/>
      <c r="G177" s="961"/>
      <c r="H177" s="811"/>
      <c r="Q177" s="52"/>
      <c r="R177" s="44"/>
    </row>
    <row r="178" spans="1:18" s="29" customFormat="1" ht="15.6">
      <c r="A178" s="102">
        <v>16</v>
      </c>
      <c r="B178" s="102" t="s">
        <v>202</v>
      </c>
      <c r="C178" s="89"/>
      <c r="D178" s="89"/>
      <c r="E178" s="91"/>
      <c r="F178" s="91"/>
      <c r="G178" s="92"/>
      <c r="H178" s="614"/>
      <c r="Q178" s="59"/>
      <c r="R178" s="44"/>
    </row>
    <row r="179" spans="1:18" s="29" customFormat="1">
      <c r="A179" s="598" t="s">
        <v>241</v>
      </c>
      <c r="B179" s="765"/>
      <c r="C179" s="766"/>
      <c r="D179" s="107"/>
      <c r="E179" s="538"/>
      <c r="F179" s="538"/>
      <c r="G179" s="65"/>
      <c r="H179" s="633">
        <f>IF(G179&gt;=80%,F179,IF(G179&lt;65%,0,E179))</f>
        <v>0</v>
      </c>
      <c r="Q179" s="52"/>
      <c r="R179" s="44"/>
    </row>
    <row r="180" spans="1:18" s="29" customFormat="1">
      <c r="A180" s="598" t="s">
        <v>242</v>
      </c>
      <c r="B180" s="765"/>
      <c r="C180" s="766"/>
      <c r="D180" s="107"/>
      <c r="E180" s="538"/>
      <c r="F180" s="538"/>
      <c r="G180" s="65"/>
      <c r="H180" s="633">
        <f>IF(G180&gt;=80%,F180,IF(G180&lt;65%,0,E180))</f>
        <v>0</v>
      </c>
      <c r="Q180" s="52"/>
      <c r="R180" s="44"/>
    </row>
    <row r="181" spans="1:18" s="29" customFormat="1">
      <c r="A181" s="598" t="s">
        <v>243</v>
      </c>
      <c r="B181" s="765"/>
      <c r="C181" s="766"/>
      <c r="D181" s="107"/>
      <c r="E181" s="538"/>
      <c r="F181" s="538"/>
      <c r="G181" s="65"/>
      <c r="H181" s="633">
        <f>IF(G181&gt;=80%,F181,IF(G181&lt;65%,0,E181))</f>
        <v>0</v>
      </c>
      <c r="Q181" s="52"/>
      <c r="R181" s="44"/>
    </row>
    <row r="182" spans="1:18" s="29" customFormat="1" ht="15.6">
      <c r="A182" s="604"/>
      <c r="B182" s="307"/>
      <c r="C182" s="305"/>
      <c r="D182" s="305"/>
      <c r="E182" s="305"/>
      <c r="F182" s="309"/>
      <c r="G182" s="310" t="s">
        <v>376</v>
      </c>
      <c r="H182" s="634">
        <f>IFERROR((SUM(H147:H181)),0)</f>
        <v>0</v>
      </c>
      <c r="Q182" s="52"/>
      <c r="R182" s="44"/>
    </row>
    <row r="183" spans="1:18" s="29" customFormat="1" ht="15.6" thickBot="1">
      <c r="A183" s="594"/>
      <c r="B183" s="361"/>
      <c r="C183" s="362"/>
      <c r="D183" s="362"/>
      <c r="E183" s="362"/>
      <c r="F183" s="362"/>
      <c r="G183" s="354"/>
      <c r="H183" s="595"/>
      <c r="Q183" s="52"/>
      <c r="R183" s="44"/>
    </row>
    <row r="184" spans="1:18" s="29" customFormat="1" ht="30.75" customHeight="1">
      <c r="A184" s="865" t="s">
        <v>0</v>
      </c>
      <c r="B184" s="866"/>
      <c r="C184" s="869"/>
      <c r="D184" s="856" t="s">
        <v>4</v>
      </c>
      <c r="E184" s="959" t="s">
        <v>1</v>
      </c>
      <c r="F184" s="960"/>
      <c r="G184" s="955" t="s">
        <v>21</v>
      </c>
      <c r="H184" s="856" t="s">
        <v>62</v>
      </c>
      <c r="Q184" s="52"/>
      <c r="R184" s="44"/>
    </row>
    <row r="185" spans="1:18" s="29" customFormat="1" ht="15.6">
      <c r="A185" s="867"/>
      <c r="B185" s="868"/>
      <c r="C185" s="870"/>
      <c r="D185" s="857"/>
      <c r="E185" s="550" t="s">
        <v>120</v>
      </c>
      <c r="F185" s="550" t="s">
        <v>121</v>
      </c>
      <c r="G185" s="956"/>
      <c r="H185" s="857"/>
      <c r="Q185" s="52"/>
      <c r="R185" s="44"/>
    </row>
    <row r="186" spans="1:18" s="29" customFormat="1" ht="15.6">
      <c r="A186" s="126" t="s">
        <v>240</v>
      </c>
      <c r="B186" s="105" t="s">
        <v>244</v>
      </c>
      <c r="C186" s="106"/>
      <c r="D186" s="106"/>
      <c r="E186" s="106"/>
      <c r="F186" s="110"/>
      <c r="G186" s="111"/>
      <c r="H186" s="628"/>
      <c r="Q186" s="52"/>
      <c r="R186" s="44"/>
    </row>
    <row r="187" spans="1:18" s="29" customFormat="1">
      <c r="A187" s="625" t="s">
        <v>277</v>
      </c>
      <c r="B187" s="858" t="s">
        <v>245</v>
      </c>
      <c r="C187" s="859"/>
      <c r="D187" s="5" t="s">
        <v>50</v>
      </c>
      <c r="E187" s="20">
        <v>-1</v>
      </c>
      <c r="F187" s="20">
        <v>-2</v>
      </c>
      <c r="G187" s="28"/>
      <c r="H187" s="20">
        <f>IF(G187&gt;=30%,F187,IF(G187=0%,0,E187))</f>
        <v>0</v>
      </c>
      <c r="Q187" s="52"/>
      <c r="R187" s="44"/>
    </row>
    <row r="188" spans="1:18" s="29" customFormat="1">
      <c r="A188" s="625" t="s">
        <v>278</v>
      </c>
      <c r="B188" s="858" t="s">
        <v>246</v>
      </c>
      <c r="C188" s="859"/>
      <c r="D188" s="5" t="s">
        <v>50</v>
      </c>
      <c r="E188" s="20">
        <v>-1</v>
      </c>
      <c r="F188" s="20">
        <v>-1.5</v>
      </c>
      <c r="G188" s="28"/>
      <c r="H188" s="20">
        <f>IF(G188&gt;=30%,F188,IF(G188=0%,0,E188))</f>
        <v>0</v>
      </c>
      <c r="Q188" s="52"/>
      <c r="R188" s="44"/>
    </row>
    <row r="189" spans="1:18" s="29" customFormat="1">
      <c r="A189" s="625" t="s">
        <v>279</v>
      </c>
      <c r="B189" s="858" t="s">
        <v>247</v>
      </c>
      <c r="C189" s="859"/>
      <c r="D189" s="5" t="s">
        <v>50</v>
      </c>
      <c r="E189" s="811">
        <v>-1</v>
      </c>
      <c r="F189" s="811"/>
      <c r="G189" s="553"/>
      <c r="H189" s="20">
        <f>IF(G189&gt;0%,E189,0)</f>
        <v>0</v>
      </c>
      <c r="Q189" s="52"/>
      <c r="R189" s="44"/>
    </row>
    <row r="190" spans="1:18" s="29" customFormat="1" ht="15.6">
      <c r="A190" s="604"/>
      <c r="B190" s="307"/>
      <c r="C190" s="305"/>
      <c r="D190" s="305"/>
      <c r="E190" s="305"/>
      <c r="F190" s="309"/>
      <c r="G190" s="310" t="s">
        <v>133</v>
      </c>
      <c r="H190" s="634">
        <f>IFERROR(MAX(SUM(H187:H189),-4),0)</f>
        <v>0</v>
      </c>
      <c r="Q190" s="44"/>
      <c r="R190" s="44"/>
    </row>
    <row r="191" spans="1:18" s="29" customFormat="1">
      <c r="A191" s="592"/>
      <c r="B191" s="307"/>
      <c r="C191" s="305"/>
      <c r="D191" s="305"/>
      <c r="E191" s="305"/>
      <c r="F191" s="305"/>
      <c r="G191" s="314"/>
      <c r="H191" s="571"/>
      <c r="Q191" s="52"/>
      <c r="R191" s="44"/>
    </row>
    <row r="192" spans="1:18" s="29" customFormat="1" ht="15.6">
      <c r="A192" s="592"/>
      <c r="B192" s="307"/>
      <c r="C192" s="305"/>
      <c r="D192" s="305"/>
      <c r="E192" s="305"/>
      <c r="F192" s="305"/>
      <c r="G192" s="312" t="s">
        <v>132</v>
      </c>
      <c r="H192" s="154">
        <f>IFERROR(MIN(SUM(H120+H143+H182+H190),G91),0)</f>
        <v>0</v>
      </c>
      <c r="Q192" s="52"/>
      <c r="R192" s="44"/>
    </row>
    <row r="193" spans="1:18" s="29" customFormat="1" ht="16.2" thickBot="1">
      <c r="A193" s="594"/>
      <c r="B193" s="361"/>
      <c r="C193" s="362"/>
      <c r="D193" s="362"/>
      <c r="E193" s="362"/>
      <c r="F193" s="362"/>
      <c r="G193" s="363"/>
      <c r="H193" s="606"/>
      <c r="Q193" s="52"/>
      <c r="R193" s="44"/>
    </row>
    <row r="194" spans="1:18" s="29" customFormat="1" ht="15.6">
      <c r="A194" s="635" t="s">
        <v>63</v>
      </c>
      <c r="B194" s="355"/>
      <c r="C194" s="355"/>
      <c r="D194" s="355"/>
      <c r="E194" s="355"/>
      <c r="F194" s="356" t="s">
        <v>42</v>
      </c>
      <c r="G194" s="357">
        <f>VLOOKUP($A$7,'Manpower allocation'!A4:D11,4,FALSE)*100</f>
        <v>15</v>
      </c>
      <c r="H194" s="636" t="s">
        <v>41</v>
      </c>
      <c r="I194" s="108">
        <f>VLOOKUP($A$7,'Manpower allocation'!A4:D11,4,FALSE)*100</f>
        <v>15</v>
      </c>
      <c r="Q194" s="52"/>
      <c r="R194" s="44"/>
    </row>
    <row r="195" spans="1:18" s="29" customFormat="1" ht="15.6">
      <c r="A195" s="592"/>
      <c r="B195" s="313"/>
      <c r="C195" s="305"/>
      <c r="D195" s="305"/>
      <c r="E195" s="305"/>
      <c r="F195" s="305"/>
      <c r="G195" s="314"/>
      <c r="H195" s="571"/>
      <c r="Q195" s="52"/>
      <c r="R195" s="44"/>
    </row>
    <row r="196" spans="1:18" s="29" customFormat="1" ht="46.8">
      <c r="A196" s="850" t="s">
        <v>0</v>
      </c>
      <c r="B196" s="851"/>
      <c r="C196" s="109"/>
      <c r="D196" s="545" t="s">
        <v>17</v>
      </c>
      <c r="E196" s="545" t="s">
        <v>124</v>
      </c>
      <c r="F196" s="545" t="s">
        <v>108</v>
      </c>
      <c r="G196" s="545" t="s">
        <v>18</v>
      </c>
      <c r="H196" s="545" t="s">
        <v>62</v>
      </c>
      <c r="Q196" s="52"/>
      <c r="R196" s="44"/>
    </row>
    <row r="197" spans="1:18" s="29" customFormat="1" ht="15.6">
      <c r="A197" s="105" t="s">
        <v>250</v>
      </c>
      <c r="B197" s="531" t="s">
        <v>618</v>
      </c>
      <c r="C197" s="106"/>
      <c r="D197" s="106"/>
      <c r="E197" s="106"/>
      <c r="F197" s="110"/>
      <c r="G197" s="111"/>
      <c r="H197" s="628"/>
      <c r="Q197" s="52"/>
      <c r="R197" s="44"/>
    </row>
    <row r="198" spans="1:18" s="29" customFormat="1" ht="15.6">
      <c r="A198" s="112">
        <v>1</v>
      </c>
      <c r="B198" s="112" t="s">
        <v>304</v>
      </c>
      <c r="C198" s="113"/>
      <c r="D198" s="114"/>
      <c r="E198" s="114"/>
      <c r="F198" s="114"/>
      <c r="G198" s="114"/>
      <c r="H198" s="637"/>
      <c r="Q198" s="52"/>
      <c r="R198" s="44"/>
    </row>
    <row r="199" spans="1:18" s="29" customFormat="1">
      <c r="A199" s="541">
        <v>1.1000000000000001</v>
      </c>
      <c r="B199" s="822" t="s">
        <v>271</v>
      </c>
      <c r="C199" s="824"/>
      <c r="D199" s="20">
        <f>VLOOKUP(A199,'Point Allocation'!$A$46:$J$55,MATCH(A7,'Point Allocation'!$A$46:$J$46,0),0)</f>
        <v>15</v>
      </c>
      <c r="E199" s="38"/>
      <c r="F199" s="38"/>
      <c r="G199" s="31">
        <f>MIN(IFERROR(F199/E199,0),100%)</f>
        <v>0</v>
      </c>
      <c r="H199" s="20">
        <f>D199*G199</f>
        <v>0</v>
      </c>
      <c r="Q199" s="52"/>
      <c r="R199" s="44"/>
    </row>
    <row r="200" spans="1:18" s="29" customFormat="1" ht="15.6">
      <c r="A200" s="115">
        <v>2</v>
      </c>
      <c r="B200" s="115" t="s">
        <v>305</v>
      </c>
      <c r="C200" s="116"/>
      <c r="D200" s="32"/>
      <c r="E200" s="33"/>
      <c r="F200" s="33"/>
      <c r="G200" s="34"/>
      <c r="H200" s="638"/>
      <c r="Q200" s="52"/>
      <c r="R200" s="44"/>
    </row>
    <row r="201" spans="1:18" s="29" customFormat="1" ht="33" customHeight="1">
      <c r="A201" s="544">
        <v>2.1</v>
      </c>
      <c r="B201" s="863" t="s">
        <v>251</v>
      </c>
      <c r="C201" s="864"/>
      <c r="D201" s="20">
        <f>VLOOKUP(A201,'Point Allocation'!$A$46:$J$55,MATCH(A7,'Point Allocation'!$A$46:$J$46,0),0)</f>
        <v>12</v>
      </c>
      <c r="E201" s="38"/>
      <c r="F201" s="38"/>
      <c r="G201" s="31">
        <f>MIN(IFERROR(F201/E201,0),100%)</f>
        <v>0</v>
      </c>
      <c r="H201" s="20">
        <f>D201*G201</f>
        <v>0</v>
      </c>
      <c r="Q201" s="52"/>
      <c r="R201" s="44"/>
    </row>
    <row r="202" spans="1:18" s="29" customFormat="1" ht="15.6">
      <c r="A202" s="112">
        <v>3</v>
      </c>
      <c r="B202" s="112" t="s">
        <v>309</v>
      </c>
      <c r="C202" s="117"/>
      <c r="D202" s="35"/>
      <c r="E202" s="35"/>
      <c r="F202" s="35"/>
      <c r="G202" s="34"/>
      <c r="H202" s="639"/>
      <c r="Q202" s="52"/>
      <c r="R202" s="44"/>
    </row>
    <row r="203" spans="1:18" s="29" customFormat="1">
      <c r="A203" s="540">
        <v>3.1</v>
      </c>
      <c r="B203" s="837" t="s">
        <v>400</v>
      </c>
      <c r="C203" s="838"/>
      <c r="D203" s="20">
        <f>VLOOKUP(A203,'Point Allocation'!$A$46:$J$55,MATCH(A7,'Point Allocation'!$A$46:$J$46,0),0)</f>
        <v>4</v>
      </c>
      <c r="E203" s="38"/>
      <c r="F203" s="38"/>
      <c r="G203" s="31">
        <f>MIN(IFERROR(F203/E203,0),100%)</f>
        <v>0</v>
      </c>
      <c r="H203" s="20">
        <f>D203*G203</f>
        <v>0</v>
      </c>
      <c r="Q203" s="52"/>
      <c r="R203" s="44"/>
    </row>
    <row r="204" spans="1:18" s="29" customFormat="1">
      <c r="A204" s="540">
        <v>3.2</v>
      </c>
      <c r="B204" s="837" t="s">
        <v>401</v>
      </c>
      <c r="C204" s="838"/>
      <c r="D204" s="20">
        <f>VLOOKUP(A204,'Point Allocation'!$A$46:$J$55,MATCH(A7,'Point Allocation'!$A$46:$J$46,0),0)</f>
        <v>4</v>
      </c>
      <c r="E204" s="165"/>
      <c r="F204" s="38"/>
      <c r="G204" s="31">
        <f>MIN(IFERROR(F204/E204,0),100%)</f>
        <v>0</v>
      </c>
      <c r="H204" s="20">
        <f>D204*G204</f>
        <v>0</v>
      </c>
      <c r="Q204" s="52"/>
      <c r="R204" s="44"/>
    </row>
    <row r="205" spans="1:18" s="29" customFormat="1">
      <c r="A205" s="543">
        <v>3.3</v>
      </c>
      <c r="B205" s="858" t="s">
        <v>161</v>
      </c>
      <c r="C205" s="859"/>
      <c r="D205" s="20">
        <f>VLOOKUP(A205,'Point Allocation'!$A$46:$J$55,MATCH(A7,'Point Allocation'!$A$46:$J$46,0),0)</f>
        <v>4</v>
      </c>
      <c r="E205" s="166"/>
      <c r="F205" s="537"/>
      <c r="G205" s="31">
        <f>MIN(IFERROR(F205/E205,0),100%)</f>
        <v>0</v>
      </c>
      <c r="H205" s="20">
        <f>D205*G205</f>
        <v>0</v>
      </c>
      <c r="Q205" s="52"/>
      <c r="R205" s="44"/>
    </row>
    <row r="206" spans="1:18" s="29" customFormat="1" ht="15.6">
      <c r="A206" s="592"/>
      <c r="B206" s="307"/>
      <c r="C206" s="305"/>
      <c r="D206" s="306" t="s">
        <v>6</v>
      </c>
      <c r="E206" s="283">
        <f>MAX(SUM(E199:E205),F206)</f>
        <v>0</v>
      </c>
      <c r="F206" s="283">
        <f>SUM(F199:F205)</f>
        <v>0</v>
      </c>
      <c r="G206" s="322">
        <f>IFERROR(MIN(F206/E206,100%),0)</f>
        <v>0</v>
      </c>
      <c r="H206" s="593">
        <f>IFERROR(SUM(H199:H205),0)</f>
        <v>0</v>
      </c>
      <c r="Q206" s="52"/>
      <c r="R206" s="44"/>
    </row>
    <row r="207" spans="1:18" s="29" customFormat="1" ht="15.6">
      <c r="A207" s="592"/>
      <c r="B207" s="320"/>
      <c r="C207" s="323"/>
      <c r="D207" s="324"/>
      <c r="E207" s="323"/>
      <c r="F207" s="323"/>
      <c r="G207" s="325"/>
      <c r="H207" s="317"/>
      <c r="Q207" s="52"/>
      <c r="R207" s="44"/>
    </row>
    <row r="208" spans="1:18" s="29" customFormat="1" ht="15.6">
      <c r="A208" s="850" t="s">
        <v>0</v>
      </c>
      <c r="B208" s="851"/>
      <c r="C208" s="860"/>
      <c r="D208" s="862" t="s">
        <v>4</v>
      </c>
      <c r="E208" s="862" t="s">
        <v>1</v>
      </c>
      <c r="F208" s="862"/>
      <c r="G208" s="881" t="s">
        <v>21</v>
      </c>
      <c r="H208" s="881" t="s">
        <v>62</v>
      </c>
      <c r="Q208" s="52"/>
      <c r="R208" s="44"/>
    </row>
    <row r="209" spans="1:18" s="29" customFormat="1" ht="30.75" customHeight="1">
      <c r="A209" s="852"/>
      <c r="B209" s="853"/>
      <c r="C209" s="861"/>
      <c r="D209" s="862"/>
      <c r="E209" s="545" t="s">
        <v>64</v>
      </c>
      <c r="F209" s="545" t="s">
        <v>65</v>
      </c>
      <c r="G209" s="881"/>
      <c r="H209" s="881"/>
      <c r="Q209" s="52"/>
      <c r="R209" s="44"/>
    </row>
    <row r="210" spans="1:18" s="29" customFormat="1" ht="15.6">
      <c r="A210" s="45" t="s">
        <v>253</v>
      </c>
      <c r="B210" s="45" t="s">
        <v>254</v>
      </c>
      <c r="C210" s="56"/>
      <c r="D210" s="56"/>
      <c r="E210" s="56"/>
      <c r="F210" s="57"/>
      <c r="G210" s="104"/>
      <c r="H210" s="624"/>
      <c r="Q210" s="52"/>
      <c r="R210" s="44"/>
    </row>
    <row r="211" spans="1:18" s="29" customFormat="1" ht="15.6">
      <c r="A211" s="118">
        <v>4</v>
      </c>
      <c r="B211" s="118" t="s">
        <v>307</v>
      </c>
      <c r="C211" s="116"/>
      <c r="D211" s="119"/>
      <c r="E211" s="120"/>
      <c r="F211" s="120"/>
      <c r="G211" s="121"/>
      <c r="H211" s="640"/>
      <c r="Q211" s="52"/>
      <c r="R211" s="44"/>
    </row>
    <row r="212" spans="1:18" s="29" customFormat="1">
      <c r="A212" s="541">
        <v>4.0999999999999996</v>
      </c>
      <c r="B212" s="822" t="s">
        <v>155</v>
      </c>
      <c r="C212" s="824"/>
      <c r="D212" s="5" t="s">
        <v>50</v>
      </c>
      <c r="E212" s="20" t="s">
        <v>49</v>
      </c>
      <c r="F212" s="20">
        <f>VLOOKUP(A212,'Point Allocation'!$A$46:$J$55,MATCH(A7,'Point Allocation'!$A$46:$J$46,0),0)</f>
        <v>1.5</v>
      </c>
      <c r="G212" s="553"/>
      <c r="H212" s="20">
        <f>IF(G212&gt;=80%,F212,0)</f>
        <v>0</v>
      </c>
      <c r="Q212" s="52"/>
      <c r="R212" s="44"/>
    </row>
    <row r="213" spans="1:18" s="29" customFormat="1">
      <c r="A213" s="541">
        <v>4.2</v>
      </c>
      <c r="B213" s="822" t="s">
        <v>152</v>
      </c>
      <c r="C213" s="824"/>
      <c r="D213" s="5" t="s">
        <v>50</v>
      </c>
      <c r="E213" s="20" t="s">
        <v>49</v>
      </c>
      <c r="F213" s="20">
        <f>VLOOKUP(A213,'Point Allocation'!$A$46:$J$55,MATCH(A7,'Point Allocation'!$A$46:$J$46,0),0)</f>
        <v>1.5</v>
      </c>
      <c r="G213" s="553"/>
      <c r="H213" s="20">
        <f>IF(G213&gt;=80%,F213,0)</f>
        <v>0</v>
      </c>
      <c r="Q213" s="52"/>
      <c r="R213" s="44"/>
    </row>
    <row r="214" spans="1:18" s="29" customFormat="1">
      <c r="A214" s="541">
        <v>4.3</v>
      </c>
      <c r="B214" s="822" t="s">
        <v>146</v>
      </c>
      <c r="C214" s="824"/>
      <c r="D214" s="5" t="s">
        <v>3</v>
      </c>
      <c r="E214" s="20" t="s">
        <v>49</v>
      </c>
      <c r="F214" s="20">
        <f>VLOOKUP(A214,'Point Allocation'!$A$46:$J$55,MATCH(A7,'Point Allocation'!$A$46:$J$46,0),0)</f>
        <v>1.5</v>
      </c>
      <c r="G214" s="553"/>
      <c r="H214" s="20">
        <f>IF(G214&gt;=80%,F214,0)</f>
        <v>0</v>
      </c>
      <c r="Q214" s="52"/>
      <c r="R214" s="44"/>
    </row>
    <row r="215" spans="1:18" s="29" customFormat="1">
      <c r="A215" s="542">
        <v>4.4000000000000004</v>
      </c>
      <c r="B215" s="848" t="s">
        <v>252</v>
      </c>
      <c r="C215" s="849"/>
      <c r="D215" s="5" t="s">
        <v>3</v>
      </c>
      <c r="E215" s="20" t="s">
        <v>49</v>
      </c>
      <c r="F215" s="20">
        <f>VLOOKUP(A215,'Point Allocation'!$A$46:$J$55,MATCH(A7,'Point Allocation'!$A$46:$J$46,0),0)</f>
        <v>1.5</v>
      </c>
      <c r="G215" s="553"/>
      <c r="H215" s="20">
        <f>IF(G215&gt;=80%,F215,0)</f>
        <v>0</v>
      </c>
      <c r="Q215" s="52"/>
      <c r="R215" s="44"/>
    </row>
    <row r="216" spans="1:18" s="29" customFormat="1" ht="15.6">
      <c r="A216" s="118">
        <v>5</v>
      </c>
      <c r="B216" s="118" t="s">
        <v>202</v>
      </c>
      <c r="C216" s="116"/>
      <c r="D216" s="122"/>
      <c r="E216" s="123"/>
      <c r="F216" s="123"/>
      <c r="G216" s="124"/>
      <c r="H216" s="641"/>
      <c r="Q216" s="52"/>
      <c r="R216" s="44"/>
    </row>
    <row r="217" spans="1:18" s="29" customFormat="1">
      <c r="A217" s="591">
        <v>5.0999999999999996</v>
      </c>
      <c r="B217" s="765"/>
      <c r="C217" s="847"/>
      <c r="D217" s="391"/>
      <c r="E217" s="537"/>
      <c r="F217" s="537"/>
      <c r="G217" s="553"/>
      <c r="H217" s="633">
        <f>IF(G217&gt;=80%,F217,IF(G217&lt;65%,0,E217))</f>
        <v>0</v>
      </c>
      <c r="Q217" s="52"/>
      <c r="R217" s="44"/>
    </row>
    <row r="218" spans="1:18" s="29" customFormat="1">
      <c r="A218" s="591">
        <v>5.2</v>
      </c>
      <c r="B218" s="765"/>
      <c r="C218" s="847"/>
      <c r="D218" s="391"/>
      <c r="E218" s="537"/>
      <c r="F218" s="537"/>
      <c r="G218" s="553"/>
      <c r="H218" s="633">
        <f>IF(G218&gt;=80%,F218,IF(G218&lt;65%,0,E218))</f>
        <v>0</v>
      </c>
      <c r="Q218" s="52"/>
      <c r="R218" s="44"/>
    </row>
    <row r="219" spans="1:18" s="29" customFormat="1">
      <c r="A219" s="591">
        <v>5.3</v>
      </c>
      <c r="B219" s="765"/>
      <c r="C219" s="847"/>
      <c r="D219" s="391"/>
      <c r="E219" s="537"/>
      <c r="F219" s="537"/>
      <c r="G219" s="553"/>
      <c r="H219" s="633">
        <f>IF(G219&gt;=80%,F219,IF(G219&lt;65%,0,E219))</f>
        <v>0</v>
      </c>
      <c r="Q219" s="52"/>
      <c r="R219" s="44"/>
    </row>
    <row r="220" spans="1:18" s="29" customFormat="1" ht="15.6">
      <c r="A220" s="592"/>
      <c r="B220" s="326"/>
      <c r="C220" s="326"/>
      <c r="D220" s="314"/>
      <c r="E220" s="314"/>
      <c r="F220" s="314"/>
      <c r="G220" s="312" t="s">
        <v>7</v>
      </c>
      <c r="H220" s="617">
        <f>IFERROR(SUM(H212:H215,H217:H219),0)</f>
        <v>0</v>
      </c>
      <c r="Q220" s="52"/>
      <c r="R220" s="44"/>
    </row>
    <row r="221" spans="1:18" s="29" customFormat="1">
      <c r="A221" s="592"/>
      <c r="B221" s="307"/>
      <c r="C221" s="305"/>
      <c r="D221" s="305"/>
      <c r="E221" s="305"/>
      <c r="F221" s="305"/>
      <c r="G221" s="314"/>
      <c r="H221" s="571"/>
      <c r="Q221" s="52"/>
      <c r="R221" s="44"/>
    </row>
    <row r="222" spans="1:18" s="29" customFormat="1" ht="15.6">
      <c r="A222" s="850" t="s">
        <v>0</v>
      </c>
      <c r="B222" s="851"/>
      <c r="C222" s="860"/>
      <c r="D222" s="881" t="s">
        <v>4</v>
      </c>
      <c r="E222" s="862" t="s">
        <v>1</v>
      </c>
      <c r="F222" s="862"/>
      <c r="G222" s="881" t="s">
        <v>21</v>
      </c>
      <c r="H222" s="881" t="s">
        <v>62</v>
      </c>
      <c r="Q222" s="52"/>
      <c r="R222" s="44"/>
    </row>
    <row r="223" spans="1:18" s="29" customFormat="1" ht="31.2">
      <c r="A223" s="852"/>
      <c r="B223" s="853"/>
      <c r="C223" s="861"/>
      <c r="D223" s="862"/>
      <c r="E223" s="545" t="s">
        <v>64</v>
      </c>
      <c r="F223" s="545" t="s">
        <v>65</v>
      </c>
      <c r="G223" s="881"/>
      <c r="H223" s="881"/>
      <c r="Q223" s="52"/>
      <c r="R223" s="44"/>
    </row>
    <row r="224" spans="1:18" s="29" customFormat="1" ht="15.6">
      <c r="A224" s="105" t="s">
        <v>255</v>
      </c>
      <c r="B224" s="105" t="s">
        <v>518</v>
      </c>
      <c r="C224" s="125"/>
      <c r="D224" s="126"/>
      <c r="E224" s="126"/>
      <c r="F224" s="127"/>
      <c r="G224" s="128"/>
      <c r="H224" s="127"/>
      <c r="Q224" s="52"/>
      <c r="R224" s="44"/>
    </row>
    <row r="225" spans="1:18" s="29" customFormat="1" ht="15.6">
      <c r="A225" s="625" t="s">
        <v>188</v>
      </c>
      <c r="B225" s="822" t="s">
        <v>256</v>
      </c>
      <c r="C225" s="824"/>
      <c r="D225" s="94" t="s">
        <v>2</v>
      </c>
      <c r="E225" s="94">
        <v>1</v>
      </c>
      <c r="F225" s="94">
        <v>2</v>
      </c>
      <c r="G225" s="65"/>
      <c r="H225" s="94">
        <f>IF(G225&gt;=80%,F225,IF(G225&lt;65%,0,E225))</f>
        <v>0</v>
      </c>
      <c r="J225" s="131"/>
      <c r="Q225" s="52"/>
      <c r="R225" s="44"/>
    </row>
    <row r="226" spans="1:18" s="29" customFormat="1">
      <c r="A226" s="575" t="s">
        <v>189</v>
      </c>
      <c r="B226" s="825" t="s">
        <v>619</v>
      </c>
      <c r="C226" s="827"/>
      <c r="D226" s="94" t="s">
        <v>50</v>
      </c>
      <c r="E226" s="94">
        <v>0.5</v>
      </c>
      <c r="F226" s="94">
        <v>1</v>
      </c>
      <c r="G226" s="65"/>
      <c r="H226" s="94">
        <f>IF(G226&gt;=80%,F226,IF(G226&lt;65%,0,E226))</f>
        <v>0</v>
      </c>
      <c r="Q226" s="52"/>
      <c r="R226" s="44"/>
    </row>
    <row r="227" spans="1:18" s="29" customFormat="1" ht="15.6">
      <c r="A227" s="592"/>
      <c r="B227" s="307"/>
      <c r="C227" s="305"/>
      <c r="D227" s="305"/>
      <c r="E227" s="305"/>
      <c r="F227" s="308"/>
      <c r="G227" s="312" t="s">
        <v>109</v>
      </c>
      <c r="H227" s="129">
        <f>IFERROR(SUM(H225:H226),0)</f>
        <v>0</v>
      </c>
      <c r="Q227" s="52"/>
      <c r="R227" s="44"/>
    </row>
    <row r="228" spans="1:18" s="29" customFormat="1">
      <c r="A228" s="592"/>
      <c r="B228" s="307"/>
      <c r="C228" s="305"/>
      <c r="D228" s="305"/>
      <c r="E228" s="305"/>
      <c r="F228" s="305"/>
      <c r="G228" s="314"/>
      <c r="H228" s="571"/>
      <c r="Q228" s="52"/>
      <c r="R228" s="44"/>
    </row>
    <row r="229" spans="1:18" s="29" customFormat="1" ht="15.6">
      <c r="A229" s="592"/>
      <c r="B229" s="307"/>
      <c r="C229" s="305"/>
      <c r="D229" s="305"/>
      <c r="E229" s="305"/>
      <c r="F229" s="305"/>
      <c r="G229" s="312" t="s">
        <v>110</v>
      </c>
      <c r="H229" s="129">
        <f>IFERROR(MIN(SUM(H206+H220+H227),G194),0)</f>
        <v>0</v>
      </c>
      <c r="Q229" s="52"/>
      <c r="R229" s="44"/>
    </row>
    <row r="230" spans="1:18" s="29" customFormat="1" ht="16.2" thickBot="1">
      <c r="A230" s="594"/>
      <c r="B230" s="361"/>
      <c r="C230" s="362"/>
      <c r="D230" s="362"/>
      <c r="E230" s="362"/>
      <c r="F230" s="362"/>
      <c r="G230" s="364"/>
      <c r="H230" s="606"/>
      <c r="Q230" s="52"/>
      <c r="R230" s="44"/>
    </row>
    <row r="231" spans="1:18" s="29" customFormat="1" ht="15.6">
      <c r="A231" s="642" t="s">
        <v>129</v>
      </c>
      <c r="B231" s="455"/>
      <c r="C231" s="455"/>
      <c r="D231" s="455"/>
      <c r="E231" s="455"/>
      <c r="F231" s="456" t="s">
        <v>42</v>
      </c>
      <c r="G231" s="457">
        <v>20</v>
      </c>
      <c r="H231" s="643" t="s">
        <v>41</v>
      </c>
      <c r="Q231" s="52"/>
      <c r="R231" s="44"/>
    </row>
    <row r="232" spans="1:18" s="29" customFormat="1" ht="15.6">
      <c r="A232" s="592"/>
      <c r="B232" s="329"/>
      <c r="C232" s="305"/>
      <c r="D232" s="305"/>
      <c r="E232" s="305"/>
      <c r="F232" s="305"/>
      <c r="G232" s="314"/>
      <c r="H232" s="571"/>
      <c r="Q232" s="52"/>
      <c r="R232" s="44"/>
    </row>
    <row r="233" spans="1:18" s="29" customFormat="1" ht="33" customHeight="1">
      <c r="A233" s="854" t="s">
        <v>0</v>
      </c>
      <c r="B233" s="855"/>
      <c r="C233" s="132"/>
      <c r="D233" s="132"/>
      <c r="E233" s="133" t="s">
        <v>4</v>
      </c>
      <c r="F233" s="133" t="s">
        <v>69</v>
      </c>
      <c r="G233" s="134" t="s">
        <v>21</v>
      </c>
      <c r="H233" s="644" t="s">
        <v>62</v>
      </c>
      <c r="Q233" s="52"/>
      <c r="R233" s="44"/>
    </row>
    <row r="234" spans="1:18" s="29" customFormat="1" ht="15.6">
      <c r="A234" s="105" t="s">
        <v>257</v>
      </c>
      <c r="B234" s="105" t="s">
        <v>258</v>
      </c>
      <c r="C234" s="106"/>
      <c r="D234" s="106"/>
      <c r="E234" s="106"/>
      <c r="F234" s="57"/>
      <c r="G234" s="135"/>
      <c r="H234" s="645"/>
      <c r="I234" s="130"/>
      <c r="Q234" s="52"/>
      <c r="R234" s="44"/>
    </row>
    <row r="235" spans="1:18" s="29" customFormat="1" ht="15.6">
      <c r="A235" s="591">
        <v>1.1000000000000001</v>
      </c>
      <c r="B235" s="816" t="s">
        <v>122</v>
      </c>
      <c r="C235" s="817"/>
      <c r="D235" s="818"/>
      <c r="E235" s="155"/>
      <c r="F235" s="136"/>
      <c r="G235" s="137"/>
      <c r="H235" s="547">
        <f t="shared" ref="H235:H240" si="5">F235*G235</f>
        <v>0</v>
      </c>
      <c r="Q235" s="52"/>
      <c r="R235" s="44"/>
    </row>
    <row r="236" spans="1:18" s="29" customFormat="1" ht="15.6">
      <c r="A236" s="589">
        <v>1.2</v>
      </c>
      <c r="B236" s="844" t="s">
        <v>123</v>
      </c>
      <c r="C236" s="845"/>
      <c r="D236" s="846"/>
      <c r="E236" s="155"/>
      <c r="F236" s="136"/>
      <c r="G236" s="137"/>
      <c r="H236" s="547">
        <f t="shared" si="5"/>
        <v>0</v>
      </c>
      <c r="Q236" s="52"/>
      <c r="R236" s="44"/>
    </row>
    <row r="237" spans="1:18" s="29" customFormat="1" ht="15.6">
      <c r="A237" s="591">
        <v>1.3</v>
      </c>
      <c r="B237" s="816" t="s">
        <v>114</v>
      </c>
      <c r="C237" s="817"/>
      <c r="D237" s="818"/>
      <c r="E237" s="155"/>
      <c r="F237" s="136"/>
      <c r="G237" s="137"/>
      <c r="H237" s="547">
        <f t="shared" si="5"/>
        <v>0</v>
      </c>
      <c r="Q237" s="52"/>
      <c r="R237" s="44"/>
    </row>
    <row r="238" spans="1:18" s="29" customFormat="1" ht="15.6">
      <c r="A238" s="591">
        <v>1.4</v>
      </c>
      <c r="B238" s="816" t="s">
        <v>282</v>
      </c>
      <c r="C238" s="817"/>
      <c r="D238" s="818"/>
      <c r="E238" s="155"/>
      <c r="F238" s="136"/>
      <c r="G238" s="137"/>
      <c r="H238" s="547">
        <f t="shared" si="5"/>
        <v>0</v>
      </c>
      <c r="Q238" s="52"/>
      <c r="R238" s="44"/>
    </row>
    <row r="239" spans="1:18" s="29" customFormat="1" ht="15.6">
      <c r="A239" s="591">
        <v>1.5</v>
      </c>
      <c r="B239" s="816"/>
      <c r="C239" s="817"/>
      <c r="D239" s="818"/>
      <c r="E239" s="155"/>
      <c r="F239" s="136"/>
      <c r="G239" s="137"/>
      <c r="H239" s="547">
        <f t="shared" si="5"/>
        <v>0</v>
      </c>
      <c r="Q239" s="52"/>
      <c r="R239" s="44"/>
    </row>
    <row r="240" spans="1:18" s="29" customFormat="1" ht="15.6">
      <c r="A240" s="591">
        <v>1.6</v>
      </c>
      <c r="B240" s="816"/>
      <c r="C240" s="817"/>
      <c r="D240" s="818"/>
      <c r="E240" s="155"/>
      <c r="F240" s="136"/>
      <c r="G240" s="137"/>
      <c r="H240" s="547">
        <f t="shared" si="5"/>
        <v>0</v>
      </c>
      <c r="Q240" s="52"/>
      <c r="R240" s="44"/>
    </row>
    <row r="241" spans="1:18" s="29" customFormat="1" ht="15.6">
      <c r="A241" s="105" t="s">
        <v>260</v>
      </c>
      <c r="B241" s="105" t="s">
        <v>259</v>
      </c>
      <c r="C241" s="106"/>
      <c r="D241" s="106"/>
      <c r="E241" s="106"/>
      <c r="F241" s="57"/>
      <c r="G241" s="135"/>
      <c r="H241" s="645"/>
      <c r="Q241" s="52"/>
      <c r="R241" s="44"/>
    </row>
    <row r="242" spans="1:18" s="29" customFormat="1" ht="30.6" customHeight="1">
      <c r="A242" s="620">
        <v>2.1</v>
      </c>
      <c r="B242" s="825" t="s">
        <v>620</v>
      </c>
      <c r="C242" s="842"/>
      <c r="D242" s="843"/>
      <c r="E242" s="148" t="s">
        <v>367</v>
      </c>
      <c r="F242" s="389">
        <v>2</v>
      </c>
      <c r="G242" s="390"/>
      <c r="H242" s="547">
        <f>IFERROR(VLOOKUP(E242,J243:K246,2,FALSE),0)</f>
        <v>0</v>
      </c>
      <c r="J242" s="29" t="s">
        <v>367</v>
      </c>
      <c r="K242" s="29">
        <v>0</v>
      </c>
      <c r="Q242" s="52"/>
      <c r="R242" s="44"/>
    </row>
    <row r="243" spans="1:18" s="29" customFormat="1" ht="15.6">
      <c r="A243" s="592"/>
      <c r="B243" s="304"/>
      <c r="C243" s="305"/>
      <c r="D243" s="305"/>
      <c r="E243" s="305"/>
      <c r="F243" s="305"/>
      <c r="G243" s="312" t="s">
        <v>130</v>
      </c>
      <c r="H243" s="138">
        <f>IFERROR(MIN(SUM(H235:H242),G231),0)</f>
        <v>0</v>
      </c>
      <c r="J243" s="29" t="s">
        <v>363</v>
      </c>
      <c r="K243" s="29">
        <v>2</v>
      </c>
      <c r="Q243" s="44"/>
      <c r="R243" s="44"/>
    </row>
    <row r="244" spans="1:18" s="29" customFormat="1">
      <c r="A244" s="592"/>
      <c r="B244" s="307"/>
      <c r="C244" s="305"/>
      <c r="D244" s="305"/>
      <c r="E244" s="305"/>
      <c r="F244" s="305"/>
      <c r="G244" s="314"/>
      <c r="H244" s="571"/>
      <c r="J244" s="29" t="s">
        <v>364</v>
      </c>
      <c r="K244" s="29">
        <v>2</v>
      </c>
      <c r="Q244" s="44"/>
      <c r="R244" s="44"/>
    </row>
    <row r="245" spans="1:18" s="29" customFormat="1" ht="15.6">
      <c r="A245" s="592"/>
      <c r="B245" s="307"/>
      <c r="C245" s="305"/>
      <c r="D245" s="305"/>
      <c r="E245" s="305"/>
      <c r="F245" s="305"/>
      <c r="G245" s="312" t="s">
        <v>68</v>
      </c>
      <c r="H245" s="617">
        <f>IFERROR(H89+H192+H229+H243,0)</f>
        <v>0</v>
      </c>
      <c r="J245" s="29" t="s">
        <v>365</v>
      </c>
      <c r="K245" s="29">
        <v>2</v>
      </c>
      <c r="Q245" s="44"/>
      <c r="R245" s="44"/>
    </row>
    <row r="246" spans="1:18" s="29" customFormat="1">
      <c r="A246" s="592"/>
      <c r="B246" s="307"/>
      <c r="C246" s="305"/>
      <c r="D246" s="305"/>
      <c r="E246" s="305"/>
      <c r="F246" s="305"/>
      <c r="G246" s="314"/>
      <c r="H246" s="571"/>
      <c r="J246" s="29" t="s">
        <v>366</v>
      </c>
      <c r="K246" s="29">
        <v>2</v>
      </c>
      <c r="Q246" s="52"/>
      <c r="R246" s="44"/>
    </row>
    <row r="247" spans="1:18" s="29" customFormat="1" ht="15.75" customHeight="1">
      <c r="A247" s="592"/>
      <c r="B247" s="327" t="s">
        <v>37</v>
      </c>
      <c r="C247" s="314"/>
      <c r="D247" s="809" t="s">
        <v>372</v>
      </c>
      <c r="E247" s="809"/>
      <c r="F247" s="809"/>
      <c r="G247" s="314"/>
      <c r="H247" s="646"/>
      <c r="Q247" s="52"/>
      <c r="R247" s="44"/>
    </row>
    <row r="248" spans="1:18" s="29" customFormat="1" ht="15.6">
      <c r="A248" s="592"/>
      <c r="B248" s="328"/>
      <c r="C248" s="314"/>
      <c r="D248" s="809"/>
      <c r="E248" s="809"/>
      <c r="F248" s="809"/>
      <c r="G248" s="314"/>
      <c r="H248" s="646"/>
      <c r="Q248" s="52"/>
      <c r="R248" s="44"/>
    </row>
    <row r="249" spans="1:18" s="29" customFormat="1" ht="15.6">
      <c r="A249" s="647" t="s">
        <v>261</v>
      </c>
      <c r="B249" s="328" t="s">
        <v>99</v>
      </c>
      <c r="C249" s="347">
        <f>IFERROR(SUM(G32+G35+G37+G38+G47+G50),0)</f>
        <v>0</v>
      </c>
      <c r="D249" s="314" t="s">
        <v>265</v>
      </c>
      <c r="E249" s="137"/>
      <c r="F249" s="314" t="s">
        <v>266</v>
      </c>
      <c r="G249" s="139">
        <f>MIN(IFERROR(SUM(C249+E249),0),100%)</f>
        <v>0</v>
      </c>
      <c r="H249" s="571"/>
      <c r="L249" s="52"/>
      <c r="M249" s="44"/>
    </row>
    <row r="250" spans="1:18" s="29" customFormat="1" ht="15.6">
      <c r="A250" s="647" t="s">
        <v>262</v>
      </c>
      <c r="B250" s="328" t="s">
        <v>100</v>
      </c>
      <c r="C250" s="347">
        <f>IFERROR(SUM(F19+G96+G98+G100+G103+G106+G107+G108+G109+G110),0)</f>
        <v>0</v>
      </c>
      <c r="D250" s="314" t="s">
        <v>265</v>
      </c>
      <c r="E250" s="137"/>
      <c r="F250" s="314" t="s">
        <v>266</v>
      </c>
      <c r="G250" s="139">
        <f>MIN(IFERROR(SUM(C250+E250),0),100%)</f>
        <v>0</v>
      </c>
      <c r="H250" s="571"/>
      <c r="L250" s="52"/>
      <c r="M250" s="44"/>
    </row>
    <row r="251" spans="1:18" s="29" customFormat="1" ht="15.6">
      <c r="A251" s="647" t="s">
        <v>263</v>
      </c>
      <c r="B251" s="328" t="s">
        <v>101</v>
      </c>
      <c r="C251" s="347">
        <f>IFERROR(G206,0)</f>
        <v>0</v>
      </c>
      <c r="D251" s="314" t="s">
        <v>265</v>
      </c>
      <c r="E251" s="137"/>
      <c r="F251" s="286" t="s">
        <v>266</v>
      </c>
      <c r="G251" s="139">
        <f>MIN(IFERROR(SUM(C251+E251),0),100%)</f>
        <v>0</v>
      </c>
      <c r="H251" s="562"/>
      <c r="I251" s="3"/>
      <c r="J251" s="3"/>
      <c r="K251" s="3"/>
      <c r="L251" s="52"/>
      <c r="M251" s="44"/>
    </row>
    <row r="252" spans="1:18" s="29" customFormat="1">
      <c r="A252" s="622"/>
      <c r="B252" s="320"/>
      <c r="C252" s="323"/>
      <c r="D252" s="323"/>
      <c r="E252" s="323"/>
      <c r="F252" s="323"/>
      <c r="G252" s="648"/>
      <c r="H252" s="649"/>
      <c r="J252" s="3"/>
      <c r="K252" s="3"/>
      <c r="L252" s="3"/>
      <c r="M252" s="3"/>
      <c r="N252" s="3"/>
      <c r="O252" s="3"/>
      <c r="P252" s="3"/>
      <c r="Q252" s="52"/>
      <c r="R252" s="44"/>
    </row>
    <row r="253" spans="1:18" s="29" customFormat="1">
      <c r="A253" s="161"/>
      <c r="B253" s="3"/>
      <c r="C253" s="3"/>
      <c r="D253" s="3"/>
      <c r="E253" s="3"/>
      <c r="F253" s="3"/>
      <c r="G253" s="10"/>
      <c r="H253" s="3"/>
      <c r="J253" s="3"/>
      <c r="K253" s="3"/>
      <c r="L253" s="3"/>
      <c r="M253" s="3"/>
      <c r="N253" s="3"/>
      <c r="O253" s="3"/>
      <c r="P253" s="3"/>
      <c r="Q253" s="52"/>
      <c r="R253" s="44"/>
    </row>
    <row r="254" spans="1:18" s="29" customFormat="1">
      <c r="A254" s="161"/>
      <c r="B254" s="3"/>
      <c r="C254" s="3"/>
      <c r="D254" s="3"/>
      <c r="E254" s="3"/>
      <c r="F254" s="3"/>
      <c r="G254" s="10"/>
      <c r="H254" s="3"/>
      <c r="J254" s="3"/>
      <c r="K254" s="3"/>
      <c r="L254" s="3"/>
      <c r="M254" s="3"/>
      <c r="N254" s="3"/>
      <c r="O254" s="3"/>
      <c r="P254" s="3"/>
      <c r="Q254" s="52"/>
      <c r="R254" s="44"/>
    </row>
    <row r="255" spans="1:18" s="29" customFormat="1">
      <c r="A255" s="161"/>
      <c r="B255" s="3"/>
      <c r="C255" s="3"/>
      <c r="D255" s="3"/>
      <c r="E255" s="3"/>
      <c r="F255" s="3"/>
      <c r="G255" s="10"/>
      <c r="H255" s="3"/>
      <c r="J255" s="3"/>
      <c r="K255" s="3"/>
      <c r="L255" s="3"/>
      <c r="M255" s="3"/>
      <c r="N255" s="3"/>
      <c r="O255" s="3"/>
      <c r="P255" s="3"/>
      <c r="Q255" s="52"/>
      <c r="R255" s="44"/>
    </row>
    <row r="256" spans="1:18" s="29" customFormat="1">
      <c r="A256" s="161"/>
      <c r="B256" s="3"/>
      <c r="C256" s="3"/>
      <c r="D256" s="3"/>
      <c r="E256" s="3"/>
      <c r="F256" s="3"/>
      <c r="G256" s="10"/>
      <c r="H256" s="3"/>
      <c r="J256" s="3"/>
      <c r="K256" s="3"/>
      <c r="L256" s="3"/>
      <c r="M256" s="3"/>
      <c r="N256" s="3"/>
      <c r="O256" s="3"/>
      <c r="P256" s="3"/>
      <c r="Q256" s="44"/>
      <c r="R256" s="44"/>
    </row>
    <row r="257" spans="1:18" s="29" customFormat="1">
      <c r="A257" s="161"/>
      <c r="B257" s="3"/>
      <c r="C257" s="3"/>
      <c r="D257" s="3"/>
      <c r="E257" s="3"/>
      <c r="F257" s="3"/>
      <c r="G257" s="10"/>
      <c r="H257" s="3"/>
      <c r="J257" s="3"/>
      <c r="K257" s="3"/>
      <c r="L257" s="3"/>
      <c r="M257" s="3"/>
      <c r="N257" s="3"/>
      <c r="O257" s="3"/>
      <c r="P257" s="3"/>
      <c r="Q257" s="44"/>
      <c r="R257" s="44"/>
    </row>
    <row r="258" spans="1:18" s="29" customFormat="1">
      <c r="A258" s="161"/>
      <c r="B258" s="3"/>
      <c r="C258" s="3"/>
      <c r="D258" s="3"/>
      <c r="E258" s="3"/>
      <c r="F258" s="3"/>
      <c r="G258" s="10"/>
      <c r="H258" s="3"/>
      <c r="J258" s="3"/>
      <c r="K258" s="3"/>
      <c r="L258" s="3"/>
      <c r="M258" s="3"/>
      <c r="N258" s="3"/>
      <c r="O258" s="3"/>
      <c r="P258" s="3"/>
      <c r="Q258" s="44"/>
      <c r="R258" s="44"/>
    </row>
    <row r="259" spans="1:18" s="29" customFormat="1">
      <c r="A259" s="161"/>
      <c r="B259" s="3"/>
      <c r="C259" s="3"/>
      <c r="D259" s="3"/>
      <c r="E259" s="3"/>
      <c r="F259" s="3"/>
      <c r="G259" s="10"/>
      <c r="H259" s="3"/>
      <c r="J259" s="3"/>
      <c r="K259" s="3"/>
      <c r="L259" s="3"/>
      <c r="M259" s="3"/>
      <c r="N259" s="3"/>
      <c r="O259" s="3"/>
      <c r="P259" s="3"/>
      <c r="Q259" s="44"/>
      <c r="R259" s="44"/>
    </row>
  </sheetData>
  <sheetProtection algorithmName="SHA-512" hashValue="lQQQwVi9Q3OpJ2D0XOi/BAK0byvjzPVxsOq4D/itJqvEyV075rMjgA8RYvNX5n1Vf1LL3GmaJ+2EpRN4WwhDfQ==" saltValue="dfWcnw+EX4j88q/5q57FCQ==" spinCount="100000" sheet="1" selectLockedCells="1"/>
  <mergeCells count="236">
    <mergeCell ref="B23:C23"/>
    <mergeCell ref="B24:C24"/>
    <mergeCell ref="B25:C25"/>
    <mergeCell ref="B96:D96"/>
    <mergeCell ref="B99:D99"/>
    <mergeCell ref="A98:A99"/>
    <mergeCell ref="B98:D98"/>
    <mergeCell ref="E98:E99"/>
    <mergeCell ref="F98:F99"/>
    <mergeCell ref="B32:D32"/>
    <mergeCell ref="B42:D42"/>
    <mergeCell ref="B41:D41"/>
    <mergeCell ref="A32:A33"/>
    <mergeCell ref="E32:E33"/>
    <mergeCell ref="F32:F33"/>
    <mergeCell ref="B40:D40"/>
    <mergeCell ref="E40:E45"/>
    <mergeCell ref="B82:C82"/>
    <mergeCell ref="B84:C84"/>
    <mergeCell ref="B85:C85"/>
    <mergeCell ref="B86:C86"/>
    <mergeCell ref="E74:F74"/>
    <mergeCell ref="B69:C69"/>
    <mergeCell ref="B67:C67"/>
    <mergeCell ref="A4:B4"/>
    <mergeCell ref="A7:B7"/>
    <mergeCell ref="D7:G7"/>
    <mergeCell ref="B20:C20"/>
    <mergeCell ref="B21:C21"/>
    <mergeCell ref="B22:C22"/>
    <mergeCell ref="D11:D12"/>
    <mergeCell ref="E11:E12"/>
    <mergeCell ref="F11:F12"/>
    <mergeCell ref="B14:C14"/>
    <mergeCell ref="B15:C15"/>
    <mergeCell ref="A11:B12"/>
    <mergeCell ref="B17:C17"/>
    <mergeCell ref="B19:C19"/>
    <mergeCell ref="B16:C16"/>
    <mergeCell ref="G32:G33"/>
    <mergeCell ref="H32:H33"/>
    <mergeCell ref="B33:D33"/>
    <mergeCell ref="B35:D35"/>
    <mergeCell ref="A38:A39"/>
    <mergeCell ref="B38:D39"/>
    <mergeCell ref="E38:E39"/>
    <mergeCell ref="H38:H39"/>
    <mergeCell ref="B37:D37"/>
    <mergeCell ref="B66:C66"/>
    <mergeCell ref="B68:C68"/>
    <mergeCell ref="G98:G99"/>
    <mergeCell ref="H98:H99"/>
    <mergeCell ref="B76:C76"/>
    <mergeCell ref="B78:C78"/>
    <mergeCell ref="B117:D117"/>
    <mergeCell ref="B64:C64"/>
    <mergeCell ref="B74:C74"/>
    <mergeCell ref="B65:C65"/>
    <mergeCell ref="B70:C70"/>
    <mergeCell ref="B71:C71"/>
    <mergeCell ref="B73:C73"/>
    <mergeCell ref="B77:C77"/>
    <mergeCell ref="B79:C79"/>
    <mergeCell ref="B81:C81"/>
    <mergeCell ref="D69:D72"/>
    <mergeCell ref="B72:C72"/>
    <mergeCell ref="B106:D106"/>
    <mergeCell ref="B107:D107"/>
    <mergeCell ref="B115:D115"/>
    <mergeCell ref="B108:D108"/>
    <mergeCell ref="B110:D110"/>
    <mergeCell ref="B114:D114"/>
    <mergeCell ref="D147:D148"/>
    <mergeCell ref="E147:E148"/>
    <mergeCell ref="F147:G147"/>
    <mergeCell ref="F148:G148"/>
    <mergeCell ref="A151:B152"/>
    <mergeCell ref="C151:C152"/>
    <mergeCell ref="D151:D152"/>
    <mergeCell ref="B159:C159"/>
    <mergeCell ref="B172:C172"/>
    <mergeCell ref="B169:C169"/>
    <mergeCell ref="E151:F151"/>
    <mergeCell ref="H162:H165"/>
    <mergeCell ref="E163:F163"/>
    <mergeCell ref="A100:A101"/>
    <mergeCell ref="E164:F164"/>
    <mergeCell ref="E165:F165"/>
    <mergeCell ref="B166:C167"/>
    <mergeCell ref="B170:C170"/>
    <mergeCell ref="A174:A175"/>
    <mergeCell ref="B174:C174"/>
    <mergeCell ref="D174:D175"/>
    <mergeCell ref="E174:E175"/>
    <mergeCell ref="F174:F175"/>
    <mergeCell ref="A166:A167"/>
    <mergeCell ref="A162:A165"/>
    <mergeCell ref="B162:C165"/>
    <mergeCell ref="E162:F162"/>
    <mergeCell ref="B171:C171"/>
    <mergeCell ref="G162:G165"/>
    <mergeCell ref="G174:G175"/>
    <mergeCell ref="H174:H175"/>
    <mergeCell ref="B175:C175"/>
    <mergeCell ref="B129:C129"/>
    <mergeCell ref="B134:C134"/>
    <mergeCell ref="B135:C135"/>
    <mergeCell ref="H40:H45"/>
    <mergeCell ref="B43:D43"/>
    <mergeCell ref="B48:D48"/>
    <mergeCell ref="B49:D49"/>
    <mergeCell ref="B56:D56"/>
    <mergeCell ref="B57:D57"/>
    <mergeCell ref="B58:D58"/>
    <mergeCell ref="A61:B62"/>
    <mergeCell ref="D61:D62"/>
    <mergeCell ref="E61:F61"/>
    <mergeCell ref="G61:G62"/>
    <mergeCell ref="H61:H62"/>
    <mergeCell ref="B54:D54"/>
    <mergeCell ref="B44:D44"/>
    <mergeCell ref="B45:D45"/>
    <mergeCell ref="B53:D53"/>
    <mergeCell ref="B47:D47"/>
    <mergeCell ref="B50:D50"/>
    <mergeCell ref="B100:D100"/>
    <mergeCell ref="E100:E101"/>
    <mergeCell ref="B101:D101"/>
    <mergeCell ref="A103:A104"/>
    <mergeCell ref="E103:E104"/>
    <mergeCell ref="F103:F104"/>
    <mergeCell ref="G103:G104"/>
    <mergeCell ref="H103:H104"/>
    <mergeCell ref="F100:F101"/>
    <mergeCell ref="G100:G101"/>
    <mergeCell ref="H100:H101"/>
    <mergeCell ref="B103:D103"/>
    <mergeCell ref="B104:D104"/>
    <mergeCell ref="B113:D113"/>
    <mergeCell ref="B109:D109"/>
    <mergeCell ref="Q106:Q107"/>
    <mergeCell ref="B118:D118"/>
    <mergeCell ref="B119:D119"/>
    <mergeCell ref="B125:C125"/>
    <mergeCell ref="A127:A128"/>
    <mergeCell ref="D127:D128"/>
    <mergeCell ref="E127:E128"/>
    <mergeCell ref="F127:F128"/>
    <mergeCell ref="G127:G128"/>
    <mergeCell ref="H127:H128"/>
    <mergeCell ref="B128:C128"/>
    <mergeCell ref="B127:C127"/>
    <mergeCell ref="H131:H132"/>
    <mergeCell ref="B132:C132"/>
    <mergeCell ref="B138:C138"/>
    <mergeCell ref="B139:C139"/>
    <mergeCell ref="B140:C140"/>
    <mergeCell ref="B141:C141"/>
    <mergeCell ref="B142:C142"/>
    <mergeCell ref="A145:B145"/>
    <mergeCell ref="F145:G145"/>
    <mergeCell ref="A131:A132"/>
    <mergeCell ref="B131:C131"/>
    <mergeCell ref="D131:D132"/>
    <mergeCell ref="E131:E132"/>
    <mergeCell ref="F131:F132"/>
    <mergeCell ref="G131:G132"/>
    <mergeCell ref="H151:H152"/>
    <mergeCell ref="B155:C155"/>
    <mergeCell ref="B156:C156"/>
    <mergeCell ref="B157:C157"/>
    <mergeCell ref="B158:C158"/>
    <mergeCell ref="A160:A161"/>
    <mergeCell ref="B160:C161"/>
    <mergeCell ref="E160:F160"/>
    <mergeCell ref="G160:G161"/>
    <mergeCell ref="H160:H161"/>
    <mergeCell ref="E161:F161"/>
    <mergeCell ref="G151:G152"/>
    <mergeCell ref="G184:G185"/>
    <mergeCell ref="H184:H185"/>
    <mergeCell ref="B187:C187"/>
    <mergeCell ref="B188:C188"/>
    <mergeCell ref="B189:C189"/>
    <mergeCell ref="E189:F189"/>
    <mergeCell ref="H176:H177"/>
    <mergeCell ref="B177:C177"/>
    <mergeCell ref="A196:B196"/>
    <mergeCell ref="B179:C179"/>
    <mergeCell ref="B180:C180"/>
    <mergeCell ref="E176:E177"/>
    <mergeCell ref="F176:F177"/>
    <mergeCell ref="G176:G177"/>
    <mergeCell ref="B181:C181"/>
    <mergeCell ref="A184:B185"/>
    <mergeCell ref="C184:C185"/>
    <mergeCell ref="D184:D185"/>
    <mergeCell ref="E184:F184"/>
    <mergeCell ref="A176:A177"/>
    <mergeCell ref="B176:C176"/>
    <mergeCell ref="D176:D177"/>
    <mergeCell ref="B199:C199"/>
    <mergeCell ref="B201:C201"/>
    <mergeCell ref="A208:B209"/>
    <mergeCell ref="C208:C209"/>
    <mergeCell ref="D208:D209"/>
    <mergeCell ref="E208:F208"/>
    <mergeCell ref="G208:G209"/>
    <mergeCell ref="H208:H209"/>
    <mergeCell ref="B212:C212"/>
    <mergeCell ref="B205:C205"/>
    <mergeCell ref="B204:C204"/>
    <mergeCell ref="B203:C203"/>
    <mergeCell ref="B213:C213"/>
    <mergeCell ref="B214:C214"/>
    <mergeCell ref="B215:C215"/>
    <mergeCell ref="B218:C218"/>
    <mergeCell ref="B219:C219"/>
    <mergeCell ref="A222:B223"/>
    <mergeCell ref="C222:C223"/>
    <mergeCell ref="D222:D223"/>
    <mergeCell ref="E222:F222"/>
    <mergeCell ref="B217:C217"/>
    <mergeCell ref="B239:D239"/>
    <mergeCell ref="B240:D240"/>
    <mergeCell ref="B242:D242"/>
    <mergeCell ref="D247:F248"/>
    <mergeCell ref="G222:G223"/>
    <mergeCell ref="H222:H223"/>
    <mergeCell ref="B225:C225"/>
    <mergeCell ref="B226:C226"/>
    <mergeCell ref="A233:B233"/>
    <mergeCell ref="B235:D235"/>
    <mergeCell ref="B236:D236"/>
    <mergeCell ref="B237:D237"/>
    <mergeCell ref="B238:D238"/>
  </mergeCells>
  <dataValidations count="3">
    <dataValidation type="list" allowBlank="1" showInputMessage="1" showErrorMessage="1" sqref="A7" xr:uid="{03319361-9E51-447E-9DAF-B9515736ED18}">
      <formula1>$J$1:$J$7</formula1>
    </dataValidation>
    <dataValidation type="list" allowBlank="1" showInputMessage="1" showErrorMessage="1" sqref="E242" xr:uid="{08344353-F2D8-47B6-849D-955DE21E8CC1}">
      <formula1>$J$242:$J$246</formula1>
    </dataValidation>
    <dataValidation type="list" allowBlank="1" showInputMessage="1" showErrorMessage="1" sqref="F148:G148" xr:uid="{ED6C00F5-8D2C-4A56-8F0A-03DCDD02DAF5}">
      <formula1>$K$145:$P$145</formula1>
    </dataValidation>
  </dataValidations>
  <pageMargins left="0.25" right="0.25" top="0.75" bottom="0.75" header="0.3" footer="0.3"/>
  <pageSetup paperSize="9" scale="55" fitToHeight="4" orientation="portrait" r:id="rId1"/>
  <headerFooter>
    <oddFooter>&amp;F</oddFooter>
  </headerFooter>
  <rowBreaks count="3" manualBreakCount="3">
    <brk id="60" max="7" man="1"/>
    <brk id="121" max="7" man="1"/>
    <brk id="183"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R259"/>
  <sheetViews>
    <sheetView zoomScale="80" zoomScaleNormal="80" zoomScaleSheetLayoutView="100" workbookViewId="0">
      <selection activeCell="A7" sqref="A7:B7"/>
    </sheetView>
  </sheetViews>
  <sheetFormatPr defaultColWidth="9.109375" defaultRowHeight="15"/>
  <cols>
    <col min="1" max="1" width="7" style="160"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29" style="3" hidden="1" customWidth="1"/>
    <col min="10" max="10" width="45.6640625" style="3" hidden="1" customWidth="1"/>
    <col min="11" max="15" width="9.109375" style="3" hidden="1" customWidth="1"/>
    <col min="16" max="16" width="9.6640625" style="3" hidden="1" customWidth="1"/>
    <col min="17" max="17" width="9.109375" style="3" customWidth="1"/>
    <col min="18" max="16384" width="9.109375" style="3"/>
  </cols>
  <sheetData>
    <row r="1" spans="1:15" ht="15.6">
      <c r="A1" s="558" t="s">
        <v>89</v>
      </c>
      <c r="B1" s="559"/>
      <c r="C1" s="559"/>
      <c r="D1" s="559"/>
      <c r="E1" s="559"/>
      <c r="F1" s="559"/>
      <c r="G1" s="559"/>
      <c r="H1" s="560"/>
      <c r="J1" s="3" t="s">
        <v>40</v>
      </c>
    </row>
    <row r="2" spans="1:15">
      <c r="A2" s="561"/>
      <c r="B2" s="264"/>
      <c r="C2" s="264"/>
      <c r="D2" s="264"/>
      <c r="E2" s="264"/>
      <c r="F2" s="264"/>
      <c r="G2" s="265"/>
      <c r="H2" s="562"/>
      <c r="I2" s="6"/>
      <c r="J2" s="6" t="s">
        <v>384</v>
      </c>
    </row>
    <row r="3" spans="1:15" ht="15.6">
      <c r="A3" s="563" t="s">
        <v>336</v>
      </c>
      <c r="B3" s="264"/>
      <c r="C3" s="264"/>
      <c r="D3" s="331" t="s">
        <v>134</v>
      </c>
      <c r="E3" s="331" t="s">
        <v>135</v>
      </c>
      <c r="F3" s="331" t="s">
        <v>136</v>
      </c>
      <c r="G3" s="289" t="s">
        <v>104</v>
      </c>
      <c r="H3" s="564" t="s">
        <v>62</v>
      </c>
      <c r="I3" s="6"/>
      <c r="J3" s="6" t="s">
        <v>44</v>
      </c>
    </row>
    <row r="4" spans="1:15" ht="15.6">
      <c r="A4" s="966">
        <f>Summary!A6</f>
        <v>0</v>
      </c>
      <c r="B4" s="967"/>
      <c r="C4" s="264"/>
      <c r="D4" s="74">
        <f>H89</f>
        <v>0</v>
      </c>
      <c r="E4" s="154">
        <f>H192</f>
        <v>0</v>
      </c>
      <c r="F4" s="129">
        <f>H229</f>
        <v>0</v>
      </c>
      <c r="G4" s="138">
        <f>H243</f>
        <v>0</v>
      </c>
      <c r="H4" s="565">
        <f>H245</f>
        <v>0</v>
      </c>
      <c r="I4" s="6"/>
      <c r="J4" s="6" t="s">
        <v>15</v>
      </c>
    </row>
    <row r="5" spans="1:15">
      <c r="A5" s="561"/>
      <c r="B5" s="264"/>
      <c r="C5" s="264"/>
      <c r="D5" s="264"/>
      <c r="E5" s="264"/>
      <c r="F5" s="264"/>
      <c r="G5" s="265"/>
      <c r="H5" s="562"/>
      <c r="I5" s="6"/>
      <c r="J5" s="6" t="s">
        <v>16</v>
      </c>
    </row>
    <row r="6" spans="1:15" s="4" customFormat="1" ht="15.6">
      <c r="A6" s="563" t="s">
        <v>90</v>
      </c>
      <c r="B6" s="296"/>
      <c r="C6" s="296"/>
      <c r="D6" s="297" t="s">
        <v>35</v>
      </c>
      <c r="E6" s="264"/>
      <c r="F6" s="264"/>
      <c r="G6" s="265"/>
      <c r="H6" s="562"/>
      <c r="I6" s="6"/>
      <c r="J6" s="6" t="s">
        <v>383</v>
      </c>
      <c r="K6" s="3"/>
      <c r="L6" s="3"/>
      <c r="M6" s="3"/>
    </row>
    <row r="7" spans="1:15" ht="15.75" customHeight="1">
      <c r="A7" s="976" t="s">
        <v>384</v>
      </c>
      <c r="B7" s="977"/>
      <c r="D7" s="761">
        <f>Summary!A83</f>
        <v>0</v>
      </c>
      <c r="E7" s="779"/>
      <c r="F7" s="779"/>
      <c r="G7" s="780"/>
      <c r="H7" s="566"/>
      <c r="I7" s="29"/>
      <c r="J7" s="29" t="s">
        <v>382</v>
      </c>
    </row>
    <row r="8" spans="1:15" ht="15.6" thickBot="1">
      <c r="A8" s="561"/>
      <c r="B8" s="298"/>
      <c r="C8" s="264"/>
      <c r="D8" s="264"/>
      <c r="E8" s="264"/>
      <c r="F8" s="264"/>
      <c r="G8" s="265"/>
      <c r="H8" s="562"/>
    </row>
    <row r="9" spans="1:15" ht="16.2" thickBot="1">
      <c r="A9" s="567" t="s">
        <v>125</v>
      </c>
      <c r="B9" s="140"/>
      <c r="C9" s="140"/>
      <c r="D9" s="140"/>
      <c r="E9" s="140"/>
      <c r="F9" s="141"/>
      <c r="G9" s="16"/>
      <c r="H9" s="568"/>
    </row>
    <row r="10" spans="1:15">
      <c r="A10" s="561"/>
      <c r="B10" s="299"/>
      <c r="C10" s="264"/>
      <c r="D10" s="264"/>
      <c r="E10" s="264"/>
      <c r="F10" s="264"/>
      <c r="G10" s="265"/>
      <c r="H10" s="562"/>
    </row>
    <row r="11" spans="1:15" ht="15.75" customHeight="1">
      <c r="A11" s="905" t="s">
        <v>0</v>
      </c>
      <c r="B11" s="906"/>
      <c r="C11" s="144"/>
      <c r="D11" s="883" t="s">
        <v>4</v>
      </c>
      <c r="E11" s="882" t="s">
        <v>80</v>
      </c>
      <c r="F11" s="882" t="s">
        <v>21</v>
      </c>
      <c r="G11" s="300"/>
      <c r="H11" s="569"/>
    </row>
    <row r="12" spans="1:15" ht="15.75" customHeight="1">
      <c r="A12" s="907"/>
      <c r="B12" s="908"/>
      <c r="C12" s="145"/>
      <c r="D12" s="884"/>
      <c r="E12" s="882"/>
      <c r="F12" s="882"/>
      <c r="G12" s="300"/>
      <c r="H12" s="569"/>
    </row>
    <row r="13" spans="1:15" s="29" customFormat="1" ht="15.6">
      <c r="A13" s="570" t="s">
        <v>127</v>
      </c>
      <c r="B13" s="167"/>
      <c r="C13" s="167"/>
      <c r="D13" s="167"/>
      <c r="E13" s="170"/>
      <c r="F13" s="170"/>
      <c r="G13" s="301"/>
      <c r="H13" s="571"/>
      <c r="N13" s="44"/>
      <c r="O13" s="44"/>
    </row>
    <row r="14" spans="1:15">
      <c r="A14" s="572">
        <v>1</v>
      </c>
      <c r="B14" s="826" t="s">
        <v>268</v>
      </c>
      <c r="C14" s="827"/>
      <c r="D14" s="511" t="s">
        <v>2</v>
      </c>
      <c r="E14" s="512" t="s">
        <v>49</v>
      </c>
      <c r="F14" s="30"/>
      <c r="G14" s="573" t="str">
        <f>IF(F14&lt;65%,"To comply with min. 65%"," ")</f>
        <v>To comply with min. 65%</v>
      </c>
      <c r="H14" s="574"/>
    </row>
    <row r="15" spans="1:15">
      <c r="A15" s="575">
        <v>2</v>
      </c>
      <c r="B15" s="826" t="s">
        <v>590</v>
      </c>
      <c r="C15" s="827"/>
      <c r="D15" s="513" t="s">
        <v>50</v>
      </c>
      <c r="E15" s="514" t="s">
        <v>49</v>
      </c>
      <c r="F15" s="553"/>
      <c r="G15" s="573" t="str">
        <f>IF(F15&lt;80%,"To comply with min. 80%"," ")</f>
        <v>To comply with min. 80%</v>
      </c>
      <c r="H15" s="562"/>
    </row>
    <row r="16" spans="1:15" ht="15" customHeight="1">
      <c r="A16" s="572">
        <v>3</v>
      </c>
      <c r="B16" s="826" t="s">
        <v>589</v>
      </c>
      <c r="C16" s="827"/>
      <c r="D16" s="513" t="s">
        <v>50</v>
      </c>
      <c r="E16" s="514" t="s">
        <v>49</v>
      </c>
      <c r="F16" s="553"/>
      <c r="G16" s="573" t="str">
        <f>IF(F16&lt;80%,"To comply with min. 80%"," ")</f>
        <v>To comply with min. 80%</v>
      </c>
      <c r="H16" s="569"/>
    </row>
    <row r="17" spans="1:18">
      <c r="A17" s="572">
        <v>4</v>
      </c>
      <c r="B17" s="826" t="s">
        <v>591</v>
      </c>
      <c r="C17" s="827"/>
      <c r="D17" s="515" t="s">
        <v>3</v>
      </c>
      <c r="E17" s="514" t="s">
        <v>49</v>
      </c>
      <c r="F17" s="553"/>
      <c r="G17" s="573" t="str">
        <f>IF(F17&lt;65%,"To comply with min. 65%"," ")</f>
        <v>To comply with min. 65%</v>
      </c>
      <c r="H17" s="569"/>
    </row>
    <row r="18" spans="1:18" s="29" customFormat="1" ht="15.6">
      <c r="A18" s="576" t="s">
        <v>126</v>
      </c>
      <c r="B18" s="167"/>
      <c r="C18" s="167"/>
      <c r="D18" s="167"/>
      <c r="E18" s="168"/>
      <c r="F18" s="169"/>
      <c r="G18" s="534"/>
      <c r="H18" s="571"/>
      <c r="J18" s="10"/>
      <c r="N18" s="44"/>
      <c r="O18" s="44"/>
    </row>
    <row r="19" spans="1:18" ht="32.25" customHeight="1">
      <c r="A19" s="577">
        <v>5</v>
      </c>
      <c r="B19" s="886" t="s">
        <v>269</v>
      </c>
      <c r="C19" s="887"/>
      <c r="D19" s="143" t="s">
        <v>3</v>
      </c>
      <c r="E19" s="537"/>
      <c r="F19" s="31">
        <f>IFERROR(E19/$F$120,0)</f>
        <v>0</v>
      </c>
      <c r="G19" s="573" t="str">
        <f>IF(OR($A$7=$J$2,$A$7=$J$3),IF(E19=0,"Please input wall length"," ")," ")</f>
        <v>Please input wall length</v>
      </c>
      <c r="H19" s="569"/>
    </row>
    <row r="20" spans="1:18">
      <c r="A20" s="577" t="s">
        <v>509</v>
      </c>
      <c r="B20" s="826" t="s">
        <v>270</v>
      </c>
      <c r="C20" s="827"/>
      <c r="D20" s="516" t="s">
        <v>50</v>
      </c>
      <c r="E20" s="514" t="s">
        <v>49</v>
      </c>
      <c r="F20" s="30"/>
      <c r="G20" s="573" t="str">
        <f>IF(OR($A$7=$J$2,$A$7=$J$3),IF(F20&lt;65%,"To comply with min. 65%"," ")," ")</f>
        <v>To comply with min. 65%</v>
      </c>
      <c r="H20" s="569"/>
    </row>
    <row r="21" spans="1:18">
      <c r="A21" s="577" t="s">
        <v>510</v>
      </c>
      <c r="B21" s="826" t="s">
        <v>592</v>
      </c>
      <c r="C21" s="827"/>
      <c r="D21" s="516" t="s">
        <v>50</v>
      </c>
      <c r="E21" s="514" t="s">
        <v>49</v>
      </c>
      <c r="F21" s="30"/>
      <c r="G21" s="573" t="str">
        <f>IF(OR($A$7=$J$2,$A$7=$J$3),IF(F21&lt;60%,"To comply with min. 60%"," ")," ")</f>
        <v>To comply with min. 60%</v>
      </c>
      <c r="H21" s="569"/>
    </row>
    <row r="22" spans="1:18">
      <c r="A22" s="577" t="s">
        <v>511</v>
      </c>
      <c r="B22" s="826" t="s">
        <v>593</v>
      </c>
      <c r="C22" s="827"/>
      <c r="D22" s="516" t="s">
        <v>50</v>
      </c>
      <c r="E22" s="514" t="s">
        <v>49</v>
      </c>
      <c r="F22" s="30"/>
      <c r="G22" s="573" t="str">
        <f>IF(OR($A$7=$J$2,$A$7=$J$3),IF(F22&lt;65%,"To comply with min. 65%"," ")," ")</f>
        <v>To comply with min. 65%</v>
      </c>
      <c r="H22" s="569"/>
    </row>
    <row r="23" spans="1:18">
      <c r="A23" s="577" t="s">
        <v>512</v>
      </c>
      <c r="B23" s="826" t="s">
        <v>594</v>
      </c>
      <c r="C23" s="827"/>
      <c r="D23" s="516" t="s">
        <v>50</v>
      </c>
      <c r="E23" s="514" t="s">
        <v>49</v>
      </c>
      <c r="F23" s="30"/>
      <c r="G23" s="573" t="str">
        <f>IF(OR($A$7=$J$2,$A$7=$J$3),IF(F23&lt;60%,"To comply with min. 60%"," ")," ")</f>
        <v>To comply with min. 60%</v>
      </c>
      <c r="H23" s="569"/>
    </row>
    <row r="24" spans="1:18">
      <c r="A24" s="577" t="s">
        <v>283</v>
      </c>
      <c r="B24" s="826" t="s">
        <v>595</v>
      </c>
      <c r="C24" s="827"/>
      <c r="D24" s="513" t="s">
        <v>50</v>
      </c>
      <c r="E24" s="514" t="s">
        <v>49</v>
      </c>
      <c r="F24" s="553"/>
      <c r="G24" s="573" t="str">
        <f>IF(OR($A$7=$J$2,$A$7=$J$3),IF(F24&lt;65%,"To comply with min. 65%"," ")," ")</f>
        <v>To comply with min. 65%</v>
      </c>
      <c r="H24" s="569"/>
    </row>
    <row r="25" spans="1:18">
      <c r="A25" s="577" t="s">
        <v>513</v>
      </c>
      <c r="B25" s="826" t="s">
        <v>596</v>
      </c>
      <c r="C25" s="827"/>
      <c r="D25" s="513" t="s">
        <v>50</v>
      </c>
      <c r="E25" s="514" t="s">
        <v>49</v>
      </c>
      <c r="F25" s="553"/>
      <c r="G25" s="573" t="str">
        <f>IF(OR($A$7=$J$2,$A$7=$J$3),IF(F25&lt;80%,"To comply with min. 80%"," ")," ")</f>
        <v>To comply with min. 80%</v>
      </c>
      <c r="H25" s="569"/>
    </row>
    <row r="26" spans="1:18">
      <c r="A26" s="561"/>
      <c r="B26" s="264"/>
      <c r="C26" s="264"/>
      <c r="D26" s="264"/>
      <c r="E26" s="264"/>
      <c r="F26" s="264"/>
      <c r="G26" s="265"/>
      <c r="H26" s="562"/>
      <c r="J26" s="6"/>
    </row>
    <row r="27" spans="1:18" ht="15.6">
      <c r="A27" s="578" t="s">
        <v>43</v>
      </c>
      <c r="B27" s="157"/>
      <c r="C27" s="157"/>
      <c r="D27" s="157"/>
      <c r="E27" s="157"/>
      <c r="F27" s="158" t="s">
        <v>42</v>
      </c>
      <c r="G27" s="159">
        <f>VLOOKUP($A$7,'Manpower allocation'!A4:D11,2,FALSE)*100</f>
        <v>45</v>
      </c>
      <c r="H27" s="579" t="s">
        <v>41</v>
      </c>
      <c r="I27" s="365">
        <f>VLOOKUP($A$7,'Manpower allocation'!A4:D11,2,FALSE)*100</f>
        <v>45</v>
      </c>
      <c r="J27" s="6"/>
    </row>
    <row r="28" spans="1:18" ht="15.6">
      <c r="A28" s="561"/>
      <c r="B28" s="302"/>
      <c r="C28" s="303"/>
      <c r="D28" s="264"/>
      <c r="E28" s="264"/>
      <c r="F28" s="264"/>
      <c r="G28" s="265"/>
      <c r="H28" s="562"/>
      <c r="J28" s="6"/>
    </row>
    <row r="29" spans="1:18" s="29" customFormat="1" ht="46.8">
      <c r="A29" s="580" t="s">
        <v>0</v>
      </c>
      <c r="B29" s="40"/>
      <c r="C29" s="40"/>
      <c r="D29" s="41"/>
      <c r="E29" s="42" t="s">
        <v>17</v>
      </c>
      <c r="F29" s="42" t="s">
        <v>113</v>
      </c>
      <c r="G29" s="42" t="s">
        <v>18</v>
      </c>
      <c r="H29" s="42" t="s">
        <v>52</v>
      </c>
      <c r="J29" s="43"/>
      <c r="Q29" s="44"/>
      <c r="R29" s="44"/>
    </row>
    <row r="30" spans="1:18" s="29" customFormat="1" ht="15.6">
      <c r="A30" s="581" t="s">
        <v>187</v>
      </c>
      <c r="B30" s="45" t="s">
        <v>203</v>
      </c>
      <c r="C30" s="46"/>
      <c r="D30" s="46"/>
      <c r="E30" s="47"/>
      <c r="F30" s="47"/>
      <c r="G30" s="47"/>
      <c r="H30" s="582"/>
      <c r="Q30" s="44"/>
      <c r="R30" s="44"/>
    </row>
    <row r="31" spans="1:18" s="29" customFormat="1" ht="15.6">
      <c r="A31" s="583">
        <v>1</v>
      </c>
      <c r="B31" s="39" t="s">
        <v>304</v>
      </c>
      <c r="C31" s="40"/>
      <c r="D31" s="48"/>
      <c r="E31" s="40"/>
      <c r="F31" s="49"/>
      <c r="G31" s="49"/>
      <c r="H31" s="584"/>
      <c r="Q31" s="44"/>
      <c r="R31" s="44"/>
    </row>
    <row r="32" spans="1:18" s="29" customFormat="1">
      <c r="A32" s="918">
        <v>1.1000000000000001</v>
      </c>
      <c r="B32" s="836" t="s">
        <v>271</v>
      </c>
      <c r="C32" s="885"/>
      <c r="D32" s="885"/>
      <c r="E32" s="811">
        <f>VLOOKUP(A32,'Point Allocation'!$A$5:$J$15,MATCH(A7,'Point Allocation'!$A$5:$J$5,0),0)</f>
        <v>45</v>
      </c>
      <c r="F32" s="812"/>
      <c r="G32" s="813">
        <f>IFERROR(F32/$F$59,0)</f>
        <v>0</v>
      </c>
      <c r="H32" s="811">
        <f>E32*G32</f>
        <v>0</v>
      </c>
      <c r="Q32" s="44"/>
      <c r="R32" s="44"/>
    </row>
    <row r="33" spans="1:18" s="29" customFormat="1" ht="15.6">
      <c r="A33" s="919"/>
      <c r="B33" s="810" t="s">
        <v>358</v>
      </c>
      <c r="C33" s="810"/>
      <c r="D33" s="810"/>
      <c r="E33" s="811"/>
      <c r="F33" s="812"/>
      <c r="G33" s="813">
        <f t="shared" ref="G33" si="0">IFERROR(F33/$F$59,0)</f>
        <v>0</v>
      </c>
      <c r="H33" s="811"/>
      <c r="Q33" s="44"/>
      <c r="R33" s="44"/>
    </row>
    <row r="34" spans="1:18" s="29" customFormat="1" ht="15.6">
      <c r="A34" s="583">
        <v>2</v>
      </c>
      <c r="B34" s="39" t="s">
        <v>305</v>
      </c>
      <c r="C34" s="50"/>
      <c r="D34" s="48"/>
      <c r="E34" s="51"/>
      <c r="F34" s="8"/>
      <c r="G34" s="22"/>
      <c r="H34" s="585"/>
      <c r="Q34" s="52"/>
      <c r="R34" s="44"/>
    </row>
    <row r="35" spans="1:18" s="29" customFormat="1">
      <c r="A35" s="586">
        <v>2.1</v>
      </c>
      <c r="B35" s="858" t="s">
        <v>192</v>
      </c>
      <c r="C35" s="859"/>
      <c r="D35" s="840"/>
      <c r="E35" s="20">
        <f>VLOOKUP(A35,'Point Allocation'!$A$5:$J$15,MATCH(A7,'Point Allocation'!$A$5:$J$5,0),0)</f>
        <v>42</v>
      </c>
      <c r="F35" s="537"/>
      <c r="G35" s="31">
        <f>IFERROR(F35/$F$59,0)</f>
        <v>0</v>
      </c>
      <c r="H35" s="20">
        <f>E35*G35</f>
        <v>0</v>
      </c>
      <c r="Q35" s="52"/>
      <c r="R35" s="44"/>
    </row>
    <row r="36" spans="1:18" s="29" customFormat="1" ht="15.6">
      <c r="A36" s="583">
        <v>3</v>
      </c>
      <c r="B36" s="39" t="s">
        <v>306</v>
      </c>
      <c r="C36" s="50"/>
      <c r="D36" s="48"/>
      <c r="E36" s="51"/>
      <c r="F36" s="8"/>
      <c r="G36" s="22"/>
      <c r="H36" s="585"/>
      <c r="Q36" s="52"/>
      <c r="R36" s="44"/>
    </row>
    <row r="37" spans="1:18" s="29" customFormat="1" ht="15" customHeight="1">
      <c r="A37" s="586">
        <v>3.1</v>
      </c>
      <c r="B37" s="858" t="s">
        <v>640</v>
      </c>
      <c r="C37" s="859"/>
      <c r="D37" s="840"/>
      <c r="E37" s="20">
        <f>VLOOKUP(A37,'Point Allocation'!$A$5:$J$15,MATCH(A7,'Point Allocation'!$A$5:$J$5,0),0)</f>
        <v>39</v>
      </c>
      <c r="F37" s="37"/>
      <c r="G37" s="31">
        <f>IFERROR(F37/$F$59,0)</f>
        <v>0</v>
      </c>
      <c r="H37" s="546">
        <f>E37*G37</f>
        <v>0</v>
      </c>
      <c r="Q37" s="52"/>
      <c r="R37" s="44"/>
    </row>
    <row r="38" spans="1:18" s="29" customFormat="1" ht="31.5" customHeight="1">
      <c r="A38" s="909">
        <v>3.2</v>
      </c>
      <c r="B38" s="863" t="s">
        <v>296</v>
      </c>
      <c r="C38" s="911"/>
      <c r="D38" s="864"/>
      <c r="E38" s="828">
        <f>VLOOKUP(A38,'Point Allocation'!$A$5:$J$15,MATCH(A7,'Point Allocation'!$A$5:$J$5,0),0)</f>
        <v>39</v>
      </c>
      <c r="F38" s="37"/>
      <c r="G38" s="31">
        <f>IFERROR(F38/$F$59,0)</f>
        <v>0</v>
      </c>
      <c r="H38" s="828">
        <f>IF(SUM(I40:I45)&gt;=4,E38*G38,0)</f>
        <v>0</v>
      </c>
      <c r="Q38" s="52"/>
      <c r="R38" s="44"/>
    </row>
    <row r="39" spans="1:18" s="29" customFormat="1" ht="46.95" customHeight="1">
      <c r="A39" s="910"/>
      <c r="B39" s="912"/>
      <c r="C39" s="913"/>
      <c r="D39" s="914"/>
      <c r="E39" s="829"/>
      <c r="F39" s="521" t="s">
        <v>601</v>
      </c>
      <c r="G39" s="53" t="s">
        <v>116</v>
      </c>
      <c r="H39" s="829"/>
      <c r="Q39" s="52"/>
      <c r="R39" s="44"/>
    </row>
    <row r="40" spans="1:18" s="29" customFormat="1" ht="112.2" customHeight="1">
      <c r="A40" s="587" t="s">
        <v>181</v>
      </c>
      <c r="B40" s="830" t="s">
        <v>323</v>
      </c>
      <c r="C40" s="831"/>
      <c r="D40" s="832"/>
      <c r="E40" s="900"/>
      <c r="F40" s="536" t="s">
        <v>609</v>
      </c>
      <c r="G40" s="552"/>
      <c r="H40" s="889"/>
      <c r="I40" s="54">
        <f t="shared" ref="I40:I45" si="1">IF(G40&gt;=65%,1,0)</f>
        <v>0</v>
      </c>
      <c r="Q40" s="52"/>
      <c r="R40" s="44"/>
    </row>
    <row r="41" spans="1:18" s="29" customFormat="1" ht="63" customHeight="1">
      <c r="A41" s="587" t="s">
        <v>182</v>
      </c>
      <c r="B41" s="833" t="s">
        <v>204</v>
      </c>
      <c r="C41" s="834"/>
      <c r="D41" s="835"/>
      <c r="E41" s="900"/>
      <c r="F41" s="483" t="s">
        <v>598</v>
      </c>
      <c r="G41" s="553"/>
      <c r="H41" s="889"/>
      <c r="I41" s="54">
        <f t="shared" si="1"/>
        <v>0</v>
      </c>
      <c r="Q41" s="52"/>
      <c r="R41" s="44"/>
    </row>
    <row r="42" spans="1:18" s="29" customFormat="1" ht="48.75" customHeight="1">
      <c r="A42" s="587" t="s">
        <v>190</v>
      </c>
      <c r="B42" s="833" t="s">
        <v>205</v>
      </c>
      <c r="C42" s="834"/>
      <c r="D42" s="835"/>
      <c r="E42" s="900"/>
      <c r="F42" s="483" t="s">
        <v>611</v>
      </c>
      <c r="G42" s="553"/>
      <c r="H42" s="889"/>
      <c r="I42" s="54">
        <f t="shared" si="1"/>
        <v>0</v>
      </c>
      <c r="Q42" s="52"/>
      <c r="R42" s="44"/>
    </row>
    <row r="43" spans="1:18" s="29" customFormat="1" ht="45">
      <c r="A43" s="587" t="s">
        <v>183</v>
      </c>
      <c r="B43" s="833" t="s">
        <v>206</v>
      </c>
      <c r="C43" s="834"/>
      <c r="D43" s="835"/>
      <c r="E43" s="900"/>
      <c r="F43" s="483" t="s">
        <v>597</v>
      </c>
      <c r="G43" s="553"/>
      <c r="H43" s="889"/>
      <c r="I43" s="54">
        <f t="shared" si="1"/>
        <v>0</v>
      </c>
      <c r="Q43" s="52"/>
      <c r="R43" s="44"/>
    </row>
    <row r="44" spans="1:18" s="29" customFormat="1" ht="63" customHeight="1">
      <c r="A44" s="587" t="s">
        <v>191</v>
      </c>
      <c r="B44" s="833" t="s">
        <v>207</v>
      </c>
      <c r="C44" s="834"/>
      <c r="D44" s="835"/>
      <c r="E44" s="900"/>
      <c r="F44" s="483" t="s">
        <v>599</v>
      </c>
      <c r="G44" s="553"/>
      <c r="H44" s="889"/>
      <c r="I44" s="54">
        <f t="shared" si="1"/>
        <v>0</v>
      </c>
      <c r="Q44" s="52"/>
      <c r="R44" s="44"/>
    </row>
    <row r="45" spans="1:18" s="29" customFormat="1" ht="31.5" customHeight="1">
      <c r="A45" s="587" t="s">
        <v>184</v>
      </c>
      <c r="B45" s="915" t="s">
        <v>610</v>
      </c>
      <c r="C45" s="916"/>
      <c r="D45" s="886"/>
      <c r="E45" s="901"/>
      <c r="F45" s="483" t="s">
        <v>600</v>
      </c>
      <c r="G45" s="553"/>
      <c r="H45" s="829"/>
      <c r="I45" s="54">
        <f t="shared" si="1"/>
        <v>0</v>
      </c>
      <c r="Q45" s="52"/>
      <c r="R45" s="44"/>
    </row>
    <row r="46" spans="1:18" s="29" customFormat="1" ht="15.6">
      <c r="A46" s="583" t="s">
        <v>185</v>
      </c>
      <c r="B46" s="39" t="s">
        <v>307</v>
      </c>
      <c r="C46" s="55"/>
      <c r="D46" s="48"/>
      <c r="E46" s="51"/>
      <c r="F46" s="36"/>
      <c r="G46" s="23"/>
      <c r="H46" s="588"/>
      <c r="Q46" s="52"/>
      <c r="R46" s="44"/>
    </row>
    <row r="47" spans="1:18" s="29" customFormat="1" ht="31.5" customHeight="1">
      <c r="A47" s="543">
        <v>4.0999999999999996</v>
      </c>
      <c r="B47" s="858" t="s">
        <v>602</v>
      </c>
      <c r="C47" s="859"/>
      <c r="D47" s="840"/>
      <c r="E47" s="20">
        <f>VLOOKUP(A47,'Point Allocation'!$A$5:$J$15,MATCH(A7,'Point Allocation'!$A$5:$J$5,0),0)</f>
        <v>35</v>
      </c>
      <c r="F47" s="537"/>
      <c r="G47" s="31">
        <f>IFERROR(F47/$F$59,0)</f>
        <v>0</v>
      </c>
      <c r="H47" s="20">
        <f>E47*G47</f>
        <v>0</v>
      </c>
      <c r="Q47" s="52"/>
      <c r="R47" s="44"/>
    </row>
    <row r="48" spans="1:18" s="29" customFormat="1">
      <c r="A48" s="589">
        <v>4.2</v>
      </c>
      <c r="B48" s="825" t="s">
        <v>313</v>
      </c>
      <c r="C48" s="826"/>
      <c r="D48" s="827"/>
      <c r="E48" s="20">
        <f>VLOOKUP(A48,'Point Allocation'!$A$5:$J$15,MATCH(A7,'Point Allocation'!$A$5:$J$5,0),0)</f>
        <v>35</v>
      </c>
      <c r="F48" s="537"/>
      <c r="G48" s="31">
        <f>IFERROR(F48/$F$59,0)</f>
        <v>0</v>
      </c>
      <c r="H48" s="20">
        <f>E48*G48</f>
        <v>0</v>
      </c>
      <c r="Q48" s="52"/>
      <c r="R48" s="44"/>
    </row>
    <row r="49" spans="1:18" s="29" customFormat="1">
      <c r="A49" s="589">
        <v>4.3</v>
      </c>
      <c r="B49" s="902" t="s">
        <v>311</v>
      </c>
      <c r="C49" s="903"/>
      <c r="D49" s="904"/>
      <c r="E49" s="20">
        <f>VLOOKUP(A49,'Point Allocation'!$A$5:$J$15,MATCH(A7,'Point Allocation'!$A$5:$J$5,0),0)</f>
        <v>28</v>
      </c>
      <c r="F49" s="537"/>
      <c r="G49" s="31">
        <f>IFERROR(F49/$F$59,0)</f>
        <v>0</v>
      </c>
      <c r="H49" s="20">
        <f>E49*G49</f>
        <v>0</v>
      </c>
      <c r="Q49" s="52"/>
      <c r="R49" s="44"/>
    </row>
    <row r="50" spans="1:18" s="29" customFormat="1">
      <c r="A50" s="543">
        <v>4.4000000000000004</v>
      </c>
      <c r="B50" s="858" t="s">
        <v>312</v>
      </c>
      <c r="C50" s="859"/>
      <c r="D50" s="840"/>
      <c r="E50" s="20">
        <f>VLOOKUP(A50,'Point Allocation'!$A$5:$J$15,MATCH(A7,'Point Allocation'!$A$5:$J$5,0),0)</f>
        <v>28</v>
      </c>
      <c r="F50" s="537"/>
      <c r="G50" s="31">
        <f>IFERROR(F50/$F$59,0)</f>
        <v>0</v>
      </c>
      <c r="H50" s="20">
        <f>E50*G50</f>
        <v>0</v>
      </c>
      <c r="Q50" s="52"/>
      <c r="R50" s="44"/>
    </row>
    <row r="51" spans="1:18" s="58" customFormat="1" ht="15.6">
      <c r="A51" s="581" t="s">
        <v>186</v>
      </c>
      <c r="B51" s="45" t="s">
        <v>200</v>
      </c>
      <c r="C51" s="56"/>
      <c r="D51" s="57"/>
      <c r="E51" s="7"/>
      <c r="F51" s="7"/>
      <c r="G51" s="24"/>
      <c r="H51" s="590"/>
      <c r="I51" s="29"/>
      <c r="J51" s="29"/>
      <c r="K51" s="29"/>
      <c r="L51" s="29"/>
      <c r="M51" s="29"/>
      <c r="Q51" s="59"/>
    </row>
    <row r="52" spans="1:18" s="58" customFormat="1" ht="15.6">
      <c r="A52" s="39">
        <v>5</v>
      </c>
      <c r="B52" s="39" t="s">
        <v>201</v>
      </c>
      <c r="C52" s="48"/>
      <c r="D52" s="48"/>
      <c r="E52" s="8"/>
      <c r="F52" s="8"/>
      <c r="G52" s="22"/>
      <c r="H52" s="588"/>
      <c r="I52" s="29"/>
      <c r="J52" s="29"/>
      <c r="K52" s="29"/>
      <c r="L52" s="29"/>
      <c r="M52" s="29"/>
      <c r="Q52" s="59"/>
    </row>
    <row r="53" spans="1:18" s="29" customFormat="1">
      <c r="A53" s="541">
        <v>5.0999999999999996</v>
      </c>
      <c r="B53" s="822" t="s">
        <v>193</v>
      </c>
      <c r="C53" s="823"/>
      <c r="D53" s="824"/>
      <c r="E53" s="20">
        <f>VLOOKUP(A53,'Point Allocation'!$A$5:$J$15,MATCH(A7,'Point Allocation'!$A$5:$J$5,0),0)</f>
        <v>22</v>
      </c>
      <c r="F53" s="537"/>
      <c r="G53" s="31">
        <f>IFERROR(F53/$F$59,0)</f>
        <v>0</v>
      </c>
      <c r="H53" s="20">
        <f>E53*G53</f>
        <v>0</v>
      </c>
      <c r="Q53" s="52"/>
      <c r="R53" s="44"/>
    </row>
    <row r="54" spans="1:18" s="29" customFormat="1">
      <c r="A54" s="541">
        <v>5.2</v>
      </c>
      <c r="B54" s="822" t="s">
        <v>142</v>
      </c>
      <c r="C54" s="823"/>
      <c r="D54" s="824"/>
      <c r="E54" s="20">
        <f>VLOOKUP(A54,'Point Allocation'!$A$5:$J$15,MATCH(A7,'Point Allocation'!$A$5:$J$5,0),0)</f>
        <v>10</v>
      </c>
      <c r="F54" s="537"/>
      <c r="G54" s="31">
        <f>IFERROR(F54/$F$59,0)</f>
        <v>0</v>
      </c>
      <c r="H54" s="20">
        <f>E54*G54</f>
        <v>0</v>
      </c>
      <c r="Q54" s="52"/>
      <c r="R54" s="44"/>
    </row>
    <row r="55" spans="1:18" s="29" customFormat="1" ht="15.6">
      <c r="A55" s="60">
        <v>6</v>
      </c>
      <c r="B55" s="60" t="s">
        <v>202</v>
      </c>
      <c r="C55" s="48"/>
      <c r="D55" s="48"/>
      <c r="E55" s="8"/>
      <c r="F55" s="8"/>
      <c r="G55" s="22"/>
      <c r="H55" s="588"/>
      <c r="Q55" s="52"/>
      <c r="R55" s="44"/>
    </row>
    <row r="56" spans="1:18" s="29" customFormat="1">
      <c r="A56" s="591">
        <v>6.1</v>
      </c>
      <c r="B56" s="762"/>
      <c r="C56" s="763"/>
      <c r="D56" s="803"/>
      <c r="E56" s="537"/>
      <c r="F56" s="537"/>
      <c r="G56" s="31">
        <f>IFERROR(F56/$F$59,0)</f>
        <v>0</v>
      </c>
      <c r="H56" s="20">
        <f>E56*G56</f>
        <v>0</v>
      </c>
      <c r="Q56" s="52"/>
      <c r="R56" s="44"/>
    </row>
    <row r="57" spans="1:18" s="29" customFormat="1">
      <c r="A57" s="591">
        <v>6.2</v>
      </c>
      <c r="B57" s="762"/>
      <c r="C57" s="763"/>
      <c r="D57" s="803"/>
      <c r="E57" s="537"/>
      <c r="F57" s="537"/>
      <c r="G57" s="31">
        <f>IFERROR(F57/$F$59,0)</f>
        <v>0</v>
      </c>
      <c r="H57" s="20">
        <f>E57*G57</f>
        <v>0</v>
      </c>
      <c r="Q57" s="52"/>
      <c r="R57" s="44"/>
    </row>
    <row r="58" spans="1:18" s="29" customFormat="1">
      <c r="A58" s="591">
        <v>6.3</v>
      </c>
      <c r="B58" s="762"/>
      <c r="C58" s="763"/>
      <c r="D58" s="803"/>
      <c r="E58" s="537"/>
      <c r="F58" s="537"/>
      <c r="G58" s="31">
        <f>IFERROR(F58/$F$59,0)</f>
        <v>0</v>
      </c>
      <c r="H58" s="20">
        <f>E58*G58</f>
        <v>0</v>
      </c>
      <c r="Q58" s="52"/>
      <c r="R58" s="44"/>
    </row>
    <row r="59" spans="1:18" s="29" customFormat="1" ht="15.6">
      <c r="A59" s="592"/>
      <c r="B59" s="304"/>
      <c r="C59" s="305"/>
      <c r="D59" s="305"/>
      <c r="E59" s="306" t="s">
        <v>60</v>
      </c>
      <c r="F59" s="26">
        <f>SUM(F32,F35,F37,F38,F47,F48,F49,F50,F53,F54,F56,F57,F58)</f>
        <v>0</v>
      </c>
      <c r="G59" s="25">
        <f>SUM(G32,G35:G35,G37:G38,G47:G50,G53:G54,G56:G58)</f>
        <v>0</v>
      </c>
      <c r="H59" s="593">
        <f>IFERROR(SUM(H32:H58),0)</f>
        <v>0</v>
      </c>
      <c r="M59" s="61"/>
      <c r="Q59" s="52"/>
      <c r="R59" s="44"/>
    </row>
    <row r="60" spans="1:18" s="29" customFormat="1" ht="15.6" thickBot="1">
      <c r="A60" s="594"/>
      <c r="B60" s="361"/>
      <c r="C60" s="362"/>
      <c r="D60" s="362"/>
      <c r="E60" s="362"/>
      <c r="F60" s="362"/>
      <c r="G60" s="354"/>
      <c r="H60" s="595"/>
      <c r="Q60" s="52"/>
      <c r="R60" s="44"/>
    </row>
    <row r="61" spans="1:18" s="29" customFormat="1" ht="15.6">
      <c r="A61" s="896" t="s">
        <v>0</v>
      </c>
      <c r="B61" s="897"/>
      <c r="C61" s="461"/>
      <c r="D61" s="892" t="s">
        <v>4</v>
      </c>
      <c r="E61" s="894" t="s">
        <v>1</v>
      </c>
      <c r="F61" s="895"/>
      <c r="G61" s="890" t="s">
        <v>21</v>
      </c>
      <c r="H61" s="892" t="s">
        <v>62</v>
      </c>
      <c r="Q61" s="52"/>
      <c r="R61" s="44"/>
    </row>
    <row r="62" spans="1:18" s="29" customFormat="1" ht="31.2">
      <c r="A62" s="898"/>
      <c r="B62" s="899"/>
      <c r="C62" s="62"/>
      <c r="D62" s="893"/>
      <c r="E62" s="42" t="s">
        <v>117</v>
      </c>
      <c r="F62" s="42" t="s">
        <v>118</v>
      </c>
      <c r="G62" s="891"/>
      <c r="H62" s="893"/>
      <c r="I62" s="63"/>
      <c r="Q62" s="52"/>
      <c r="R62" s="44"/>
    </row>
    <row r="63" spans="1:18" s="29" customFormat="1" ht="15.6">
      <c r="A63" s="45" t="s">
        <v>208</v>
      </c>
      <c r="B63" s="45" t="s">
        <v>139</v>
      </c>
      <c r="C63" s="57"/>
      <c r="D63" s="64"/>
      <c r="E63" s="47"/>
      <c r="F63" s="47"/>
      <c r="G63" s="47"/>
      <c r="H63" s="596"/>
      <c r="I63" s="61"/>
      <c r="J63" s="61"/>
      <c r="K63" s="61"/>
      <c r="L63" s="61"/>
      <c r="Q63" s="52"/>
      <c r="R63" s="44"/>
    </row>
    <row r="64" spans="1:18" s="29" customFormat="1" ht="15" customHeight="1">
      <c r="A64" s="597" t="s">
        <v>314</v>
      </c>
      <c r="B64" s="837" t="s">
        <v>647</v>
      </c>
      <c r="C64" s="838"/>
      <c r="D64" s="5" t="s">
        <v>50</v>
      </c>
      <c r="E64" s="9">
        <v>3</v>
      </c>
      <c r="F64" s="9">
        <v>4</v>
      </c>
      <c r="G64" s="30"/>
      <c r="H64" s="20">
        <f>IF(G64&gt;=80%,F64,IF(G64&lt;65%,0,E64))</f>
        <v>0</v>
      </c>
      <c r="Q64" s="52"/>
      <c r="R64" s="44"/>
    </row>
    <row r="65" spans="1:18" s="29" customFormat="1">
      <c r="A65" s="597" t="s">
        <v>315</v>
      </c>
      <c r="B65" s="837" t="s">
        <v>646</v>
      </c>
      <c r="C65" s="838"/>
      <c r="D65" s="5" t="s">
        <v>50</v>
      </c>
      <c r="E65" s="9">
        <v>3</v>
      </c>
      <c r="F65" s="9">
        <v>4</v>
      </c>
      <c r="G65" s="30"/>
      <c r="H65" s="20">
        <f>IF(G65&gt;=80%,F65,IF(G65&lt;65%,0,E65))</f>
        <v>0</v>
      </c>
      <c r="Q65" s="52"/>
      <c r="R65" s="44"/>
    </row>
    <row r="66" spans="1:18" s="29" customFormat="1">
      <c r="A66" s="598" t="s">
        <v>316</v>
      </c>
      <c r="B66" s="837" t="s">
        <v>641</v>
      </c>
      <c r="C66" s="838"/>
      <c r="D66" s="5" t="s">
        <v>50</v>
      </c>
      <c r="E66" s="9">
        <v>3</v>
      </c>
      <c r="F66" s="9">
        <v>4</v>
      </c>
      <c r="G66" s="30"/>
      <c r="H66" s="20">
        <f>IF(G66&gt;=80%,F66,IF(G66&lt;65%,0,E66))</f>
        <v>0</v>
      </c>
      <c r="Q66" s="52"/>
      <c r="R66" s="44"/>
    </row>
    <row r="67" spans="1:18" s="29" customFormat="1" ht="51" customHeight="1">
      <c r="A67" s="597">
        <v>7.2</v>
      </c>
      <c r="B67" s="841" t="s">
        <v>319</v>
      </c>
      <c r="C67" s="841"/>
      <c r="D67" s="385" t="s">
        <v>50</v>
      </c>
      <c r="E67" s="546">
        <v>2</v>
      </c>
      <c r="F67" s="546">
        <v>2.5</v>
      </c>
      <c r="G67" s="518"/>
      <c r="H67" s="546">
        <f>IF(H38&gt;0,0,IF(G67&gt;=80%,F67,IF(G67&lt;65%,0,E67)))</f>
        <v>0</v>
      </c>
      <c r="I67" s="11"/>
      <c r="J67" s="11"/>
      <c r="K67" s="11"/>
      <c r="Q67" s="52"/>
      <c r="R67" s="44"/>
    </row>
    <row r="68" spans="1:18" s="29" customFormat="1" ht="15" customHeight="1">
      <c r="A68" s="597">
        <v>7.3</v>
      </c>
      <c r="B68" s="858" t="s">
        <v>215</v>
      </c>
      <c r="C68" s="859"/>
      <c r="D68" s="353"/>
      <c r="E68" s="353"/>
      <c r="F68" s="353"/>
      <c r="G68" s="519"/>
      <c r="H68" s="599"/>
      <c r="I68" s="11"/>
      <c r="J68" s="11"/>
      <c r="K68" s="11"/>
      <c r="Q68" s="52"/>
      <c r="R68" s="44"/>
    </row>
    <row r="69" spans="1:18" s="29" customFormat="1" ht="32.25" customHeight="1">
      <c r="A69" s="598" t="s">
        <v>209</v>
      </c>
      <c r="B69" s="839" t="s">
        <v>216</v>
      </c>
      <c r="C69" s="840"/>
      <c r="D69" s="980" t="s">
        <v>50</v>
      </c>
      <c r="E69" s="279">
        <v>1</v>
      </c>
      <c r="F69" s="279">
        <v>1.5</v>
      </c>
      <c r="G69" s="553"/>
      <c r="H69" s="279">
        <f>IF(H32+H38&gt;0,0.5,IF(G69&gt;=80%,F69,IF(G69&lt;65%,0,E69)))</f>
        <v>0</v>
      </c>
      <c r="J69" s="11"/>
      <c r="K69" s="11"/>
      <c r="Q69" s="52"/>
      <c r="R69" s="44"/>
    </row>
    <row r="70" spans="1:18" s="29" customFormat="1" ht="47.25" customHeight="1">
      <c r="A70" s="598" t="s">
        <v>210</v>
      </c>
      <c r="B70" s="839" t="s">
        <v>217</v>
      </c>
      <c r="C70" s="840"/>
      <c r="D70" s="981"/>
      <c r="E70" s="279">
        <v>1</v>
      </c>
      <c r="F70" s="279">
        <v>1.5</v>
      </c>
      <c r="G70" s="553"/>
      <c r="H70" s="279">
        <f>IF(H32+H38&gt;0,0.5,IF(G70&gt;=80%,F70,IF(G70&lt;65%,0,E70)))</f>
        <v>0</v>
      </c>
      <c r="Q70" s="52"/>
      <c r="R70" s="44"/>
    </row>
    <row r="71" spans="1:18" s="29" customFormat="1">
      <c r="A71" s="598" t="s">
        <v>222</v>
      </c>
      <c r="B71" s="839" t="s">
        <v>218</v>
      </c>
      <c r="C71" s="840"/>
      <c r="D71" s="981"/>
      <c r="E71" s="279">
        <v>1</v>
      </c>
      <c r="F71" s="279">
        <v>1.5</v>
      </c>
      <c r="G71" s="553"/>
      <c r="H71" s="279">
        <f>IF(H32+H38&gt;0,0.5,IF(G71&gt;=80%,F71,IF(G71&lt;65%,0,E71)))</f>
        <v>0</v>
      </c>
      <c r="Q71" s="52"/>
      <c r="R71" s="44"/>
    </row>
    <row r="72" spans="1:18" s="29" customFormat="1" ht="46.5" customHeight="1">
      <c r="A72" s="598" t="s">
        <v>211</v>
      </c>
      <c r="B72" s="839" t="s">
        <v>219</v>
      </c>
      <c r="C72" s="840"/>
      <c r="D72" s="982"/>
      <c r="E72" s="279">
        <v>1</v>
      </c>
      <c r="F72" s="279">
        <v>1.5</v>
      </c>
      <c r="G72" s="553"/>
      <c r="H72" s="279">
        <f>IF(H32+H38&gt;0,0.5,IF(G72&gt;=80%,F72,IF(G72&lt;65%,0,E72)))</f>
        <v>0</v>
      </c>
      <c r="Q72" s="52"/>
      <c r="R72" s="44"/>
    </row>
    <row r="73" spans="1:18" s="29" customFormat="1">
      <c r="A73" s="597">
        <v>7.4</v>
      </c>
      <c r="B73" s="923" t="s">
        <v>393</v>
      </c>
      <c r="C73" s="923"/>
      <c r="D73" s="332" t="s">
        <v>2</v>
      </c>
      <c r="E73" s="279">
        <v>1</v>
      </c>
      <c r="F73" s="279">
        <v>1.5</v>
      </c>
      <c r="G73" s="553"/>
      <c r="H73" s="279">
        <f>IF(G73&gt;=80%,F73,IF(G73&lt;65%,0,E73))</f>
        <v>0</v>
      </c>
      <c r="Q73" s="52"/>
      <c r="R73" s="44"/>
    </row>
    <row r="74" spans="1:18" s="29" customFormat="1" ht="15" customHeight="1">
      <c r="A74" s="600">
        <v>7.5</v>
      </c>
      <c r="B74" s="928" t="s">
        <v>380</v>
      </c>
      <c r="C74" s="928"/>
      <c r="D74" s="490" t="s">
        <v>377</v>
      </c>
      <c r="E74" s="979">
        <v>2</v>
      </c>
      <c r="F74" s="979"/>
      <c r="G74" s="552"/>
      <c r="H74" s="557">
        <f>IF(G74&gt;=5%,E74,0)</f>
        <v>0</v>
      </c>
      <c r="Q74" s="52"/>
      <c r="R74" s="44"/>
    </row>
    <row r="75" spans="1:18" s="29" customFormat="1" ht="15.6">
      <c r="A75" s="66" t="s">
        <v>212</v>
      </c>
      <c r="B75" s="66" t="s">
        <v>517</v>
      </c>
      <c r="C75" s="67"/>
      <c r="D75" s="68"/>
      <c r="E75" s="69"/>
      <c r="F75" s="69"/>
      <c r="G75" s="69"/>
      <c r="H75" s="601"/>
      <c r="Q75" s="52"/>
      <c r="R75" s="44"/>
    </row>
    <row r="76" spans="1:18" s="29" customFormat="1">
      <c r="A76" s="597">
        <v>8.1</v>
      </c>
      <c r="B76" s="836" t="s">
        <v>220</v>
      </c>
      <c r="C76" s="836"/>
      <c r="D76" s="5" t="s">
        <v>50</v>
      </c>
      <c r="E76" s="20">
        <v>2</v>
      </c>
      <c r="F76" s="20">
        <v>2.5</v>
      </c>
      <c r="G76" s="553"/>
      <c r="H76" s="20">
        <f>IF(G76&gt;=80%,F76,IF(G76&lt;65%,0,E76))</f>
        <v>0</v>
      </c>
      <c r="I76" s="70"/>
      <c r="Q76" s="52"/>
      <c r="R76" s="44"/>
    </row>
    <row r="77" spans="1:18" s="29" customFormat="1">
      <c r="A77" s="597">
        <v>8.1999999999999993</v>
      </c>
      <c r="B77" s="836" t="s">
        <v>221</v>
      </c>
      <c r="C77" s="836"/>
      <c r="D77" s="5" t="s">
        <v>50</v>
      </c>
      <c r="E77" s="20">
        <v>2</v>
      </c>
      <c r="F77" s="20">
        <v>2.5</v>
      </c>
      <c r="G77" s="553"/>
      <c r="H77" s="20">
        <f>IF(G77&gt;=80%,F77,IF(G77&lt;65%,0,E77))</f>
        <v>0</v>
      </c>
      <c r="I77" s="11"/>
      <c r="J77" s="11"/>
      <c r="K77" s="11"/>
      <c r="Q77" s="52"/>
      <c r="R77" s="44"/>
    </row>
    <row r="78" spans="1:18" s="29" customFormat="1" ht="30.6" customHeight="1">
      <c r="A78" s="602">
        <v>8.3000000000000007</v>
      </c>
      <c r="B78" s="825" t="s">
        <v>607</v>
      </c>
      <c r="C78" s="827"/>
      <c r="D78" s="420" t="s">
        <v>50</v>
      </c>
      <c r="E78" s="434">
        <v>2</v>
      </c>
      <c r="F78" s="434">
        <v>2.5</v>
      </c>
      <c r="G78" s="553"/>
      <c r="H78" s="279">
        <f>IF(H76&gt;0,0,IF(G78&gt;=80%,F78,IF(G78&lt;65%,0,E78)))</f>
        <v>0</v>
      </c>
      <c r="I78" s="11"/>
      <c r="J78" s="11"/>
      <c r="K78" s="11"/>
      <c r="Q78" s="52"/>
      <c r="R78" s="44"/>
    </row>
    <row r="79" spans="1:18" s="29" customFormat="1">
      <c r="A79" s="602">
        <v>8.4</v>
      </c>
      <c r="B79" s="917" t="s">
        <v>138</v>
      </c>
      <c r="C79" s="843"/>
      <c r="D79" s="420" t="s">
        <v>2</v>
      </c>
      <c r="E79" s="434">
        <v>2</v>
      </c>
      <c r="F79" s="434">
        <v>2.5</v>
      </c>
      <c r="G79" s="30"/>
      <c r="H79" s="20">
        <f>IF(G79&gt;=80%,F79,IF(G79&lt;65%,0,E79))</f>
        <v>0</v>
      </c>
      <c r="Q79" s="52"/>
      <c r="R79" s="44"/>
    </row>
    <row r="80" spans="1:18" s="29" customFormat="1" ht="15.6">
      <c r="A80" s="66" t="s">
        <v>213</v>
      </c>
      <c r="B80" s="66" t="s">
        <v>518</v>
      </c>
      <c r="C80" s="67"/>
      <c r="D80" s="68"/>
      <c r="E80" s="69"/>
      <c r="F80" s="69"/>
      <c r="G80" s="69"/>
      <c r="H80" s="601"/>
      <c r="Q80" s="52"/>
      <c r="R80" s="44"/>
    </row>
    <row r="81" spans="1:18" s="29" customFormat="1" ht="31.5" customHeight="1">
      <c r="A81" s="602">
        <v>9.1</v>
      </c>
      <c r="B81" s="978" t="s">
        <v>514</v>
      </c>
      <c r="C81" s="978"/>
      <c r="D81" s="420" t="s">
        <v>50</v>
      </c>
      <c r="E81" s="434" t="s">
        <v>49</v>
      </c>
      <c r="F81" s="434">
        <v>2.5</v>
      </c>
      <c r="G81" s="517">
        <f>F21</f>
        <v>0</v>
      </c>
      <c r="H81" s="434">
        <f>IF(G81&gt;=80%,F81,0)</f>
        <v>0</v>
      </c>
      <c r="Q81" s="52"/>
      <c r="R81" s="44"/>
    </row>
    <row r="82" spans="1:18" s="29" customFormat="1" ht="31.5" customHeight="1">
      <c r="A82" s="602">
        <v>9.1999999999999993</v>
      </c>
      <c r="B82" s="825" t="s">
        <v>608</v>
      </c>
      <c r="C82" s="827"/>
      <c r="D82" s="420" t="s">
        <v>50</v>
      </c>
      <c r="E82" s="434">
        <v>2</v>
      </c>
      <c r="F82" s="434">
        <v>2.5</v>
      </c>
      <c r="G82" s="553"/>
      <c r="H82" s="279">
        <f>IF(G82&gt;=80%,F82,IF(G82&lt;65%,0,E82))</f>
        <v>0</v>
      </c>
      <c r="Q82" s="52"/>
      <c r="R82" s="44"/>
    </row>
    <row r="83" spans="1:18" s="29" customFormat="1" ht="15.6">
      <c r="A83" s="71" t="s">
        <v>214</v>
      </c>
      <c r="B83" s="71" t="s">
        <v>202</v>
      </c>
      <c r="C83" s="57"/>
      <c r="D83" s="57"/>
      <c r="E83" s="72"/>
      <c r="F83" s="72"/>
      <c r="G83" s="73"/>
      <c r="H83" s="603"/>
      <c r="Q83" s="52"/>
      <c r="R83" s="44"/>
    </row>
    <row r="84" spans="1:18" s="29" customFormat="1">
      <c r="A84" s="597">
        <v>10.1</v>
      </c>
      <c r="B84" s="776"/>
      <c r="C84" s="776"/>
      <c r="D84" s="520"/>
      <c r="E84" s="537"/>
      <c r="F84" s="537"/>
      <c r="G84" s="553"/>
      <c r="H84" s="20">
        <f>IF(G84&gt;=80%,F84,IF(G84&lt;65%,0,E84))</f>
        <v>0</v>
      </c>
      <c r="Q84" s="52"/>
      <c r="R84" s="44"/>
    </row>
    <row r="85" spans="1:18" s="29" customFormat="1">
      <c r="A85" s="597">
        <v>10.199999999999999</v>
      </c>
      <c r="B85" s="776"/>
      <c r="C85" s="776"/>
      <c r="D85" s="520"/>
      <c r="E85" s="537"/>
      <c r="F85" s="537"/>
      <c r="G85" s="553"/>
      <c r="H85" s="20">
        <f>IF(G85&gt;=80%,F85,IF(G85&lt;65%,0,E85))</f>
        <v>0</v>
      </c>
      <c r="Q85" s="52"/>
      <c r="R85" s="44"/>
    </row>
    <row r="86" spans="1:18" s="29" customFormat="1">
      <c r="A86" s="597">
        <v>10.3</v>
      </c>
      <c r="B86" s="776"/>
      <c r="C86" s="776"/>
      <c r="D86" s="520"/>
      <c r="E86" s="537"/>
      <c r="F86" s="537"/>
      <c r="G86" s="553"/>
      <c r="H86" s="20">
        <f>IF(G86&gt;=80%,F86,IF(G86&lt;65%,0,E86))</f>
        <v>0</v>
      </c>
      <c r="Q86" s="52"/>
      <c r="R86" s="44"/>
    </row>
    <row r="87" spans="1:18" s="29" customFormat="1" ht="15.6">
      <c r="A87" s="604"/>
      <c r="B87" s="307"/>
      <c r="C87" s="305"/>
      <c r="D87" s="305"/>
      <c r="E87" s="308"/>
      <c r="F87" s="309"/>
      <c r="G87" s="310" t="s">
        <v>375</v>
      </c>
      <c r="H87" s="605">
        <f>IFERROR((SUM(H64:H86)),0)</f>
        <v>0</v>
      </c>
      <c r="Q87" s="52"/>
      <c r="R87" s="44"/>
    </row>
    <row r="88" spans="1:18" s="29" customFormat="1">
      <c r="A88" s="592"/>
      <c r="B88" s="307"/>
      <c r="C88" s="305"/>
      <c r="D88" s="305"/>
      <c r="E88" s="305"/>
      <c r="F88" s="305"/>
      <c r="G88" s="311"/>
      <c r="H88" s="571"/>
      <c r="Q88" s="52"/>
      <c r="R88" s="44"/>
    </row>
    <row r="89" spans="1:18" s="29" customFormat="1" ht="15.6">
      <c r="A89" s="592"/>
      <c r="B89" s="307"/>
      <c r="C89" s="305"/>
      <c r="D89" s="305"/>
      <c r="E89" s="305"/>
      <c r="F89" s="305"/>
      <c r="G89" s="312" t="s">
        <v>128</v>
      </c>
      <c r="H89" s="74">
        <f>IFERROR(MIN(G27,H59+H87),0)</f>
        <v>0</v>
      </c>
      <c r="Q89" s="52"/>
      <c r="R89" s="44"/>
    </row>
    <row r="90" spans="1:18" s="29" customFormat="1" ht="16.2" thickBot="1">
      <c r="A90" s="594"/>
      <c r="B90" s="361"/>
      <c r="C90" s="362"/>
      <c r="D90" s="362"/>
      <c r="E90" s="362"/>
      <c r="F90" s="362"/>
      <c r="G90" s="364"/>
      <c r="H90" s="606"/>
      <c r="Q90" s="52"/>
      <c r="R90" s="44"/>
    </row>
    <row r="91" spans="1:18" s="29" customFormat="1" ht="15.6">
      <c r="A91" s="607" t="s">
        <v>51</v>
      </c>
      <c r="B91" s="358"/>
      <c r="C91" s="358"/>
      <c r="D91" s="358"/>
      <c r="E91" s="358"/>
      <c r="F91" s="359" t="s">
        <v>42</v>
      </c>
      <c r="G91" s="360">
        <f>VLOOKUP($A$7,'Manpower allocation'!A4:D11,3,FALSE)*100</f>
        <v>40</v>
      </c>
      <c r="H91" s="608" t="s">
        <v>41</v>
      </c>
      <c r="I91" s="75">
        <f>VLOOKUP($A$7,'Manpower allocation'!A4:D11,3,FALSE)*100</f>
        <v>40</v>
      </c>
      <c r="Q91" s="52"/>
      <c r="R91" s="44"/>
    </row>
    <row r="92" spans="1:18" s="29" customFormat="1" ht="15.6">
      <c r="A92" s="592"/>
      <c r="B92" s="313"/>
      <c r="C92" s="308"/>
      <c r="D92" s="305"/>
      <c r="E92" s="305"/>
      <c r="F92" s="305"/>
      <c r="G92" s="314"/>
      <c r="H92" s="571"/>
      <c r="Q92" s="52"/>
      <c r="R92" s="44"/>
    </row>
    <row r="93" spans="1:18" s="29" customFormat="1" ht="46.8">
      <c r="A93" s="609" t="s">
        <v>0</v>
      </c>
      <c r="B93" s="556"/>
      <c r="C93" s="156"/>
      <c r="D93" s="76"/>
      <c r="E93" s="77" t="s">
        <v>17</v>
      </c>
      <c r="F93" s="78" t="s">
        <v>80</v>
      </c>
      <c r="G93" s="78" t="s">
        <v>20</v>
      </c>
      <c r="H93" s="550" t="s">
        <v>52</v>
      </c>
      <c r="Q93" s="52"/>
      <c r="R93" s="44"/>
    </row>
    <row r="94" spans="1:18" s="29" customFormat="1" ht="15.6">
      <c r="A94" s="79" t="s">
        <v>280</v>
      </c>
      <c r="B94" s="79" t="s">
        <v>298</v>
      </c>
      <c r="C94" s="80"/>
      <c r="D94" s="80"/>
      <c r="E94" s="81"/>
      <c r="F94" s="81"/>
      <c r="G94" s="81"/>
      <c r="H94" s="610"/>
      <c r="Q94" s="52"/>
      <c r="R94" s="44"/>
    </row>
    <row r="95" spans="1:18" s="29" customFormat="1" ht="15.6">
      <c r="A95" s="82">
        <v>1</v>
      </c>
      <c r="B95" s="82" t="s">
        <v>304</v>
      </c>
      <c r="C95" s="83"/>
      <c r="D95" s="83"/>
      <c r="E95" s="84"/>
      <c r="F95" s="84"/>
      <c r="G95" s="84"/>
      <c r="H95" s="611"/>
      <c r="Q95" s="52"/>
      <c r="R95" s="44"/>
    </row>
    <row r="96" spans="1:18" s="29" customFormat="1">
      <c r="A96" s="597">
        <v>1.1000000000000001</v>
      </c>
      <c r="B96" s="858" t="s">
        <v>271</v>
      </c>
      <c r="C96" s="823"/>
      <c r="D96" s="824"/>
      <c r="E96" s="85">
        <f>VLOOKUP(A96,'Point Allocation'!$A$20:$J$41,MATCH(A7,'Point Allocation'!$A$20:$J$20,0),0)</f>
        <v>30</v>
      </c>
      <c r="F96" s="86"/>
      <c r="G96" s="87">
        <f>IFERROR(F96/$F$120,0)</f>
        <v>0</v>
      </c>
      <c r="H96" s="612">
        <f>E96*G96</f>
        <v>0</v>
      </c>
      <c r="Q96" s="44"/>
      <c r="R96" s="44"/>
    </row>
    <row r="97" spans="1:18" s="29" customFormat="1" ht="15.6">
      <c r="A97" s="88">
        <v>2</v>
      </c>
      <c r="B97" s="88" t="s">
        <v>305</v>
      </c>
      <c r="C97" s="89"/>
      <c r="D97" s="90"/>
      <c r="E97" s="90"/>
      <c r="F97" s="91"/>
      <c r="G97" s="92"/>
      <c r="H97" s="613"/>
      <c r="Q97" s="52"/>
      <c r="R97" s="44"/>
    </row>
    <row r="98" spans="1:18" s="29" customFormat="1">
      <c r="A98" s="814">
        <v>2.1</v>
      </c>
      <c r="B98" s="822" t="s">
        <v>196</v>
      </c>
      <c r="C98" s="823"/>
      <c r="D98" s="824"/>
      <c r="E98" s="819">
        <f>VLOOKUP(A98,'Point Allocation'!$A$20:$J$41,MATCH(A7,'Point Allocation'!$A$20:$J$20,0),0)</f>
        <v>28</v>
      </c>
      <c r="F98" s="820"/>
      <c r="G98" s="821">
        <f>IFERROR(F98/$F$120,0)</f>
        <v>0</v>
      </c>
      <c r="H98" s="819">
        <f>E98*G98</f>
        <v>0</v>
      </c>
      <c r="Q98" s="52"/>
      <c r="R98" s="44"/>
    </row>
    <row r="99" spans="1:18" s="29" customFormat="1" ht="15.6">
      <c r="A99" s="878"/>
      <c r="B99" s="816" t="s">
        <v>119</v>
      </c>
      <c r="C99" s="817"/>
      <c r="D99" s="818"/>
      <c r="E99" s="819"/>
      <c r="F99" s="820"/>
      <c r="G99" s="821"/>
      <c r="H99" s="819"/>
      <c r="Q99" s="52"/>
      <c r="R99" s="44"/>
    </row>
    <row r="100" spans="1:18" s="29" customFormat="1">
      <c r="A100" s="814">
        <v>2.2000000000000002</v>
      </c>
      <c r="B100" s="825" t="s">
        <v>606</v>
      </c>
      <c r="C100" s="826"/>
      <c r="D100" s="827"/>
      <c r="E100" s="819">
        <f>VLOOKUP(A100,'Point Allocation'!$A$20:$J$41,MATCH(A7,'Point Allocation'!$A$20:$J$20,0),0)</f>
        <v>28</v>
      </c>
      <c r="F100" s="820"/>
      <c r="G100" s="821">
        <f>IFERROR(F100/$F$120,0)</f>
        <v>0</v>
      </c>
      <c r="H100" s="819">
        <f>E100*G100</f>
        <v>0</v>
      </c>
      <c r="Q100" s="52"/>
      <c r="R100" s="44"/>
    </row>
    <row r="101" spans="1:18" s="29" customFormat="1" ht="15.6">
      <c r="A101" s="815"/>
      <c r="B101" s="816" t="s">
        <v>119</v>
      </c>
      <c r="C101" s="817"/>
      <c r="D101" s="818"/>
      <c r="E101" s="819"/>
      <c r="F101" s="820"/>
      <c r="G101" s="821"/>
      <c r="H101" s="819"/>
      <c r="Q101" s="52"/>
      <c r="R101" s="44"/>
    </row>
    <row r="102" spans="1:18" s="29" customFormat="1" ht="15.6">
      <c r="A102" s="82">
        <v>3</v>
      </c>
      <c r="B102" s="82" t="s">
        <v>306</v>
      </c>
      <c r="C102" s="89"/>
      <c r="D102" s="89"/>
      <c r="E102" s="91"/>
      <c r="F102" s="91"/>
      <c r="G102" s="92"/>
      <c r="H102" s="614"/>
      <c r="Q102" s="52"/>
      <c r="R102" s="44"/>
    </row>
    <row r="103" spans="1:18" s="29" customFormat="1">
      <c r="A103" s="814">
        <v>3.1</v>
      </c>
      <c r="B103" s="822" t="s">
        <v>197</v>
      </c>
      <c r="C103" s="823"/>
      <c r="D103" s="824"/>
      <c r="E103" s="819">
        <f>VLOOKUP(A103,'Point Allocation'!$A$20:$J$41,MATCH(A7,'Point Allocation'!$A$20:$J$20,0),0)</f>
        <v>27</v>
      </c>
      <c r="F103" s="820"/>
      <c r="G103" s="821">
        <f>IFERROR(F103/$F$120,0)</f>
        <v>0</v>
      </c>
      <c r="H103" s="819">
        <f>E103*G103</f>
        <v>0</v>
      </c>
      <c r="Q103" s="52"/>
      <c r="R103" s="44"/>
    </row>
    <row r="104" spans="1:18" s="29" customFormat="1" ht="15.6">
      <c r="A104" s="878"/>
      <c r="B104" s="816" t="s">
        <v>267</v>
      </c>
      <c r="C104" s="817"/>
      <c r="D104" s="818"/>
      <c r="E104" s="819"/>
      <c r="F104" s="820"/>
      <c r="G104" s="821"/>
      <c r="H104" s="819"/>
      <c r="Q104" s="52"/>
      <c r="R104" s="44"/>
    </row>
    <row r="105" spans="1:18" s="29" customFormat="1" ht="15.6">
      <c r="A105" s="82">
        <v>4</v>
      </c>
      <c r="B105" s="82" t="s">
        <v>307</v>
      </c>
      <c r="C105" s="89"/>
      <c r="D105" s="89"/>
      <c r="E105" s="91"/>
      <c r="F105" s="91"/>
      <c r="G105" s="92"/>
      <c r="H105" s="614"/>
      <c r="Q105" s="52"/>
      <c r="R105" s="44"/>
    </row>
    <row r="106" spans="1:18" s="29" customFormat="1" ht="30" customHeight="1">
      <c r="A106" s="598" t="s">
        <v>194</v>
      </c>
      <c r="B106" s="833" t="s">
        <v>273</v>
      </c>
      <c r="C106" s="834"/>
      <c r="D106" s="835"/>
      <c r="E106" s="93">
        <f>VLOOKUP(A106,'Point Allocation'!$A$20:$J$41,MATCH(A7,'Point Allocation'!$A$20:$J$20,0),0)</f>
        <v>25</v>
      </c>
      <c r="F106" s="538"/>
      <c r="G106" s="539">
        <f>IFERROR(F106/$F$120,0)</f>
        <v>0</v>
      </c>
      <c r="H106" s="94">
        <f>E106*G106</f>
        <v>0</v>
      </c>
      <c r="Q106" s="939"/>
      <c r="R106" s="44"/>
    </row>
    <row r="107" spans="1:18" s="29" customFormat="1">
      <c r="A107" s="598" t="s">
        <v>195</v>
      </c>
      <c r="B107" s="833" t="s">
        <v>274</v>
      </c>
      <c r="C107" s="834"/>
      <c r="D107" s="835"/>
      <c r="E107" s="93">
        <f>VLOOKUP(A107,'Point Allocation'!$A$20:$J$41,MATCH(A7,'Point Allocation'!$A$20:$J$20,0),0)</f>
        <v>25</v>
      </c>
      <c r="F107" s="538"/>
      <c r="G107" s="539">
        <f>IFERROR(F107/$F$120,0)</f>
        <v>0</v>
      </c>
      <c r="H107" s="94">
        <f>E107*G107</f>
        <v>0</v>
      </c>
      <c r="Q107" s="939"/>
      <c r="R107" s="44"/>
    </row>
    <row r="108" spans="1:18" s="29" customFormat="1">
      <c r="A108" s="597">
        <v>4.2</v>
      </c>
      <c r="B108" s="848" t="s">
        <v>198</v>
      </c>
      <c r="C108" s="924"/>
      <c r="D108" s="849"/>
      <c r="E108" s="93">
        <f>VLOOKUP(A108,'Point Allocation'!$A$20:$J$41,MATCH(A7,'Point Allocation'!$A$20:$J$20,0),0)</f>
        <v>25</v>
      </c>
      <c r="F108" s="538"/>
      <c r="G108" s="539">
        <f>IFERROR(F108/$F$120,0)</f>
        <v>0</v>
      </c>
      <c r="H108" s="94">
        <f>E108*G108</f>
        <v>0</v>
      </c>
      <c r="Q108" s="52"/>
      <c r="R108" s="44"/>
    </row>
    <row r="109" spans="1:18" s="29" customFormat="1">
      <c r="A109" s="597">
        <v>4.3</v>
      </c>
      <c r="B109" s="925" t="s">
        <v>150</v>
      </c>
      <c r="C109" s="926"/>
      <c r="D109" s="927"/>
      <c r="E109" s="93">
        <f>VLOOKUP(A109,'Point Allocation'!$A$20:$J$41,MATCH(A7,'Point Allocation'!$A$20:$J$20,0),0)</f>
        <v>25</v>
      </c>
      <c r="F109" s="538"/>
      <c r="G109" s="539">
        <f>IFERROR(F109/$F$120,0)</f>
        <v>0</v>
      </c>
      <c r="H109" s="174">
        <f>E109*G109</f>
        <v>0</v>
      </c>
      <c r="Q109" s="52"/>
      <c r="R109" s="44"/>
    </row>
    <row r="110" spans="1:18" s="29" customFormat="1">
      <c r="A110" s="597">
        <v>4.4000000000000004</v>
      </c>
      <c r="B110" s="925" t="s">
        <v>320</v>
      </c>
      <c r="C110" s="926"/>
      <c r="D110" s="927"/>
      <c r="E110" s="93">
        <f>VLOOKUP(A110,'Point Allocation'!$A$20:$J$41,MATCH(A7,'Point Allocation'!$A$20:$J$20,0),0)</f>
        <v>22</v>
      </c>
      <c r="F110" s="538"/>
      <c r="G110" s="539">
        <f>IFERROR(F110/$F$120,0)</f>
        <v>0</v>
      </c>
      <c r="H110" s="174">
        <f>E110*G110</f>
        <v>0</v>
      </c>
      <c r="Q110" s="52"/>
      <c r="R110" s="44"/>
    </row>
    <row r="111" spans="1:18" s="29" customFormat="1" ht="15.6">
      <c r="A111" s="95" t="s">
        <v>281</v>
      </c>
      <c r="B111" s="95" t="s">
        <v>223</v>
      </c>
      <c r="C111" s="96"/>
      <c r="D111" s="97"/>
      <c r="E111" s="98"/>
      <c r="F111" s="99"/>
      <c r="G111" s="100"/>
      <c r="H111" s="615"/>
      <c r="Q111" s="52"/>
      <c r="R111" s="44"/>
    </row>
    <row r="112" spans="1:18" s="29" customFormat="1" ht="15.6">
      <c r="A112" s="82">
        <v>5</v>
      </c>
      <c r="B112" s="82" t="s">
        <v>224</v>
      </c>
      <c r="C112" s="89"/>
      <c r="D112" s="89"/>
      <c r="E112" s="91"/>
      <c r="F112" s="91"/>
      <c r="G112" s="92"/>
      <c r="H112" s="614"/>
      <c r="Q112" s="52"/>
      <c r="R112" s="44"/>
    </row>
    <row r="113" spans="1:18" s="29" customFormat="1">
      <c r="A113" s="597">
        <v>5.0999999999999996</v>
      </c>
      <c r="B113" s="822" t="s">
        <v>199</v>
      </c>
      <c r="C113" s="823"/>
      <c r="D113" s="824"/>
      <c r="E113" s="101">
        <f>VLOOKUP(A113,'Point Allocation'!$A$20:$J$41,MATCH(A7,'Point Allocation'!$A$20:$J$20,0),0)</f>
        <v>16</v>
      </c>
      <c r="F113" s="147"/>
      <c r="G113" s="539">
        <f>IFERROR(F113/$F$120,0)</f>
        <v>0</v>
      </c>
      <c r="H113" s="547">
        <f>E113*G113</f>
        <v>0</v>
      </c>
      <c r="Q113" s="52"/>
      <c r="R113" s="44"/>
    </row>
    <row r="114" spans="1:18" s="29" customFormat="1">
      <c r="A114" s="597">
        <v>5.2</v>
      </c>
      <c r="B114" s="822" t="s">
        <v>321</v>
      </c>
      <c r="C114" s="823"/>
      <c r="D114" s="824"/>
      <c r="E114" s="101">
        <f>VLOOKUP(A114,'Point Allocation'!$A$20:$J$41,MATCH(A7,'Point Allocation'!$A$20:$J$20,0),0)</f>
        <v>5</v>
      </c>
      <c r="F114" s="86"/>
      <c r="G114" s="539">
        <f>IFERROR(F114/$F$120,0)</f>
        <v>0</v>
      </c>
      <c r="H114" s="547">
        <f>E114*G114</f>
        <v>0</v>
      </c>
      <c r="Q114" s="52"/>
      <c r="R114" s="44"/>
    </row>
    <row r="115" spans="1:18" s="29" customFormat="1">
      <c r="A115" s="597">
        <v>5.3</v>
      </c>
      <c r="B115" s="822" t="s">
        <v>322</v>
      </c>
      <c r="C115" s="823"/>
      <c r="D115" s="824"/>
      <c r="E115" s="101">
        <f>VLOOKUP(A115,'Point Allocation'!$A$20:$J$41,MATCH(A7,'Point Allocation'!$A$20:$J$20,0),0)</f>
        <v>0</v>
      </c>
      <c r="F115" s="146"/>
      <c r="G115" s="539">
        <f>IFERROR(F115/$F$120,0)</f>
        <v>0</v>
      </c>
      <c r="H115" s="616">
        <f>E115*G115</f>
        <v>0</v>
      </c>
      <c r="Q115" s="52"/>
      <c r="R115" s="44"/>
    </row>
    <row r="116" spans="1:18" s="29" customFormat="1" ht="15.6">
      <c r="A116" s="102">
        <v>6</v>
      </c>
      <c r="B116" s="102" t="s">
        <v>202</v>
      </c>
      <c r="C116" s="89"/>
      <c r="D116" s="89"/>
      <c r="E116" s="91"/>
      <c r="F116" s="91"/>
      <c r="G116" s="92"/>
      <c r="H116" s="614"/>
      <c r="Q116" s="52"/>
      <c r="R116" s="44"/>
    </row>
    <row r="117" spans="1:18" s="29" customFormat="1">
      <c r="A117" s="386">
        <v>6.1</v>
      </c>
      <c r="B117" s="765"/>
      <c r="C117" s="766"/>
      <c r="D117" s="847"/>
      <c r="E117" s="538"/>
      <c r="F117" s="538"/>
      <c r="G117" s="539">
        <f>IFERROR(F117/$F$120,0)</f>
        <v>0</v>
      </c>
      <c r="H117" s="616">
        <f>E117*G117</f>
        <v>0</v>
      </c>
      <c r="Q117" s="52"/>
      <c r="R117" s="44"/>
    </row>
    <row r="118" spans="1:18" s="29" customFormat="1">
      <c r="A118" s="386">
        <v>6.2</v>
      </c>
      <c r="B118" s="765"/>
      <c r="C118" s="766"/>
      <c r="D118" s="847"/>
      <c r="E118" s="538"/>
      <c r="F118" s="538"/>
      <c r="G118" s="539">
        <f>IFERROR(F118/$F$120,0)</f>
        <v>0</v>
      </c>
      <c r="H118" s="616">
        <f>E118*G118</f>
        <v>0</v>
      </c>
      <c r="Q118" s="52"/>
      <c r="R118" s="44"/>
    </row>
    <row r="119" spans="1:18" s="29" customFormat="1">
      <c r="A119" s="386">
        <v>6.3</v>
      </c>
      <c r="B119" s="920"/>
      <c r="C119" s="920"/>
      <c r="D119" s="920"/>
      <c r="E119" s="538"/>
      <c r="F119" s="538"/>
      <c r="G119" s="539">
        <f>IFERROR(F119/$F$120,0)</f>
        <v>0</v>
      </c>
      <c r="H119" s="616">
        <f>E119*G119</f>
        <v>0</v>
      </c>
      <c r="Q119" s="52"/>
      <c r="R119" s="44"/>
    </row>
    <row r="120" spans="1:18" s="29" customFormat="1" ht="15.6">
      <c r="A120" s="604"/>
      <c r="B120" s="307"/>
      <c r="C120" s="305"/>
      <c r="D120" s="305"/>
      <c r="E120" s="312" t="s">
        <v>61</v>
      </c>
      <c r="F120" s="315">
        <f>SUM(F96:F119)+E19</f>
        <v>0</v>
      </c>
      <c r="G120" s="316">
        <f>SUM(G96:G119)+F19</f>
        <v>0</v>
      </c>
      <c r="H120" s="617">
        <f>IFERROR(SUM(H96:H119),0)</f>
        <v>0</v>
      </c>
      <c r="Q120" s="52"/>
      <c r="R120" s="44"/>
    </row>
    <row r="121" spans="1:18" s="29" customFormat="1" ht="15.6" thickBot="1">
      <c r="A121" s="594"/>
      <c r="B121" s="361"/>
      <c r="C121" s="362"/>
      <c r="D121" s="362"/>
      <c r="E121" s="362"/>
      <c r="F121" s="362"/>
      <c r="G121" s="354"/>
      <c r="H121" s="595"/>
      <c r="Q121" s="52"/>
      <c r="R121" s="44"/>
    </row>
    <row r="122" spans="1:18" s="29" customFormat="1" ht="31.2">
      <c r="A122" s="618" t="s">
        <v>0</v>
      </c>
      <c r="B122" s="458"/>
      <c r="C122" s="458"/>
      <c r="D122" s="549" t="s">
        <v>17</v>
      </c>
      <c r="E122" s="459" t="s">
        <v>80</v>
      </c>
      <c r="F122" s="460" t="s">
        <v>301</v>
      </c>
      <c r="G122" s="460" t="s">
        <v>302</v>
      </c>
      <c r="H122" s="549" t="s">
        <v>52</v>
      </c>
      <c r="Q122" s="52"/>
      <c r="R122" s="44"/>
    </row>
    <row r="123" spans="1:18" s="29" customFormat="1" ht="15.6">
      <c r="A123" s="79" t="s">
        <v>225</v>
      </c>
      <c r="B123" s="79" t="s">
        <v>299</v>
      </c>
      <c r="C123" s="80"/>
      <c r="D123" s="81"/>
      <c r="E123" s="81"/>
      <c r="F123" s="81"/>
      <c r="G123" s="81"/>
      <c r="H123" s="610"/>
      <c r="Q123" s="52"/>
      <c r="R123" s="44"/>
    </row>
    <row r="124" spans="1:18" s="29" customFormat="1" ht="15.6">
      <c r="A124" s="82">
        <v>7</v>
      </c>
      <c r="B124" s="82" t="s">
        <v>304</v>
      </c>
      <c r="C124" s="83"/>
      <c r="D124" s="84"/>
      <c r="E124" s="84"/>
      <c r="F124" s="84"/>
      <c r="G124" s="84"/>
      <c r="H124" s="611"/>
      <c r="Q124" s="52"/>
      <c r="R124" s="44"/>
    </row>
    <row r="125" spans="1:18" s="29" customFormat="1" ht="15" customHeight="1">
      <c r="A125" s="543">
        <v>7.1</v>
      </c>
      <c r="B125" s="858" t="s">
        <v>271</v>
      </c>
      <c r="C125" s="840"/>
      <c r="D125" s="94">
        <f>VLOOKUP(A125,'Point Allocation'!$A$20:$J$41,MATCH(A7,'Point Allocation'!$A$20:$J$20,0),0)</f>
        <v>10</v>
      </c>
      <c r="E125" s="85">
        <f>F96</f>
        <v>0</v>
      </c>
      <c r="F125" s="85">
        <f>F32</f>
        <v>0</v>
      </c>
      <c r="G125" s="87">
        <f>IFERROR(SUM(E125:F125)/SUM($E$143:$F$143),0)</f>
        <v>0</v>
      </c>
      <c r="H125" s="612">
        <f>D125*G125</f>
        <v>0</v>
      </c>
      <c r="Q125" s="52"/>
      <c r="R125" s="44"/>
    </row>
    <row r="126" spans="1:18" s="29" customFormat="1" ht="15.6">
      <c r="A126" s="88">
        <v>8</v>
      </c>
      <c r="B126" s="88" t="s">
        <v>305</v>
      </c>
      <c r="C126" s="89"/>
      <c r="D126" s="90"/>
      <c r="E126" s="91"/>
      <c r="F126" s="91"/>
      <c r="G126" s="92"/>
      <c r="H126" s="613"/>
      <c r="Q126" s="52"/>
      <c r="R126" s="44"/>
    </row>
    <row r="127" spans="1:18" s="29" customFormat="1">
      <c r="A127" s="814">
        <v>8.1</v>
      </c>
      <c r="B127" s="822" t="s">
        <v>303</v>
      </c>
      <c r="C127" s="824"/>
      <c r="D127" s="921">
        <f>VLOOKUP(A127,'Point Allocation'!$A$20:$J$41,MATCH(A7,'Point Allocation'!$A$20:$J$20,0),0)</f>
        <v>8</v>
      </c>
      <c r="E127" s="945">
        <f>F98</f>
        <v>0</v>
      </c>
      <c r="F127" s="946"/>
      <c r="G127" s="983">
        <f>IFERROR(SUM(E127:F128)/SUM($E$143:$F$143),0)</f>
        <v>0</v>
      </c>
      <c r="H127" s="819">
        <f>D127*G127</f>
        <v>0</v>
      </c>
      <c r="Q127" s="52"/>
      <c r="R127" s="44"/>
    </row>
    <row r="128" spans="1:18" s="29" customFormat="1" ht="15.6">
      <c r="A128" s="815"/>
      <c r="B128" s="816" t="s">
        <v>119</v>
      </c>
      <c r="C128" s="818"/>
      <c r="D128" s="922"/>
      <c r="E128" s="945"/>
      <c r="F128" s="946"/>
      <c r="G128" s="984"/>
      <c r="H128" s="819"/>
      <c r="Q128" s="52"/>
      <c r="R128" s="44"/>
    </row>
    <row r="129" spans="1:18" s="29" customFormat="1">
      <c r="A129" s="543">
        <v>8.1999999999999993</v>
      </c>
      <c r="B129" s="825" t="s">
        <v>606</v>
      </c>
      <c r="C129" s="827"/>
      <c r="D129" s="94">
        <f>VLOOKUP(A129,'Point Allocation'!$A$20:$J$41,MATCH(A7,'Point Allocation'!$A$20:$J$20,0),0)</f>
        <v>8</v>
      </c>
      <c r="E129" s="174">
        <f>F100</f>
        <v>0</v>
      </c>
      <c r="F129" s="555"/>
      <c r="G129" s="87">
        <f>IFERROR(SUM(E129:F129)/SUM($E$143:$F$143),0)</f>
        <v>0</v>
      </c>
      <c r="H129" s="94">
        <f>D129*G129</f>
        <v>0</v>
      </c>
      <c r="Q129" s="52"/>
      <c r="R129" s="44"/>
    </row>
    <row r="130" spans="1:18" s="29" customFormat="1" ht="15.6">
      <c r="A130" s="82">
        <v>9</v>
      </c>
      <c r="B130" s="82" t="s">
        <v>306</v>
      </c>
      <c r="C130" s="89"/>
      <c r="D130" s="91"/>
      <c r="E130" s="91"/>
      <c r="F130" s="91"/>
      <c r="G130" s="92"/>
      <c r="H130" s="614"/>
      <c r="Q130" s="52"/>
      <c r="R130" s="44"/>
    </row>
    <row r="131" spans="1:18" s="29" customFormat="1">
      <c r="A131" s="814">
        <v>9.1</v>
      </c>
      <c r="B131" s="822" t="s">
        <v>339</v>
      </c>
      <c r="C131" s="824"/>
      <c r="D131" s="921">
        <f>VLOOKUP(A131,'Point Allocation'!$A$20:$J$41,MATCH(A7,'Point Allocation'!$A$20:$J$20,0),0)</f>
        <v>6</v>
      </c>
      <c r="E131" s="945">
        <f>F103+F108</f>
        <v>0</v>
      </c>
      <c r="F131" s="946"/>
      <c r="G131" s="821">
        <f>IFERROR(SUM(E131:F132)/SUM($E$143:$F$143),0)</f>
        <v>0</v>
      </c>
      <c r="H131" s="819">
        <f>D131*G131</f>
        <v>0</v>
      </c>
      <c r="Q131" s="52"/>
      <c r="R131" s="44"/>
    </row>
    <row r="132" spans="1:18" s="29" customFormat="1" ht="15.6">
      <c r="A132" s="815"/>
      <c r="B132" s="816" t="s">
        <v>5</v>
      </c>
      <c r="C132" s="818"/>
      <c r="D132" s="922"/>
      <c r="E132" s="945"/>
      <c r="F132" s="946"/>
      <c r="G132" s="821"/>
      <c r="H132" s="819"/>
      <c r="Q132" s="52"/>
      <c r="R132" s="44"/>
    </row>
    <row r="133" spans="1:18" s="29" customFormat="1" ht="15.6">
      <c r="A133" s="82">
        <v>10</v>
      </c>
      <c r="B133" s="82" t="s">
        <v>308</v>
      </c>
      <c r="C133" s="89"/>
      <c r="D133" s="91"/>
      <c r="E133" s="91"/>
      <c r="F133" s="91"/>
      <c r="G133" s="92"/>
      <c r="H133" s="614"/>
      <c r="Q133" s="52"/>
      <c r="R133" s="44"/>
    </row>
    <row r="134" spans="1:18" s="29" customFormat="1" ht="15" customHeight="1">
      <c r="A134" s="541">
        <v>10.1</v>
      </c>
      <c r="B134" s="822" t="s">
        <v>340</v>
      </c>
      <c r="C134" s="824"/>
      <c r="D134" s="94">
        <f>VLOOKUP(A134,'Point Allocation'!$A$20:$J$41,MATCH(A7,'Point Allocation'!$A$20:$J$20,0),0)</f>
        <v>4</v>
      </c>
      <c r="E134" s="555"/>
      <c r="F134" s="555"/>
      <c r="G134" s="87">
        <f>IFERROR(SUM(E134:F134)/SUM($E$143:$F$143),0)</f>
        <v>0</v>
      </c>
      <c r="H134" s="94">
        <f>D134*G134</f>
        <v>0</v>
      </c>
      <c r="Q134" s="52"/>
      <c r="R134" s="44"/>
    </row>
    <row r="135" spans="1:18" s="29" customFormat="1" ht="32.25" customHeight="1">
      <c r="A135" s="589">
        <v>10.199999999999999</v>
      </c>
      <c r="B135" s="825" t="s">
        <v>318</v>
      </c>
      <c r="C135" s="827"/>
      <c r="D135" s="94">
        <f>VLOOKUP(A135,'Point Allocation'!$A$20:$J$41,MATCH(A7,'Point Allocation'!$A$20:$J$20,0),0)</f>
        <v>4</v>
      </c>
      <c r="E135" s="173"/>
      <c r="F135" s="555"/>
      <c r="G135" s="539">
        <f>IFERROR(SUM(E135:F135)/SUM($E$143:$F$143),0)</f>
        <v>0</v>
      </c>
      <c r="H135" s="94">
        <f>D135*G135</f>
        <v>0</v>
      </c>
      <c r="Q135" s="52"/>
      <c r="R135" s="44"/>
    </row>
    <row r="136" spans="1:18" s="29" customFormat="1" ht="15.6">
      <c r="A136" s="95" t="s">
        <v>226</v>
      </c>
      <c r="B136" s="95" t="s">
        <v>248</v>
      </c>
      <c r="C136" s="96"/>
      <c r="D136" s="98"/>
      <c r="E136" s="99"/>
      <c r="F136" s="99"/>
      <c r="G136" s="100"/>
      <c r="H136" s="615"/>
      <c r="Q136" s="52"/>
      <c r="R136" s="44"/>
    </row>
    <row r="137" spans="1:18" s="29" customFormat="1" ht="15.6">
      <c r="A137" s="82">
        <v>11</v>
      </c>
      <c r="B137" s="82" t="s">
        <v>249</v>
      </c>
      <c r="C137" s="89"/>
      <c r="D137" s="91"/>
      <c r="E137" s="91"/>
      <c r="F137" s="91"/>
      <c r="G137" s="92"/>
      <c r="H137" s="614"/>
      <c r="Q137" s="52"/>
      <c r="R137" s="44"/>
    </row>
    <row r="138" spans="1:18" s="29" customFormat="1">
      <c r="A138" s="541">
        <v>11.1</v>
      </c>
      <c r="B138" s="822" t="s">
        <v>642</v>
      </c>
      <c r="C138" s="824"/>
      <c r="D138" s="94">
        <f>VLOOKUP(A138,'Point Allocation'!$A$20:$J$41,MATCH(A7,'Point Allocation'!$A$20:$J$20,0),0)</f>
        <v>2</v>
      </c>
      <c r="E138" s="555"/>
      <c r="F138" s="555"/>
      <c r="G138" s="539">
        <f>IFERROR(SUM(E138:F138)/SUM($E$143:$F$143),0)</f>
        <v>0</v>
      </c>
      <c r="H138" s="94">
        <f t="shared" ref="H138:H142" si="2">D138*G138</f>
        <v>0</v>
      </c>
      <c r="Q138" s="52"/>
      <c r="R138" s="44"/>
    </row>
    <row r="139" spans="1:18" s="29" customFormat="1">
      <c r="A139" s="619">
        <v>11.2</v>
      </c>
      <c r="B139" s="848" t="s">
        <v>310</v>
      </c>
      <c r="C139" s="849"/>
      <c r="D139" s="174">
        <f>VLOOKUP(A138,'Point Allocation'!$A$20:$J$41,MATCH(A7,'Point Allocation'!$A$20:$J$20,0),0)</f>
        <v>2</v>
      </c>
      <c r="E139" s="555"/>
      <c r="F139" s="555"/>
      <c r="G139" s="539">
        <f>IFERROR(SUM(E139:F139)/SUM($E$143:$F$143),0)</f>
        <v>0</v>
      </c>
      <c r="H139" s="94">
        <f t="shared" si="2"/>
        <v>0</v>
      </c>
      <c r="Q139" s="52"/>
      <c r="R139" s="44"/>
    </row>
    <row r="140" spans="1:18" s="29" customFormat="1">
      <c r="A140" s="541">
        <v>11.3</v>
      </c>
      <c r="B140" s="848" t="s">
        <v>317</v>
      </c>
      <c r="C140" s="849"/>
      <c r="D140" s="94">
        <f>VLOOKUP(A140,'Point Allocation'!$A$20:$J$41,MATCH(A7,'Point Allocation'!$A$20:$J$20,0),0)</f>
        <v>0</v>
      </c>
      <c r="E140" s="555"/>
      <c r="F140" s="555"/>
      <c r="G140" s="539">
        <f>IFERROR(SUM(E140:F140)/SUM($E$143:$F$143),0)</f>
        <v>0</v>
      </c>
      <c r="H140" s="94">
        <f t="shared" si="2"/>
        <v>0</v>
      </c>
      <c r="Q140" s="52"/>
      <c r="R140" s="44"/>
    </row>
    <row r="141" spans="1:18" s="29" customFormat="1">
      <c r="A141" s="620">
        <v>11.4</v>
      </c>
      <c r="B141" s="968"/>
      <c r="C141" s="969"/>
      <c r="D141" s="538"/>
      <c r="E141" s="555"/>
      <c r="F141" s="555"/>
      <c r="G141" s="539">
        <f>IFERROR(SUM(E141:F141)/SUM($E$143:$F$143),0)</f>
        <v>0</v>
      </c>
      <c r="H141" s="94">
        <f t="shared" si="2"/>
        <v>0</v>
      </c>
      <c r="Q141" s="52"/>
      <c r="R141" s="44"/>
    </row>
    <row r="142" spans="1:18" s="29" customFormat="1">
      <c r="A142" s="620">
        <v>11.5</v>
      </c>
      <c r="B142" s="968"/>
      <c r="C142" s="969"/>
      <c r="D142" s="538"/>
      <c r="E142" s="555"/>
      <c r="F142" s="555"/>
      <c r="G142" s="539">
        <f>IFERROR(SUM(E142:F142)/SUM($E$143:$F$143),0)</f>
        <v>0</v>
      </c>
      <c r="H142" s="94">
        <f t="shared" si="2"/>
        <v>0</v>
      </c>
      <c r="Q142" s="52"/>
      <c r="R142" s="44"/>
    </row>
    <row r="143" spans="1:18" s="29" customFormat="1" ht="15.6">
      <c r="A143" s="592"/>
      <c r="B143" s="307"/>
      <c r="C143" s="305"/>
      <c r="D143" s="312" t="s">
        <v>131</v>
      </c>
      <c r="E143" s="315">
        <f>SUM(E125:E142)</f>
        <v>0</v>
      </c>
      <c r="F143" s="317">
        <f>SUM(F125:F142)</f>
        <v>0</v>
      </c>
      <c r="G143" s="318">
        <f>SUM(G125:G142)</f>
        <v>0</v>
      </c>
      <c r="H143" s="621">
        <f>IFERROR(SUM(H125:H142),0)</f>
        <v>0</v>
      </c>
      <c r="Q143" s="52"/>
      <c r="R143" s="44"/>
    </row>
    <row r="144" spans="1:18" s="29" customFormat="1">
      <c r="A144" s="622"/>
      <c r="B144" s="307"/>
      <c r="C144" s="305"/>
      <c r="D144" s="305"/>
      <c r="E144" s="305"/>
      <c r="F144" s="305"/>
      <c r="G144" s="314"/>
      <c r="H144" s="571"/>
      <c r="Q144" s="52"/>
      <c r="R144" s="44"/>
    </row>
    <row r="145" spans="1:18" s="29" customFormat="1" ht="46.8">
      <c r="A145" s="970" t="s">
        <v>0</v>
      </c>
      <c r="B145" s="971"/>
      <c r="C145" s="163"/>
      <c r="D145" s="550" t="s">
        <v>57</v>
      </c>
      <c r="E145" s="550" t="s">
        <v>58</v>
      </c>
      <c r="F145" s="956" t="s">
        <v>59</v>
      </c>
      <c r="G145" s="956"/>
      <c r="H145" s="623" t="s">
        <v>62</v>
      </c>
      <c r="J145" s="103" t="s">
        <v>71</v>
      </c>
      <c r="K145" s="103">
        <v>1</v>
      </c>
      <c r="L145" s="103">
        <v>2</v>
      </c>
      <c r="M145" s="103">
        <v>3</v>
      </c>
      <c r="N145" s="103">
        <v>4</v>
      </c>
      <c r="O145" s="103">
        <v>5</v>
      </c>
      <c r="P145" s="103">
        <v>6</v>
      </c>
      <c r="Q145" s="52"/>
      <c r="R145" s="44"/>
    </row>
    <row r="146" spans="1:18" s="29" customFormat="1" ht="15.6">
      <c r="A146" s="126" t="s">
        <v>227</v>
      </c>
      <c r="B146" s="126" t="s">
        <v>139</v>
      </c>
      <c r="C146" s="162"/>
      <c r="D146" s="56"/>
      <c r="E146" s="56"/>
      <c r="F146" s="57"/>
      <c r="G146" s="104"/>
      <c r="H146" s="624"/>
      <c r="J146" s="103" t="s">
        <v>73</v>
      </c>
      <c r="K146" s="103" t="s">
        <v>72</v>
      </c>
      <c r="L146" s="103">
        <v>1</v>
      </c>
      <c r="M146" s="103">
        <v>2</v>
      </c>
      <c r="N146" s="103">
        <v>3</v>
      </c>
      <c r="O146" s="103">
        <v>4</v>
      </c>
      <c r="P146" s="103">
        <v>4</v>
      </c>
      <c r="Q146" s="52"/>
      <c r="R146" s="44"/>
    </row>
    <row r="147" spans="1:18" s="29" customFormat="1">
      <c r="A147" s="625" t="s">
        <v>228</v>
      </c>
      <c r="B147" s="386" t="s">
        <v>394</v>
      </c>
      <c r="C147" s="164" t="s">
        <v>55</v>
      </c>
      <c r="D147" s="820"/>
      <c r="E147" s="820"/>
      <c r="F147" s="949" t="str">
        <f>IF(D147&gt;9,D147/E147," ")</f>
        <v xml:space="preserve"> </v>
      </c>
      <c r="G147" s="949"/>
      <c r="H147" s="94">
        <f>IF(D147="",0,IF(D147&lt;9,2,IF((D147/E147)=0,2,IF((D147/E147)&lt;10%,1.5,IF((D147/E147)&lt;15%,1,IF((D147/E147)&lt;20%,0.5,0))))))</f>
        <v>0</v>
      </c>
      <c r="J147" s="103" t="s">
        <v>74</v>
      </c>
      <c r="K147" s="103" t="s">
        <v>72</v>
      </c>
      <c r="L147" s="103">
        <v>5</v>
      </c>
      <c r="M147" s="103">
        <v>15</v>
      </c>
      <c r="N147" s="103">
        <v>25</v>
      </c>
      <c r="O147" s="103">
        <v>35</v>
      </c>
      <c r="P147" s="103">
        <v>35</v>
      </c>
      <c r="Q147" s="52"/>
      <c r="R147" s="44"/>
    </row>
    <row r="148" spans="1:18" s="29" customFormat="1">
      <c r="A148" s="625" t="s">
        <v>229</v>
      </c>
      <c r="B148" s="386" t="s">
        <v>395</v>
      </c>
      <c r="C148" s="164" t="s">
        <v>56</v>
      </c>
      <c r="D148" s="820"/>
      <c r="E148" s="820"/>
      <c r="F148" s="950"/>
      <c r="G148" s="950"/>
      <c r="H148" s="94">
        <f>IF(E147="",0,IF(E147&lt;15,HLOOKUP(F148,J145:P152,4,FALSE),IF(E147&lt;45,HLOOKUP(F148,J145:P152,5,FALSE),IF(E147&lt;90,HLOOKUP(F148,J145:P152,6,FALSE),IF(E147&lt;135,HLOOKUP(F148,J145:P152,7,FALSE),IF(E147&gt;=135,HLOOKUP(F148,J145:P152,8,FALSE),3))))))</f>
        <v>0</v>
      </c>
      <c r="I148" s="54"/>
      <c r="J148" s="103" t="s">
        <v>75</v>
      </c>
      <c r="K148" s="103">
        <v>3</v>
      </c>
      <c r="L148" s="103">
        <v>3</v>
      </c>
      <c r="M148" s="103">
        <v>3</v>
      </c>
      <c r="N148" s="103">
        <v>2.5</v>
      </c>
      <c r="O148" s="103">
        <v>1.5</v>
      </c>
      <c r="P148" s="103">
        <v>0</v>
      </c>
      <c r="Q148" s="52"/>
      <c r="R148" s="44"/>
    </row>
    <row r="149" spans="1:18" s="29" customFormat="1">
      <c r="A149" s="592"/>
      <c r="B149" s="307"/>
      <c r="C149" s="314"/>
      <c r="D149" s="319"/>
      <c r="E149" s="319"/>
      <c r="F149" s="319"/>
      <c r="G149" s="319"/>
      <c r="H149" s="626"/>
      <c r="I149" s="54"/>
      <c r="J149" s="103" t="s">
        <v>76</v>
      </c>
      <c r="K149" s="103">
        <v>3</v>
      </c>
      <c r="L149" s="103">
        <v>3</v>
      </c>
      <c r="M149" s="103">
        <v>2.5</v>
      </c>
      <c r="N149" s="103">
        <v>1.5</v>
      </c>
      <c r="O149" s="103">
        <v>1</v>
      </c>
      <c r="P149" s="103">
        <v>0</v>
      </c>
      <c r="Q149" s="52"/>
      <c r="R149" s="44"/>
    </row>
    <row r="150" spans="1:18" s="29" customFormat="1" ht="15.6">
      <c r="A150" s="592"/>
      <c r="B150" s="320"/>
      <c r="C150" s="314"/>
      <c r="D150" s="314"/>
      <c r="E150" s="314"/>
      <c r="F150" s="305"/>
      <c r="G150" s="321"/>
      <c r="H150" s="627"/>
      <c r="I150" s="54"/>
      <c r="J150" s="103" t="s">
        <v>77</v>
      </c>
      <c r="K150" s="103">
        <v>3</v>
      </c>
      <c r="L150" s="103">
        <v>2.5</v>
      </c>
      <c r="M150" s="103">
        <v>1.5</v>
      </c>
      <c r="N150" s="103">
        <v>1</v>
      </c>
      <c r="O150" s="103">
        <v>0</v>
      </c>
      <c r="P150" s="103">
        <v>0</v>
      </c>
      <c r="Q150" s="52"/>
      <c r="R150" s="44"/>
    </row>
    <row r="151" spans="1:18" s="29" customFormat="1" ht="15.75" customHeight="1">
      <c r="A151" s="972" t="s">
        <v>0</v>
      </c>
      <c r="B151" s="973"/>
      <c r="C151" s="888"/>
      <c r="D151" s="974" t="s">
        <v>4</v>
      </c>
      <c r="E151" s="951" t="s">
        <v>1</v>
      </c>
      <c r="F151" s="952"/>
      <c r="G151" s="953" t="s">
        <v>21</v>
      </c>
      <c r="H151" s="947" t="s">
        <v>62</v>
      </c>
      <c r="I151" s="54"/>
      <c r="J151" s="103" t="s">
        <v>78</v>
      </c>
      <c r="K151" s="103">
        <v>3</v>
      </c>
      <c r="L151" s="103">
        <v>1.5</v>
      </c>
      <c r="M151" s="103">
        <v>1</v>
      </c>
      <c r="N151" s="103">
        <v>0</v>
      </c>
      <c r="O151" s="103">
        <v>0</v>
      </c>
      <c r="P151" s="103">
        <v>0</v>
      </c>
      <c r="Q151" s="52"/>
      <c r="R151" s="44"/>
    </row>
    <row r="152" spans="1:18" s="29" customFormat="1" ht="30" customHeight="1">
      <c r="A152" s="867"/>
      <c r="B152" s="868"/>
      <c r="C152" s="870"/>
      <c r="D152" s="952"/>
      <c r="E152" s="550" t="s">
        <v>64</v>
      </c>
      <c r="F152" s="550" t="s">
        <v>65</v>
      </c>
      <c r="G152" s="954"/>
      <c r="H152" s="948"/>
      <c r="I152" s="54"/>
      <c r="J152" s="103" t="s">
        <v>79</v>
      </c>
      <c r="K152" s="103">
        <v>3</v>
      </c>
      <c r="L152" s="103">
        <v>1</v>
      </c>
      <c r="M152" s="103">
        <v>0</v>
      </c>
      <c r="N152" s="103">
        <v>0</v>
      </c>
      <c r="O152" s="103">
        <v>0</v>
      </c>
      <c r="P152" s="103">
        <v>0</v>
      </c>
      <c r="Q152" s="52"/>
      <c r="R152" s="44"/>
    </row>
    <row r="153" spans="1:18" s="29" customFormat="1" ht="15.6">
      <c r="A153" s="105" t="s">
        <v>230</v>
      </c>
      <c r="B153" s="105" t="s">
        <v>516</v>
      </c>
      <c r="C153" s="106"/>
      <c r="D153" s="106"/>
      <c r="E153" s="106"/>
      <c r="F153" s="110"/>
      <c r="G153" s="111"/>
      <c r="H153" s="628"/>
      <c r="J153" s="103" t="s">
        <v>73</v>
      </c>
      <c r="K153" s="103" t="s">
        <v>72</v>
      </c>
      <c r="L153" s="103">
        <v>1</v>
      </c>
      <c r="M153" s="103">
        <v>2</v>
      </c>
      <c r="N153" s="103">
        <v>3</v>
      </c>
      <c r="O153" s="103">
        <v>4</v>
      </c>
      <c r="P153" s="103">
        <v>4</v>
      </c>
      <c r="Q153" s="52"/>
      <c r="R153" s="44"/>
    </row>
    <row r="154" spans="1:18" s="29" customFormat="1" ht="15.6">
      <c r="A154" s="149" t="s">
        <v>231</v>
      </c>
      <c r="B154" s="149" t="s">
        <v>517</v>
      </c>
      <c r="C154" s="150"/>
      <c r="D154" s="151"/>
      <c r="E154" s="152"/>
      <c r="F154" s="152"/>
      <c r="G154" s="153"/>
      <c r="H154" s="629"/>
      <c r="I154" s="54"/>
      <c r="Q154" s="52"/>
      <c r="R154" s="44"/>
    </row>
    <row r="155" spans="1:18" s="29" customFormat="1">
      <c r="A155" s="630" t="s">
        <v>232</v>
      </c>
      <c r="B155" s="825" t="s">
        <v>612</v>
      </c>
      <c r="C155" s="827"/>
      <c r="D155" s="522" t="s">
        <v>50</v>
      </c>
      <c r="E155" s="523">
        <v>2</v>
      </c>
      <c r="F155" s="523">
        <v>3</v>
      </c>
      <c r="G155" s="27"/>
      <c r="H155" s="434">
        <f t="shared" ref="H155:H166" si="3">IF(G155&gt;=80%,F155,IF(G155&lt;65%,0,E155))</f>
        <v>0</v>
      </c>
      <c r="Q155" s="52"/>
      <c r="R155" s="44"/>
    </row>
    <row r="156" spans="1:18" s="29" customFormat="1">
      <c r="A156" s="630" t="s">
        <v>233</v>
      </c>
      <c r="B156" s="917" t="s">
        <v>613</v>
      </c>
      <c r="C156" s="843"/>
      <c r="D156" s="483" t="s">
        <v>50</v>
      </c>
      <c r="E156" s="434">
        <v>2</v>
      </c>
      <c r="F156" s="434">
        <v>3</v>
      </c>
      <c r="G156" s="553"/>
      <c r="H156" s="434">
        <f>IF(G156&gt;=80%,F156,IF(G156&lt;65%,0,E156))</f>
        <v>0</v>
      </c>
      <c r="Q156" s="52"/>
      <c r="R156" s="44"/>
    </row>
    <row r="157" spans="1:18" s="29" customFormat="1">
      <c r="A157" s="631" t="s">
        <v>234</v>
      </c>
      <c r="B157" s="917" t="s">
        <v>563</v>
      </c>
      <c r="C157" s="843"/>
      <c r="D157" s="524" t="s">
        <v>50</v>
      </c>
      <c r="E157" s="554">
        <v>2</v>
      </c>
      <c r="F157" s="434">
        <v>2.5</v>
      </c>
      <c r="G157" s="551"/>
      <c r="H157" s="434">
        <f t="shared" ref="H157" si="4">IF(G157&gt;=80%,F157,IF(G157&lt;65%,0,E157))</f>
        <v>0</v>
      </c>
      <c r="Q157" s="52"/>
      <c r="R157" s="44"/>
    </row>
    <row r="158" spans="1:18" s="29" customFormat="1">
      <c r="A158" s="631" t="s">
        <v>235</v>
      </c>
      <c r="B158" s="917" t="s">
        <v>623</v>
      </c>
      <c r="C158" s="843"/>
      <c r="D158" s="524" t="s">
        <v>50</v>
      </c>
      <c r="E158" s="554">
        <v>2</v>
      </c>
      <c r="F158" s="434">
        <v>2.5</v>
      </c>
      <c r="G158" s="551"/>
      <c r="H158" s="434">
        <f>IF(G158&gt;=80%,F158,IF(G158&lt;65%,0,E158))</f>
        <v>0</v>
      </c>
      <c r="Q158" s="52"/>
      <c r="R158" s="44"/>
    </row>
    <row r="159" spans="1:18" s="29" customFormat="1">
      <c r="A159" s="630" t="s">
        <v>371</v>
      </c>
      <c r="B159" s="875" t="s">
        <v>379</v>
      </c>
      <c r="C159" s="876"/>
      <c r="D159" s="530" t="s">
        <v>50</v>
      </c>
      <c r="E159" s="523">
        <v>2</v>
      </c>
      <c r="F159" s="523">
        <v>2.5</v>
      </c>
      <c r="G159" s="529"/>
      <c r="H159" s="434">
        <f>IF(G159&gt;=80%,F159,IF(G159&lt;65%,0,E159))</f>
        <v>0</v>
      </c>
      <c r="Q159" s="52"/>
      <c r="R159" s="44"/>
    </row>
    <row r="160" spans="1:18" s="29" customFormat="1" ht="30">
      <c r="A160" s="871" t="s">
        <v>519</v>
      </c>
      <c r="B160" s="873" t="s">
        <v>397</v>
      </c>
      <c r="C160" s="940"/>
      <c r="D160" s="524" t="s">
        <v>402</v>
      </c>
      <c r="E160" s="964">
        <v>2.5</v>
      </c>
      <c r="F160" s="965"/>
      <c r="G160" s="933"/>
      <c r="H160" s="931">
        <f>IF(G160&gt;=35,E161,IF(G160&gt;=30,E160,0))</f>
        <v>0</v>
      </c>
      <c r="Q160" s="52"/>
      <c r="R160" s="44"/>
    </row>
    <row r="161" spans="1:18" s="29" customFormat="1" ht="30">
      <c r="A161" s="872"/>
      <c r="B161" s="941"/>
      <c r="C161" s="942"/>
      <c r="D161" s="524" t="s">
        <v>396</v>
      </c>
      <c r="E161" s="964">
        <v>3</v>
      </c>
      <c r="F161" s="965"/>
      <c r="G161" s="934"/>
      <c r="H161" s="932"/>
      <c r="Q161" s="52"/>
      <c r="R161" s="44"/>
    </row>
    <row r="162" spans="1:18" s="29" customFormat="1" ht="31.5" customHeight="1">
      <c r="A162" s="871" t="s">
        <v>520</v>
      </c>
      <c r="B162" s="873" t="s">
        <v>398</v>
      </c>
      <c r="C162" s="874"/>
      <c r="D162" s="524" t="s">
        <v>333</v>
      </c>
      <c r="E162" s="962">
        <v>4</v>
      </c>
      <c r="F162" s="963"/>
      <c r="G162" s="933"/>
      <c r="H162" s="931">
        <f>IF(G162&gt;=80,E162,IF(G162&gt;=70,E163,IF(G162&gt;=60,E164,IF(G162&gt;=50,E165,0))))</f>
        <v>0</v>
      </c>
      <c r="Q162" s="52"/>
      <c r="R162" s="44"/>
    </row>
    <row r="163" spans="1:18" s="29" customFormat="1" ht="31.5" customHeight="1">
      <c r="A163" s="975"/>
      <c r="B163" s="929"/>
      <c r="C163" s="930"/>
      <c r="D163" s="524" t="s">
        <v>334</v>
      </c>
      <c r="E163" s="962">
        <v>3</v>
      </c>
      <c r="F163" s="963"/>
      <c r="G163" s="935"/>
      <c r="H163" s="936"/>
      <c r="Q163" s="52"/>
      <c r="R163" s="44"/>
    </row>
    <row r="164" spans="1:18" s="29" customFormat="1" ht="31.5" customHeight="1">
      <c r="A164" s="975"/>
      <c r="B164" s="929"/>
      <c r="C164" s="930"/>
      <c r="D164" s="524" t="s">
        <v>368</v>
      </c>
      <c r="E164" s="962">
        <v>2</v>
      </c>
      <c r="F164" s="963"/>
      <c r="G164" s="935"/>
      <c r="H164" s="936"/>
      <c r="Q164" s="52"/>
      <c r="R164" s="44"/>
    </row>
    <row r="165" spans="1:18" s="29" customFormat="1" ht="31.5" customHeight="1">
      <c r="A165" s="872"/>
      <c r="B165" s="875"/>
      <c r="C165" s="876"/>
      <c r="D165" s="524" t="s">
        <v>369</v>
      </c>
      <c r="E165" s="962">
        <v>1</v>
      </c>
      <c r="F165" s="963"/>
      <c r="G165" s="934"/>
      <c r="H165" s="932"/>
      <c r="Q165" s="52"/>
      <c r="R165" s="44"/>
    </row>
    <row r="166" spans="1:18" s="29" customFormat="1" ht="31.5" customHeight="1">
      <c r="A166" s="871" t="s">
        <v>643</v>
      </c>
      <c r="B166" s="873" t="s">
        <v>614</v>
      </c>
      <c r="C166" s="874"/>
      <c r="D166" s="524" t="s">
        <v>66</v>
      </c>
      <c r="E166" s="525">
        <v>3.5</v>
      </c>
      <c r="F166" s="525">
        <v>4</v>
      </c>
      <c r="G166" s="27"/>
      <c r="H166" s="434">
        <f t="shared" si="3"/>
        <v>0</v>
      </c>
      <c r="Q166" s="52"/>
      <c r="R166" s="44"/>
    </row>
    <row r="167" spans="1:18" s="29" customFormat="1" ht="30">
      <c r="A167" s="872"/>
      <c r="B167" s="875"/>
      <c r="C167" s="876"/>
      <c r="D167" s="524" t="s">
        <v>67</v>
      </c>
      <c r="E167" s="525" t="s">
        <v>49</v>
      </c>
      <c r="F167" s="525">
        <v>3</v>
      </c>
      <c r="G167" s="27"/>
      <c r="H167" s="434">
        <f>IF(G167&gt;=80%,F167,0)</f>
        <v>0</v>
      </c>
      <c r="Q167" s="52"/>
      <c r="R167" s="44"/>
    </row>
    <row r="168" spans="1:18" s="29" customFormat="1" ht="15.6">
      <c r="A168" s="82">
        <v>14</v>
      </c>
      <c r="B168" s="470" t="s">
        <v>515</v>
      </c>
      <c r="C168" s="89"/>
      <c r="D168" s="151"/>
      <c r="E168" s="152"/>
      <c r="F168" s="152"/>
      <c r="G168" s="153"/>
      <c r="H168" s="629"/>
      <c r="Q168" s="52"/>
      <c r="R168" s="44"/>
    </row>
    <row r="169" spans="1:18" s="29" customFormat="1" ht="31.95" customHeight="1">
      <c r="A169" s="630" t="s">
        <v>236</v>
      </c>
      <c r="B169" s="875" t="s">
        <v>648</v>
      </c>
      <c r="C169" s="876"/>
      <c r="D169" s="527" t="s">
        <v>50</v>
      </c>
      <c r="E169" s="528">
        <v>2</v>
      </c>
      <c r="F169" s="528">
        <v>2.5</v>
      </c>
      <c r="G169" s="529"/>
      <c r="H169" s="9">
        <f>IF(G169&gt;=80%,F169,IF(G169&lt;65%,0,E169))</f>
        <v>0</v>
      </c>
      <c r="Q169" s="52"/>
      <c r="R169" s="44"/>
    </row>
    <row r="170" spans="1:18" s="29" customFormat="1">
      <c r="A170" s="630" t="s">
        <v>237</v>
      </c>
      <c r="B170" s="875" t="s">
        <v>615</v>
      </c>
      <c r="C170" s="876"/>
      <c r="D170" s="530" t="s">
        <v>50</v>
      </c>
      <c r="E170" s="523" t="s">
        <v>49</v>
      </c>
      <c r="F170" s="523">
        <v>2.5</v>
      </c>
      <c r="G170" s="526">
        <f>F23</f>
        <v>0</v>
      </c>
      <c r="H170" s="434">
        <f>IF(G170&gt;=80%,F170,0)</f>
        <v>0</v>
      </c>
      <c r="Q170" s="52"/>
      <c r="R170" s="44"/>
    </row>
    <row r="171" spans="1:18" s="29" customFormat="1" ht="32.25" customHeight="1">
      <c r="A171" s="630" t="s">
        <v>378</v>
      </c>
      <c r="B171" s="875" t="s">
        <v>617</v>
      </c>
      <c r="C171" s="876"/>
      <c r="D171" s="530" t="s">
        <v>50</v>
      </c>
      <c r="E171" s="523">
        <v>2</v>
      </c>
      <c r="F171" s="523">
        <v>3</v>
      </c>
      <c r="G171" s="529"/>
      <c r="H171" s="434">
        <f>IF(G171&gt;=80%,F171,IF(G171&lt;65%,0,E171))</f>
        <v>0</v>
      </c>
      <c r="Q171" s="52"/>
      <c r="R171" s="44"/>
    </row>
    <row r="172" spans="1:18" s="29" customFormat="1" ht="30" customHeight="1">
      <c r="A172" s="632" t="s">
        <v>521</v>
      </c>
      <c r="B172" s="825" t="s">
        <v>616</v>
      </c>
      <c r="C172" s="827"/>
      <c r="D172" s="420" t="s">
        <v>50</v>
      </c>
      <c r="E172" s="434">
        <v>2</v>
      </c>
      <c r="F172" s="434">
        <v>2.5</v>
      </c>
      <c r="G172" s="30"/>
      <c r="H172" s="434">
        <f>IF(G172&gt;=80%,F172,IF(G172&lt;65%,0,E172))</f>
        <v>0</v>
      </c>
      <c r="Q172" s="52"/>
      <c r="R172" s="44"/>
    </row>
    <row r="173" spans="1:18" s="29" customFormat="1" ht="15.6">
      <c r="A173" s="82">
        <v>15</v>
      </c>
      <c r="B173" s="82" t="s">
        <v>259</v>
      </c>
      <c r="C173" s="89"/>
      <c r="D173" s="151"/>
      <c r="E173" s="152"/>
      <c r="F173" s="152"/>
      <c r="G173" s="153"/>
      <c r="H173" s="629"/>
      <c r="Q173" s="52"/>
      <c r="R173" s="44"/>
    </row>
    <row r="174" spans="1:18" s="29" customFormat="1">
      <c r="A174" s="877" t="s">
        <v>238</v>
      </c>
      <c r="B174" s="879" t="s">
        <v>275</v>
      </c>
      <c r="C174" s="880"/>
      <c r="D174" s="943" t="s">
        <v>50</v>
      </c>
      <c r="E174" s="828">
        <v>2.5</v>
      </c>
      <c r="F174" s="828">
        <v>4</v>
      </c>
      <c r="G174" s="957"/>
      <c r="H174" s="828">
        <f>IF(G174&gt;=80%,F174,IF(G174&lt;65%,0,E174))</f>
        <v>0</v>
      </c>
      <c r="Q174" s="52"/>
      <c r="R174" s="44"/>
    </row>
    <row r="175" spans="1:18" s="29" customFormat="1" ht="15.6">
      <c r="A175" s="878"/>
      <c r="B175" s="810" t="s">
        <v>276</v>
      </c>
      <c r="C175" s="810"/>
      <c r="D175" s="944"/>
      <c r="E175" s="829"/>
      <c r="F175" s="829"/>
      <c r="G175" s="958"/>
      <c r="H175" s="829"/>
      <c r="Q175" s="52"/>
      <c r="R175" s="44"/>
    </row>
    <row r="176" spans="1:18" s="29" customFormat="1">
      <c r="A176" s="877" t="s">
        <v>239</v>
      </c>
      <c r="B176" s="858" t="s">
        <v>137</v>
      </c>
      <c r="C176" s="840"/>
      <c r="D176" s="937" t="s">
        <v>50</v>
      </c>
      <c r="E176" s="938">
        <v>2.5</v>
      </c>
      <c r="F176" s="938">
        <v>4</v>
      </c>
      <c r="G176" s="961"/>
      <c r="H176" s="811">
        <f>IF(G176&gt;=80%,F176,IF(G176&lt;65%,0,E176))</f>
        <v>0</v>
      </c>
      <c r="Q176" s="52"/>
      <c r="R176" s="44"/>
    </row>
    <row r="177" spans="1:18" s="29" customFormat="1" ht="15.6">
      <c r="A177" s="878"/>
      <c r="B177" s="810" t="s">
        <v>119</v>
      </c>
      <c r="C177" s="810"/>
      <c r="D177" s="937"/>
      <c r="E177" s="938"/>
      <c r="F177" s="938"/>
      <c r="G177" s="961"/>
      <c r="H177" s="811"/>
      <c r="Q177" s="52"/>
      <c r="R177" s="44"/>
    </row>
    <row r="178" spans="1:18" s="29" customFormat="1" ht="15.6">
      <c r="A178" s="102">
        <v>16</v>
      </c>
      <c r="B178" s="102" t="s">
        <v>202</v>
      </c>
      <c r="C178" s="89"/>
      <c r="D178" s="89"/>
      <c r="E178" s="91"/>
      <c r="F178" s="91"/>
      <c r="G178" s="92"/>
      <c r="H178" s="614"/>
      <c r="Q178" s="59"/>
      <c r="R178" s="44"/>
    </row>
    <row r="179" spans="1:18" s="29" customFormat="1">
      <c r="A179" s="598" t="s">
        <v>241</v>
      </c>
      <c r="B179" s="765"/>
      <c r="C179" s="766"/>
      <c r="D179" s="107"/>
      <c r="E179" s="538"/>
      <c r="F179" s="538"/>
      <c r="G179" s="65"/>
      <c r="H179" s="633">
        <f>IF(G179&gt;=80%,F179,IF(G179&lt;65%,0,E179))</f>
        <v>0</v>
      </c>
      <c r="Q179" s="52"/>
      <c r="R179" s="44"/>
    </row>
    <row r="180" spans="1:18" s="29" customFormat="1">
      <c r="A180" s="598" t="s">
        <v>242</v>
      </c>
      <c r="B180" s="765"/>
      <c r="C180" s="766"/>
      <c r="D180" s="107"/>
      <c r="E180" s="538"/>
      <c r="F180" s="538"/>
      <c r="G180" s="65"/>
      <c r="H180" s="633">
        <f>IF(G180&gt;=80%,F180,IF(G180&lt;65%,0,E180))</f>
        <v>0</v>
      </c>
      <c r="Q180" s="52"/>
      <c r="R180" s="44"/>
    </row>
    <row r="181" spans="1:18" s="29" customFormat="1">
      <c r="A181" s="598" t="s">
        <v>243</v>
      </c>
      <c r="B181" s="765"/>
      <c r="C181" s="766"/>
      <c r="D181" s="107"/>
      <c r="E181" s="538"/>
      <c r="F181" s="538"/>
      <c r="G181" s="65"/>
      <c r="H181" s="633">
        <f>IF(G181&gt;=80%,F181,IF(G181&lt;65%,0,E181))</f>
        <v>0</v>
      </c>
      <c r="Q181" s="52"/>
      <c r="R181" s="44"/>
    </row>
    <row r="182" spans="1:18" s="29" customFormat="1" ht="15.6">
      <c r="A182" s="604"/>
      <c r="B182" s="307"/>
      <c r="C182" s="305"/>
      <c r="D182" s="305"/>
      <c r="E182" s="305"/>
      <c r="F182" s="309"/>
      <c r="G182" s="310" t="s">
        <v>376</v>
      </c>
      <c r="H182" s="634">
        <f>IFERROR((SUM(H147:H181)),0)</f>
        <v>0</v>
      </c>
      <c r="Q182" s="52"/>
      <c r="R182" s="44"/>
    </row>
    <row r="183" spans="1:18" s="29" customFormat="1" ht="15.6" thickBot="1">
      <c r="A183" s="594"/>
      <c r="B183" s="361"/>
      <c r="C183" s="362"/>
      <c r="D183" s="362"/>
      <c r="E183" s="362"/>
      <c r="F183" s="362"/>
      <c r="G183" s="354"/>
      <c r="H183" s="595"/>
      <c r="Q183" s="52"/>
      <c r="R183" s="44"/>
    </row>
    <row r="184" spans="1:18" s="29" customFormat="1" ht="30.75" customHeight="1">
      <c r="A184" s="865" t="s">
        <v>0</v>
      </c>
      <c r="B184" s="866"/>
      <c r="C184" s="869"/>
      <c r="D184" s="856" t="s">
        <v>4</v>
      </c>
      <c r="E184" s="959" t="s">
        <v>1</v>
      </c>
      <c r="F184" s="960"/>
      <c r="G184" s="955" t="s">
        <v>21</v>
      </c>
      <c r="H184" s="856" t="s">
        <v>62</v>
      </c>
      <c r="Q184" s="52"/>
      <c r="R184" s="44"/>
    </row>
    <row r="185" spans="1:18" s="29" customFormat="1" ht="15.6">
      <c r="A185" s="867"/>
      <c r="B185" s="868"/>
      <c r="C185" s="870"/>
      <c r="D185" s="857"/>
      <c r="E185" s="550" t="s">
        <v>120</v>
      </c>
      <c r="F185" s="550" t="s">
        <v>121</v>
      </c>
      <c r="G185" s="956"/>
      <c r="H185" s="857"/>
      <c r="Q185" s="52"/>
      <c r="R185" s="44"/>
    </row>
    <row r="186" spans="1:18" s="29" customFormat="1" ht="15.6">
      <c r="A186" s="126" t="s">
        <v>240</v>
      </c>
      <c r="B186" s="105" t="s">
        <v>244</v>
      </c>
      <c r="C186" s="106"/>
      <c r="D186" s="106"/>
      <c r="E186" s="106"/>
      <c r="F186" s="110"/>
      <c r="G186" s="111"/>
      <c r="H186" s="628"/>
      <c r="Q186" s="52"/>
      <c r="R186" s="44"/>
    </row>
    <row r="187" spans="1:18" s="29" customFormat="1">
      <c r="A187" s="625" t="s">
        <v>277</v>
      </c>
      <c r="B187" s="858" t="s">
        <v>245</v>
      </c>
      <c r="C187" s="859"/>
      <c r="D187" s="5" t="s">
        <v>50</v>
      </c>
      <c r="E187" s="20">
        <v>-1</v>
      </c>
      <c r="F187" s="20">
        <v>-2</v>
      </c>
      <c r="G187" s="28"/>
      <c r="H187" s="20">
        <f>IF(G187&gt;=30%,F187,IF(G187=0%,0,E187))</f>
        <v>0</v>
      </c>
      <c r="Q187" s="52"/>
      <c r="R187" s="44"/>
    </row>
    <row r="188" spans="1:18" s="29" customFormat="1">
      <c r="A188" s="625" t="s">
        <v>278</v>
      </c>
      <c r="B188" s="858" t="s">
        <v>246</v>
      </c>
      <c r="C188" s="859"/>
      <c r="D188" s="5" t="s">
        <v>50</v>
      </c>
      <c r="E188" s="20">
        <v>-1</v>
      </c>
      <c r="F188" s="20">
        <v>-1.5</v>
      </c>
      <c r="G188" s="28"/>
      <c r="H188" s="20">
        <f>IF(G188&gt;=30%,F188,IF(G188=0%,0,E188))</f>
        <v>0</v>
      </c>
      <c r="Q188" s="52"/>
      <c r="R188" s="44"/>
    </row>
    <row r="189" spans="1:18" s="29" customFormat="1">
      <c r="A189" s="625" t="s">
        <v>279</v>
      </c>
      <c r="B189" s="858" t="s">
        <v>247</v>
      </c>
      <c r="C189" s="859"/>
      <c r="D189" s="5" t="s">
        <v>50</v>
      </c>
      <c r="E189" s="811">
        <v>-1</v>
      </c>
      <c r="F189" s="811"/>
      <c r="G189" s="553"/>
      <c r="H189" s="20">
        <f>IF(G189&gt;0%,E189,0)</f>
        <v>0</v>
      </c>
      <c r="Q189" s="52"/>
      <c r="R189" s="44"/>
    </row>
    <row r="190" spans="1:18" s="29" customFormat="1" ht="15.6">
      <c r="A190" s="604"/>
      <c r="B190" s="307"/>
      <c r="C190" s="305"/>
      <c r="D190" s="305"/>
      <c r="E190" s="305"/>
      <c r="F190" s="309"/>
      <c r="G190" s="310" t="s">
        <v>133</v>
      </c>
      <c r="H190" s="634">
        <f>IFERROR(MAX(SUM(H187:H189),-4),0)</f>
        <v>0</v>
      </c>
      <c r="Q190" s="44"/>
      <c r="R190" s="44"/>
    </row>
    <row r="191" spans="1:18" s="29" customFormat="1">
      <c r="A191" s="592"/>
      <c r="B191" s="307"/>
      <c r="C191" s="305"/>
      <c r="D191" s="305"/>
      <c r="E191" s="305"/>
      <c r="F191" s="305"/>
      <c r="G191" s="314"/>
      <c r="H191" s="571"/>
      <c r="Q191" s="52"/>
      <c r="R191" s="44"/>
    </row>
    <row r="192" spans="1:18" s="29" customFormat="1" ht="15.6">
      <c r="A192" s="592"/>
      <c r="B192" s="307"/>
      <c r="C192" s="305"/>
      <c r="D192" s="305"/>
      <c r="E192" s="305"/>
      <c r="F192" s="305"/>
      <c r="G192" s="312" t="s">
        <v>132</v>
      </c>
      <c r="H192" s="154">
        <f>IFERROR(MIN(SUM(H120+H143+H182+H190),G91),0)</f>
        <v>0</v>
      </c>
      <c r="Q192" s="52"/>
      <c r="R192" s="44"/>
    </row>
    <row r="193" spans="1:18" s="29" customFormat="1" ht="16.2" thickBot="1">
      <c r="A193" s="594"/>
      <c r="B193" s="361"/>
      <c r="C193" s="362"/>
      <c r="D193" s="362"/>
      <c r="E193" s="362"/>
      <c r="F193" s="362"/>
      <c r="G193" s="363"/>
      <c r="H193" s="606"/>
      <c r="Q193" s="52"/>
      <c r="R193" s="44"/>
    </row>
    <row r="194" spans="1:18" s="29" customFormat="1" ht="15.6">
      <c r="A194" s="635" t="s">
        <v>63</v>
      </c>
      <c r="B194" s="355"/>
      <c r="C194" s="355"/>
      <c r="D194" s="355"/>
      <c r="E194" s="355"/>
      <c r="F194" s="356" t="s">
        <v>42</v>
      </c>
      <c r="G194" s="357">
        <f>VLOOKUP($A$7,'Manpower allocation'!A4:D11,4,FALSE)*100</f>
        <v>15</v>
      </c>
      <c r="H194" s="636" t="s">
        <v>41</v>
      </c>
      <c r="I194" s="108">
        <f>VLOOKUP($A$7,'Manpower allocation'!A4:D11,4,FALSE)*100</f>
        <v>15</v>
      </c>
      <c r="Q194" s="52"/>
      <c r="R194" s="44"/>
    </row>
    <row r="195" spans="1:18" s="29" customFormat="1" ht="15.6">
      <c r="A195" s="592"/>
      <c r="B195" s="313"/>
      <c r="C195" s="305"/>
      <c r="D195" s="305"/>
      <c r="E195" s="305"/>
      <c r="F195" s="305"/>
      <c r="G195" s="314"/>
      <c r="H195" s="571"/>
      <c r="Q195" s="52"/>
      <c r="R195" s="44"/>
    </row>
    <row r="196" spans="1:18" s="29" customFormat="1" ht="46.8">
      <c r="A196" s="850" t="s">
        <v>0</v>
      </c>
      <c r="B196" s="851"/>
      <c r="C196" s="109"/>
      <c r="D196" s="545" t="s">
        <v>17</v>
      </c>
      <c r="E196" s="545" t="s">
        <v>124</v>
      </c>
      <c r="F196" s="545" t="s">
        <v>108</v>
      </c>
      <c r="G196" s="545" t="s">
        <v>18</v>
      </c>
      <c r="H196" s="545" t="s">
        <v>62</v>
      </c>
      <c r="Q196" s="52"/>
      <c r="R196" s="44"/>
    </row>
    <row r="197" spans="1:18" s="29" customFormat="1" ht="15.6">
      <c r="A197" s="105" t="s">
        <v>250</v>
      </c>
      <c r="B197" s="531" t="s">
        <v>618</v>
      </c>
      <c r="C197" s="106"/>
      <c r="D197" s="106"/>
      <c r="E197" s="106"/>
      <c r="F197" s="110"/>
      <c r="G197" s="111"/>
      <c r="H197" s="628"/>
      <c r="Q197" s="52"/>
      <c r="R197" s="44"/>
    </row>
    <row r="198" spans="1:18" s="29" customFormat="1" ht="15.6">
      <c r="A198" s="112">
        <v>1</v>
      </c>
      <c r="B198" s="112" t="s">
        <v>304</v>
      </c>
      <c r="C198" s="113"/>
      <c r="D198" s="114"/>
      <c r="E198" s="114"/>
      <c r="F198" s="114"/>
      <c r="G198" s="114"/>
      <c r="H198" s="637"/>
      <c r="Q198" s="52"/>
      <c r="R198" s="44"/>
    </row>
    <row r="199" spans="1:18" s="29" customFormat="1">
      <c r="A199" s="541">
        <v>1.1000000000000001</v>
      </c>
      <c r="B199" s="822" t="s">
        <v>271</v>
      </c>
      <c r="C199" s="824"/>
      <c r="D199" s="20">
        <f>VLOOKUP(A199,'Point Allocation'!$A$46:$J$55,MATCH(A7,'Point Allocation'!$A$46:$J$46,0),0)</f>
        <v>15</v>
      </c>
      <c r="E199" s="38"/>
      <c r="F199" s="38"/>
      <c r="G199" s="31">
        <f>MIN(IFERROR(F199/E199,0),100%)</f>
        <v>0</v>
      </c>
      <c r="H199" s="20">
        <f>D199*G199</f>
        <v>0</v>
      </c>
      <c r="Q199" s="52"/>
      <c r="R199" s="44"/>
    </row>
    <row r="200" spans="1:18" s="29" customFormat="1" ht="15.6">
      <c r="A200" s="115">
        <v>2</v>
      </c>
      <c r="B200" s="115" t="s">
        <v>305</v>
      </c>
      <c r="C200" s="116"/>
      <c r="D200" s="32"/>
      <c r="E200" s="33"/>
      <c r="F200" s="33"/>
      <c r="G200" s="34"/>
      <c r="H200" s="638"/>
      <c r="Q200" s="52"/>
      <c r="R200" s="44"/>
    </row>
    <row r="201" spans="1:18" s="29" customFormat="1" ht="33" customHeight="1">
      <c r="A201" s="544">
        <v>2.1</v>
      </c>
      <c r="B201" s="863" t="s">
        <v>251</v>
      </c>
      <c r="C201" s="864"/>
      <c r="D201" s="20">
        <f>VLOOKUP(A201,'Point Allocation'!$A$46:$J$55,MATCH(A7,'Point Allocation'!$A$46:$J$46,0),0)</f>
        <v>12</v>
      </c>
      <c r="E201" s="38"/>
      <c r="F201" s="38"/>
      <c r="G201" s="31">
        <f>MIN(IFERROR(F201/E201,0),100%)</f>
        <v>0</v>
      </c>
      <c r="H201" s="20">
        <f>D201*G201</f>
        <v>0</v>
      </c>
      <c r="Q201" s="52"/>
      <c r="R201" s="44"/>
    </row>
    <row r="202" spans="1:18" s="29" customFormat="1" ht="15.6">
      <c r="A202" s="112">
        <v>3</v>
      </c>
      <c r="B202" s="112" t="s">
        <v>309</v>
      </c>
      <c r="C202" s="117"/>
      <c r="D202" s="35"/>
      <c r="E202" s="35"/>
      <c r="F202" s="35"/>
      <c r="G202" s="34"/>
      <c r="H202" s="639"/>
      <c r="Q202" s="52"/>
      <c r="R202" s="44"/>
    </row>
    <row r="203" spans="1:18" s="29" customFormat="1">
      <c r="A203" s="540">
        <v>3.1</v>
      </c>
      <c r="B203" s="837" t="s">
        <v>400</v>
      </c>
      <c r="C203" s="838"/>
      <c r="D203" s="20">
        <f>VLOOKUP(A203,'Point Allocation'!$A$46:$J$55,MATCH(A7,'Point Allocation'!$A$46:$J$46,0),0)</f>
        <v>4</v>
      </c>
      <c r="E203" s="38"/>
      <c r="F203" s="38"/>
      <c r="G203" s="31">
        <f>MIN(IFERROR(F203/E203,0),100%)</f>
        <v>0</v>
      </c>
      <c r="H203" s="20">
        <f>D203*G203</f>
        <v>0</v>
      </c>
      <c r="Q203" s="52"/>
      <c r="R203" s="44"/>
    </row>
    <row r="204" spans="1:18" s="29" customFormat="1">
      <c r="A204" s="540">
        <v>3.2</v>
      </c>
      <c r="B204" s="837" t="s">
        <v>401</v>
      </c>
      <c r="C204" s="838"/>
      <c r="D204" s="20">
        <f>VLOOKUP(A204,'Point Allocation'!$A$46:$J$55,MATCH(A7,'Point Allocation'!$A$46:$J$46,0),0)</f>
        <v>4</v>
      </c>
      <c r="E204" s="165"/>
      <c r="F204" s="38"/>
      <c r="G204" s="31">
        <f>MIN(IFERROR(F204/E204,0),100%)</f>
        <v>0</v>
      </c>
      <c r="H204" s="20">
        <f>D204*G204</f>
        <v>0</v>
      </c>
      <c r="Q204" s="52"/>
      <c r="R204" s="44"/>
    </row>
    <row r="205" spans="1:18" s="29" customFormat="1">
      <c r="A205" s="543">
        <v>3.3</v>
      </c>
      <c r="B205" s="858" t="s">
        <v>161</v>
      </c>
      <c r="C205" s="859"/>
      <c r="D205" s="20">
        <f>VLOOKUP(A205,'Point Allocation'!$A$46:$J$55,MATCH(A7,'Point Allocation'!$A$46:$J$46,0),0)</f>
        <v>4</v>
      </c>
      <c r="E205" s="166"/>
      <c r="F205" s="537"/>
      <c r="G205" s="31">
        <f>MIN(IFERROR(F205/E205,0),100%)</f>
        <v>0</v>
      </c>
      <c r="H205" s="20">
        <f>D205*G205</f>
        <v>0</v>
      </c>
      <c r="Q205" s="52"/>
      <c r="R205" s="44"/>
    </row>
    <row r="206" spans="1:18" s="29" customFormat="1" ht="15.6">
      <c r="A206" s="592"/>
      <c r="B206" s="307"/>
      <c r="C206" s="305"/>
      <c r="D206" s="306" t="s">
        <v>6</v>
      </c>
      <c r="E206" s="283">
        <f>MAX(SUM(E199:E205),F206)</f>
        <v>0</v>
      </c>
      <c r="F206" s="283">
        <f>SUM(F199:F205)</f>
        <v>0</v>
      </c>
      <c r="G206" s="322">
        <f>IFERROR(MIN(F206/E206,100%),0)</f>
        <v>0</v>
      </c>
      <c r="H206" s="593">
        <f>IFERROR(SUM(H199:H205),0)</f>
        <v>0</v>
      </c>
      <c r="Q206" s="52"/>
      <c r="R206" s="44"/>
    </row>
    <row r="207" spans="1:18" s="29" customFormat="1" ht="15.6">
      <c r="A207" s="592"/>
      <c r="B207" s="320"/>
      <c r="C207" s="323"/>
      <c r="D207" s="324"/>
      <c r="E207" s="323"/>
      <c r="F207" s="323"/>
      <c r="G207" s="325"/>
      <c r="H207" s="317"/>
      <c r="Q207" s="52"/>
      <c r="R207" s="44"/>
    </row>
    <row r="208" spans="1:18" s="29" customFormat="1" ht="15.6">
      <c r="A208" s="850" t="s">
        <v>0</v>
      </c>
      <c r="B208" s="851"/>
      <c r="C208" s="860"/>
      <c r="D208" s="862" t="s">
        <v>4</v>
      </c>
      <c r="E208" s="862" t="s">
        <v>1</v>
      </c>
      <c r="F208" s="862"/>
      <c r="G208" s="881" t="s">
        <v>21</v>
      </c>
      <c r="H208" s="881" t="s">
        <v>62</v>
      </c>
      <c r="Q208" s="52"/>
      <c r="R208" s="44"/>
    </row>
    <row r="209" spans="1:18" s="29" customFormat="1" ht="30.75" customHeight="1">
      <c r="A209" s="852"/>
      <c r="B209" s="853"/>
      <c r="C209" s="861"/>
      <c r="D209" s="862"/>
      <c r="E209" s="545" t="s">
        <v>64</v>
      </c>
      <c r="F209" s="545" t="s">
        <v>65</v>
      </c>
      <c r="G209" s="881"/>
      <c r="H209" s="881"/>
      <c r="Q209" s="52"/>
      <c r="R209" s="44"/>
    </row>
    <row r="210" spans="1:18" s="29" customFormat="1" ht="15.6">
      <c r="A210" s="45" t="s">
        <v>253</v>
      </c>
      <c r="B210" s="45" t="s">
        <v>254</v>
      </c>
      <c r="C210" s="56"/>
      <c r="D210" s="56"/>
      <c r="E210" s="56"/>
      <c r="F210" s="57"/>
      <c r="G210" s="104"/>
      <c r="H210" s="624"/>
      <c r="Q210" s="52"/>
      <c r="R210" s="44"/>
    </row>
    <row r="211" spans="1:18" s="29" customFormat="1" ht="15.6">
      <c r="A211" s="118">
        <v>4</v>
      </c>
      <c r="B211" s="118" t="s">
        <v>307</v>
      </c>
      <c r="C211" s="116"/>
      <c r="D211" s="119"/>
      <c r="E211" s="120"/>
      <c r="F211" s="120"/>
      <c r="G211" s="121"/>
      <c r="H211" s="640"/>
      <c r="Q211" s="52"/>
      <c r="R211" s="44"/>
    </row>
    <row r="212" spans="1:18" s="29" customFormat="1">
      <c r="A212" s="541">
        <v>4.0999999999999996</v>
      </c>
      <c r="B212" s="822" t="s">
        <v>155</v>
      </c>
      <c r="C212" s="824"/>
      <c r="D212" s="5" t="s">
        <v>50</v>
      </c>
      <c r="E212" s="20" t="s">
        <v>49</v>
      </c>
      <c r="F212" s="20">
        <f>VLOOKUP(A212,'Point Allocation'!$A$46:$J$55,MATCH(A7,'Point Allocation'!$A$46:$J$46,0),0)</f>
        <v>1.5</v>
      </c>
      <c r="G212" s="553"/>
      <c r="H212" s="20">
        <f>IF(G212&gt;=80%,F212,0)</f>
        <v>0</v>
      </c>
      <c r="Q212" s="52"/>
      <c r="R212" s="44"/>
    </row>
    <row r="213" spans="1:18" s="29" customFormat="1">
      <c r="A213" s="541">
        <v>4.2</v>
      </c>
      <c r="B213" s="822" t="s">
        <v>152</v>
      </c>
      <c r="C213" s="824"/>
      <c r="D213" s="5" t="s">
        <v>50</v>
      </c>
      <c r="E213" s="20" t="s">
        <v>49</v>
      </c>
      <c r="F213" s="20">
        <f>VLOOKUP(A213,'Point Allocation'!$A$46:$J$55,MATCH(A7,'Point Allocation'!$A$46:$J$46,0),0)</f>
        <v>1.5</v>
      </c>
      <c r="G213" s="553"/>
      <c r="H213" s="20">
        <f>IF(G213&gt;=80%,F213,0)</f>
        <v>0</v>
      </c>
      <c r="Q213" s="52"/>
      <c r="R213" s="44"/>
    </row>
    <row r="214" spans="1:18" s="29" customFormat="1">
      <c r="A214" s="541">
        <v>4.3</v>
      </c>
      <c r="B214" s="822" t="s">
        <v>146</v>
      </c>
      <c r="C214" s="824"/>
      <c r="D214" s="5" t="s">
        <v>3</v>
      </c>
      <c r="E214" s="20" t="s">
        <v>49</v>
      </c>
      <c r="F214" s="20">
        <f>VLOOKUP(A214,'Point Allocation'!$A$46:$J$55,MATCH(A7,'Point Allocation'!$A$46:$J$46,0),0)</f>
        <v>1.5</v>
      </c>
      <c r="G214" s="553"/>
      <c r="H214" s="20">
        <f>IF(G214&gt;=80%,F214,0)</f>
        <v>0</v>
      </c>
      <c r="Q214" s="52"/>
      <c r="R214" s="44"/>
    </row>
    <row r="215" spans="1:18" s="29" customFormat="1">
      <c r="A215" s="542">
        <v>4.4000000000000004</v>
      </c>
      <c r="B215" s="848" t="s">
        <v>252</v>
      </c>
      <c r="C215" s="849"/>
      <c r="D215" s="5" t="s">
        <v>3</v>
      </c>
      <c r="E215" s="20" t="s">
        <v>49</v>
      </c>
      <c r="F215" s="20">
        <f>VLOOKUP(A215,'Point Allocation'!$A$46:$J$55,MATCH(A7,'Point Allocation'!$A$46:$J$46,0),0)</f>
        <v>1.5</v>
      </c>
      <c r="G215" s="553"/>
      <c r="H215" s="20">
        <f>IF(G215&gt;=80%,F215,0)</f>
        <v>0</v>
      </c>
      <c r="Q215" s="52"/>
      <c r="R215" s="44"/>
    </row>
    <row r="216" spans="1:18" s="29" customFormat="1" ht="15.6">
      <c r="A216" s="118">
        <v>5</v>
      </c>
      <c r="B216" s="118" t="s">
        <v>202</v>
      </c>
      <c r="C216" s="116"/>
      <c r="D216" s="122"/>
      <c r="E216" s="123"/>
      <c r="F216" s="123"/>
      <c r="G216" s="124"/>
      <c r="H216" s="641"/>
      <c r="Q216" s="52"/>
      <c r="R216" s="44"/>
    </row>
    <row r="217" spans="1:18" s="29" customFormat="1">
      <c r="A217" s="591">
        <v>5.0999999999999996</v>
      </c>
      <c r="B217" s="765"/>
      <c r="C217" s="847"/>
      <c r="D217" s="391"/>
      <c r="E217" s="537"/>
      <c r="F217" s="537"/>
      <c r="G217" s="553"/>
      <c r="H217" s="633">
        <f>IF(G217&gt;=80%,F217,IF(G217&lt;65%,0,E217))</f>
        <v>0</v>
      </c>
      <c r="Q217" s="52"/>
      <c r="R217" s="44"/>
    </row>
    <row r="218" spans="1:18" s="29" customFormat="1">
      <c r="A218" s="591">
        <v>5.2</v>
      </c>
      <c r="B218" s="765"/>
      <c r="C218" s="847"/>
      <c r="D218" s="391"/>
      <c r="E218" s="537"/>
      <c r="F218" s="537"/>
      <c r="G218" s="553"/>
      <c r="H218" s="633">
        <f>IF(G218&gt;=80%,F218,IF(G218&lt;65%,0,E218))</f>
        <v>0</v>
      </c>
      <c r="Q218" s="52"/>
      <c r="R218" s="44"/>
    </row>
    <row r="219" spans="1:18" s="29" customFormat="1">
      <c r="A219" s="591">
        <v>5.3</v>
      </c>
      <c r="B219" s="765"/>
      <c r="C219" s="847"/>
      <c r="D219" s="391"/>
      <c r="E219" s="537"/>
      <c r="F219" s="537"/>
      <c r="G219" s="553"/>
      <c r="H219" s="633">
        <f>IF(G219&gt;=80%,F219,IF(G219&lt;65%,0,E219))</f>
        <v>0</v>
      </c>
      <c r="Q219" s="52"/>
      <c r="R219" s="44"/>
    </row>
    <row r="220" spans="1:18" s="29" customFormat="1" ht="15.6">
      <c r="A220" s="592"/>
      <c r="B220" s="326"/>
      <c r="C220" s="326"/>
      <c r="D220" s="314"/>
      <c r="E220" s="314"/>
      <c r="F220" s="314"/>
      <c r="G220" s="312" t="s">
        <v>7</v>
      </c>
      <c r="H220" s="617">
        <f>IFERROR(SUM(H212:H215,H217:H219),0)</f>
        <v>0</v>
      </c>
      <c r="Q220" s="52"/>
      <c r="R220" s="44"/>
    </row>
    <row r="221" spans="1:18" s="29" customFormat="1">
      <c r="A221" s="592"/>
      <c r="B221" s="307"/>
      <c r="C221" s="305"/>
      <c r="D221" s="305"/>
      <c r="E221" s="305"/>
      <c r="F221" s="305"/>
      <c r="G221" s="314"/>
      <c r="H221" s="571"/>
      <c r="Q221" s="52"/>
      <c r="R221" s="44"/>
    </row>
    <row r="222" spans="1:18" s="29" customFormat="1" ht="15.6">
      <c r="A222" s="850" t="s">
        <v>0</v>
      </c>
      <c r="B222" s="851"/>
      <c r="C222" s="860"/>
      <c r="D222" s="881" t="s">
        <v>4</v>
      </c>
      <c r="E222" s="862" t="s">
        <v>1</v>
      </c>
      <c r="F222" s="862"/>
      <c r="G222" s="881" t="s">
        <v>21</v>
      </c>
      <c r="H222" s="881" t="s">
        <v>62</v>
      </c>
      <c r="Q222" s="52"/>
      <c r="R222" s="44"/>
    </row>
    <row r="223" spans="1:18" s="29" customFormat="1" ht="31.2">
      <c r="A223" s="852"/>
      <c r="B223" s="853"/>
      <c r="C223" s="861"/>
      <c r="D223" s="862"/>
      <c r="E223" s="545" t="s">
        <v>64</v>
      </c>
      <c r="F223" s="545" t="s">
        <v>65</v>
      </c>
      <c r="G223" s="881"/>
      <c r="H223" s="881"/>
      <c r="Q223" s="52"/>
      <c r="R223" s="44"/>
    </row>
    <row r="224" spans="1:18" s="29" customFormat="1" ht="15.6">
      <c r="A224" s="105" t="s">
        <v>255</v>
      </c>
      <c r="B224" s="105" t="s">
        <v>518</v>
      </c>
      <c r="C224" s="125"/>
      <c r="D224" s="126"/>
      <c r="E224" s="126"/>
      <c r="F224" s="127"/>
      <c r="G224" s="128"/>
      <c r="H224" s="127"/>
      <c r="Q224" s="52"/>
      <c r="R224" s="44"/>
    </row>
    <row r="225" spans="1:18" s="29" customFormat="1" ht="15.6">
      <c r="A225" s="625" t="s">
        <v>188</v>
      </c>
      <c r="B225" s="822" t="s">
        <v>256</v>
      </c>
      <c r="C225" s="824"/>
      <c r="D225" s="94" t="s">
        <v>2</v>
      </c>
      <c r="E225" s="94">
        <v>1</v>
      </c>
      <c r="F225" s="94">
        <v>2</v>
      </c>
      <c r="G225" s="65"/>
      <c r="H225" s="94">
        <f>IF(G225&gt;=80%,F225,IF(G225&lt;65%,0,E225))</f>
        <v>0</v>
      </c>
      <c r="J225" s="131"/>
      <c r="Q225" s="52"/>
      <c r="R225" s="44"/>
    </row>
    <row r="226" spans="1:18" s="29" customFormat="1">
      <c r="A226" s="575" t="s">
        <v>189</v>
      </c>
      <c r="B226" s="825" t="s">
        <v>619</v>
      </c>
      <c r="C226" s="827"/>
      <c r="D226" s="94" t="s">
        <v>50</v>
      </c>
      <c r="E226" s="94">
        <v>0.5</v>
      </c>
      <c r="F226" s="94">
        <v>1</v>
      </c>
      <c r="G226" s="65"/>
      <c r="H226" s="94">
        <f>IF(G226&gt;=80%,F226,IF(G226&lt;65%,0,E226))</f>
        <v>0</v>
      </c>
      <c r="Q226" s="52"/>
      <c r="R226" s="44"/>
    </row>
    <row r="227" spans="1:18" s="29" customFormat="1" ht="15.6">
      <c r="A227" s="592"/>
      <c r="B227" s="307"/>
      <c r="C227" s="305"/>
      <c r="D227" s="305"/>
      <c r="E227" s="305"/>
      <c r="F227" s="308"/>
      <c r="G227" s="312" t="s">
        <v>109</v>
      </c>
      <c r="H227" s="129">
        <f>IFERROR(SUM(H225:H226),0)</f>
        <v>0</v>
      </c>
      <c r="Q227" s="52"/>
      <c r="R227" s="44"/>
    </row>
    <row r="228" spans="1:18" s="29" customFormat="1">
      <c r="A228" s="592"/>
      <c r="B228" s="307"/>
      <c r="C228" s="305"/>
      <c r="D228" s="305"/>
      <c r="E228" s="305"/>
      <c r="F228" s="305"/>
      <c r="G228" s="314"/>
      <c r="H228" s="571"/>
      <c r="Q228" s="52"/>
      <c r="R228" s="44"/>
    </row>
    <row r="229" spans="1:18" s="29" customFormat="1" ht="15.6">
      <c r="A229" s="592"/>
      <c r="B229" s="307"/>
      <c r="C229" s="305"/>
      <c r="D229" s="305"/>
      <c r="E229" s="305"/>
      <c r="F229" s="305"/>
      <c r="G229" s="312" t="s">
        <v>110</v>
      </c>
      <c r="H229" s="129">
        <f>IFERROR(MIN(SUM(H206+H220+H227),G194),0)</f>
        <v>0</v>
      </c>
      <c r="Q229" s="52"/>
      <c r="R229" s="44"/>
    </row>
    <row r="230" spans="1:18" s="29" customFormat="1" ht="16.2" thickBot="1">
      <c r="A230" s="594"/>
      <c r="B230" s="361"/>
      <c r="C230" s="362"/>
      <c r="D230" s="362"/>
      <c r="E230" s="362"/>
      <c r="F230" s="362"/>
      <c r="G230" s="364"/>
      <c r="H230" s="606"/>
      <c r="Q230" s="52"/>
      <c r="R230" s="44"/>
    </row>
    <row r="231" spans="1:18" s="29" customFormat="1" ht="15.6">
      <c r="A231" s="642" t="s">
        <v>129</v>
      </c>
      <c r="B231" s="455"/>
      <c r="C231" s="455"/>
      <c r="D231" s="455"/>
      <c r="E231" s="455"/>
      <c r="F231" s="456" t="s">
        <v>42</v>
      </c>
      <c r="G231" s="457">
        <v>20</v>
      </c>
      <c r="H231" s="643" t="s">
        <v>41</v>
      </c>
      <c r="Q231" s="52"/>
      <c r="R231" s="44"/>
    </row>
    <row r="232" spans="1:18" s="29" customFormat="1" ht="15.6">
      <c r="A232" s="592"/>
      <c r="B232" s="329"/>
      <c r="C232" s="305"/>
      <c r="D232" s="305"/>
      <c r="E232" s="305"/>
      <c r="F232" s="305"/>
      <c r="G232" s="314"/>
      <c r="H232" s="571"/>
      <c r="Q232" s="52"/>
      <c r="R232" s="44"/>
    </row>
    <row r="233" spans="1:18" s="29" customFormat="1" ht="33" customHeight="1">
      <c r="A233" s="854" t="s">
        <v>0</v>
      </c>
      <c r="B233" s="855"/>
      <c r="C233" s="132"/>
      <c r="D233" s="132"/>
      <c r="E233" s="133" t="s">
        <v>4</v>
      </c>
      <c r="F233" s="133" t="s">
        <v>69</v>
      </c>
      <c r="G233" s="134" t="s">
        <v>21</v>
      </c>
      <c r="H233" s="644" t="s">
        <v>62</v>
      </c>
      <c r="Q233" s="52"/>
      <c r="R233" s="44"/>
    </row>
    <row r="234" spans="1:18" s="29" customFormat="1" ht="15.6">
      <c r="A234" s="105" t="s">
        <v>257</v>
      </c>
      <c r="B234" s="105" t="s">
        <v>258</v>
      </c>
      <c r="C234" s="106"/>
      <c r="D234" s="106"/>
      <c r="E234" s="106"/>
      <c r="F234" s="57"/>
      <c r="G234" s="135"/>
      <c r="H234" s="645"/>
      <c r="I234" s="130"/>
      <c r="Q234" s="52"/>
      <c r="R234" s="44"/>
    </row>
    <row r="235" spans="1:18" s="29" customFormat="1" ht="15.6">
      <c r="A235" s="591">
        <v>1.1000000000000001</v>
      </c>
      <c r="B235" s="816" t="s">
        <v>122</v>
      </c>
      <c r="C235" s="817"/>
      <c r="D235" s="818"/>
      <c r="E235" s="155"/>
      <c r="F235" s="136"/>
      <c r="G235" s="137"/>
      <c r="H235" s="547">
        <f t="shared" ref="H235:H240" si="5">F235*G235</f>
        <v>0</v>
      </c>
      <c r="Q235" s="52"/>
      <c r="R235" s="44"/>
    </row>
    <row r="236" spans="1:18" s="29" customFormat="1" ht="15.6">
      <c r="A236" s="589">
        <v>1.2</v>
      </c>
      <c r="B236" s="844" t="s">
        <v>123</v>
      </c>
      <c r="C236" s="845"/>
      <c r="D236" s="846"/>
      <c r="E236" s="155"/>
      <c r="F236" s="136"/>
      <c r="G236" s="137"/>
      <c r="H236" s="547">
        <f t="shared" si="5"/>
        <v>0</v>
      </c>
      <c r="Q236" s="52"/>
      <c r="R236" s="44"/>
    </row>
    <row r="237" spans="1:18" s="29" customFormat="1" ht="15.6">
      <c r="A237" s="591">
        <v>1.3</v>
      </c>
      <c r="B237" s="816" t="s">
        <v>114</v>
      </c>
      <c r="C237" s="817"/>
      <c r="D237" s="818"/>
      <c r="E237" s="155"/>
      <c r="F237" s="136"/>
      <c r="G237" s="137"/>
      <c r="H237" s="547">
        <f t="shared" si="5"/>
        <v>0</v>
      </c>
      <c r="Q237" s="52"/>
      <c r="R237" s="44"/>
    </row>
    <row r="238" spans="1:18" s="29" customFormat="1" ht="15.6">
      <c r="A238" s="591">
        <v>1.4</v>
      </c>
      <c r="B238" s="816" t="s">
        <v>282</v>
      </c>
      <c r="C238" s="817"/>
      <c r="D238" s="818"/>
      <c r="E238" s="155"/>
      <c r="F238" s="136"/>
      <c r="G238" s="137"/>
      <c r="H238" s="547">
        <f t="shared" si="5"/>
        <v>0</v>
      </c>
      <c r="Q238" s="52"/>
      <c r="R238" s="44"/>
    </row>
    <row r="239" spans="1:18" s="29" customFormat="1" ht="15.6">
      <c r="A239" s="591">
        <v>1.5</v>
      </c>
      <c r="B239" s="816"/>
      <c r="C239" s="817"/>
      <c r="D239" s="818"/>
      <c r="E239" s="155"/>
      <c r="F239" s="136"/>
      <c r="G239" s="137"/>
      <c r="H239" s="547">
        <f t="shared" si="5"/>
        <v>0</v>
      </c>
      <c r="Q239" s="52"/>
      <c r="R239" s="44"/>
    </row>
    <row r="240" spans="1:18" s="29" customFormat="1" ht="15.6">
      <c r="A240" s="591">
        <v>1.6</v>
      </c>
      <c r="B240" s="816"/>
      <c r="C240" s="817"/>
      <c r="D240" s="818"/>
      <c r="E240" s="155"/>
      <c r="F240" s="136"/>
      <c r="G240" s="137"/>
      <c r="H240" s="547">
        <f t="shared" si="5"/>
        <v>0</v>
      </c>
      <c r="Q240" s="52"/>
      <c r="R240" s="44"/>
    </row>
    <row r="241" spans="1:18" s="29" customFormat="1" ht="15.6">
      <c r="A241" s="105" t="s">
        <v>260</v>
      </c>
      <c r="B241" s="105" t="s">
        <v>259</v>
      </c>
      <c r="C241" s="106"/>
      <c r="D241" s="106"/>
      <c r="E241" s="106"/>
      <c r="F241" s="57"/>
      <c r="G241" s="135"/>
      <c r="H241" s="645"/>
      <c r="Q241" s="52"/>
      <c r="R241" s="44"/>
    </row>
    <row r="242" spans="1:18" s="29" customFormat="1" ht="30.6" customHeight="1">
      <c r="A242" s="620">
        <v>2.1</v>
      </c>
      <c r="B242" s="825" t="s">
        <v>620</v>
      </c>
      <c r="C242" s="842"/>
      <c r="D242" s="843"/>
      <c r="E242" s="148" t="s">
        <v>367</v>
      </c>
      <c r="F242" s="389">
        <v>2</v>
      </c>
      <c r="G242" s="390"/>
      <c r="H242" s="547">
        <f>IFERROR(VLOOKUP(E242,J243:K246,2,FALSE),0)</f>
        <v>0</v>
      </c>
      <c r="J242" s="29" t="s">
        <v>367</v>
      </c>
      <c r="K242" s="29">
        <v>0</v>
      </c>
      <c r="Q242" s="52"/>
      <c r="R242" s="44"/>
    </row>
    <row r="243" spans="1:18" s="29" customFormat="1" ht="15.6">
      <c r="A243" s="592"/>
      <c r="B243" s="304"/>
      <c r="C243" s="305"/>
      <c r="D243" s="305"/>
      <c r="E243" s="305"/>
      <c r="F243" s="305"/>
      <c r="G243" s="312" t="s">
        <v>130</v>
      </c>
      <c r="H243" s="138">
        <f>IFERROR(MIN(SUM(H235:H242),G231),0)</f>
        <v>0</v>
      </c>
      <c r="J243" s="29" t="s">
        <v>363</v>
      </c>
      <c r="K243" s="29">
        <v>2</v>
      </c>
      <c r="Q243" s="44"/>
      <c r="R243" s="44"/>
    </row>
    <row r="244" spans="1:18" s="29" customFormat="1">
      <c r="A244" s="592"/>
      <c r="B244" s="307"/>
      <c r="C244" s="305"/>
      <c r="D244" s="305"/>
      <c r="E244" s="305"/>
      <c r="F244" s="305"/>
      <c r="G244" s="314"/>
      <c r="H244" s="571"/>
      <c r="J244" s="29" t="s">
        <v>364</v>
      </c>
      <c r="K244" s="29">
        <v>2</v>
      </c>
      <c r="Q244" s="44"/>
      <c r="R244" s="44"/>
    </row>
    <row r="245" spans="1:18" s="29" customFormat="1" ht="15.6">
      <c r="A245" s="592"/>
      <c r="B245" s="307"/>
      <c r="C245" s="305"/>
      <c r="D245" s="305"/>
      <c r="E245" s="305"/>
      <c r="F245" s="305"/>
      <c r="G245" s="312" t="s">
        <v>68</v>
      </c>
      <c r="H245" s="617">
        <f>IFERROR(H89+H192+H229+H243,0)</f>
        <v>0</v>
      </c>
      <c r="J245" s="29" t="s">
        <v>365</v>
      </c>
      <c r="K245" s="29">
        <v>2</v>
      </c>
      <c r="Q245" s="44"/>
      <c r="R245" s="44"/>
    </row>
    <row r="246" spans="1:18" s="29" customFormat="1">
      <c r="A246" s="592"/>
      <c r="B246" s="307"/>
      <c r="C246" s="305"/>
      <c r="D246" s="305"/>
      <c r="E246" s="305"/>
      <c r="F246" s="305"/>
      <c r="G246" s="314"/>
      <c r="H246" s="571"/>
      <c r="J246" s="29" t="s">
        <v>366</v>
      </c>
      <c r="K246" s="29">
        <v>2</v>
      </c>
      <c r="Q246" s="52"/>
      <c r="R246" s="44"/>
    </row>
    <row r="247" spans="1:18" s="29" customFormat="1" ht="15.75" customHeight="1">
      <c r="A247" s="592"/>
      <c r="B247" s="327" t="s">
        <v>37</v>
      </c>
      <c r="C247" s="314"/>
      <c r="D247" s="809" t="s">
        <v>372</v>
      </c>
      <c r="E247" s="809"/>
      <c r="F247" s="809"/>
      <c r="G247" s="314"/>
      <c r="H247" s="646"/>
      <c r="Q247" s="52"/>
      <c r="R247" s="44"/>
    </row>
    <row r="248" spans="1:18" s="29" customFormat="1" ht="15.6">
      <c r="A248" s="592"/>
      <c r="B248" s="328"/>
      <c r="C248" s="314"/>
      <c r="D248" s="809"/>
      <c r="E248" s="809"/>
      <c r="F248" s="809"/>
      <c r="G248" s="314"/>
      <c r="H248" s="646"/>
      <c r="Q248" s="52"/>
      <c r="R248" s="44"/>
    </row>
    <row r="249" spans="1:18" s="29" customFormat="1" ht="15.6">
      <c r="A249" s="647" t="s">
        <v>261</v>
      </c>
      <c r="B249" s="328" t="s">
        <v>99</v>
      </c>
      <c r="C249" s="347">
        <f>IFERROR(SUM(G32+G35+G37+G38+G47+G50),0)</f>
        <v>0</v>
      </c>
      <c r="D249" s="314" t="s">
        <v>265</v>
      </c>
      <c r="E249" s="137"/>
      <c r="F249" s="314" t="s">
        <v>266</v>
      </c>
      <c r="G249" s="139">
        <f>MIN(IFERROR(SUM(C249+E249),0),100%)</f>
        <v>0</v>
      </c>
      <c r="H249" s="571"/>
      <c r="L249" s="52"/>
      <c r="M249" s="44"/>
    </row>
    <row r="250" spans="1:18" s="29" customFormat="1" ht="15.6">
      <c r="A250" s="647" t="s">
        <v>262</v>
      </c>
      <c r="B250" s="328" t="s">
        <v>100</v>
      </c>
      <c r="C250" s="347">
        <f>IFERROR(SUM(F19+G96+G98+G100+G103+G106+G107+G108+G109+G110),0)</f>
        <v>0</v>
      </c>
      <c r="D250" s="314" t="s">
        <v>265</v>
      </c>
      <c r="E250" s="137"/>
      <c r="F250" s="314" t="s">
        <v>266</v>
      </c>
      <c r="G250" s="139">
        <f>MIN(IFERROR(SUM(C250+E250),0),100%)</f>
        <v>0</v>
      </c>
      <c r="H250" s="571"/>
      <c r="L250" s="52"/>
      <c r="M250" s="44"/>
    </row>
    <row r="251" spans="1:18" s="29" customFormat="1" ht="15.6">
      <c r="A251" s="647" t="s">
        <v>263</v>
      </c>
      <c r="B251" s="328" t="s">
        <v>101</v>
      </c>
      <c r="C251" s="347">
        <f>IFERROR(G206,0)</f>
        <v>0</v>
      </c>
      <c r="D251" s="314" t="s">
        <v>265</v>
      </c>
      <c r="E251" s="137"/>
      <c r="F251" s="286" t="s">
        <v>266</v>
      </c>
      <c r="G251" s="139">
        <f>MIN(IFERROR(SUM(C251+E251),0),100%)</f>
        <v>0</v>
      </c>
      <c r="H251" s="562"/>
      <c r="I251" s="3"/>
      <c r="J251" s="3"/>
      <c r="K251" s="3"/>
      <c r="L251" s="52"/>
      <c r="M251" s="44"/>
    </row>
    <row r="252" spans="1:18" s="29" customFormat="1">
      <c r="A252" s="622"/>
      <c r="B252" s="320"/>
      <c r="C252" s="323"/>
      <c r="D252" s="323"/>
      <c r="E252" s="323"/>
      <c r="F252" s="323"/>
      <c r="G252" s="648"/>
      <c r="H252" s="649"/>
      <c r="J252" s="3"/>
      <c r="K252" s="3"/>
      <c r="L252" s="3"/>
      <c r="M252" s="3"/>
      <c r="N252" s="3"/>
      <c r="O252" s="3"/>
      <c r="P252" s="3"/>
      <c r="Q252" s="52"/>
      <c r="R252" s="44"/>
    </row>
    <row r="253" spans="1:18" s="29" customFormat="1">
      <c r="A253" s="161"/>
      <c r="B253" s="3"/>
      <c r="C253" s="3"/>
      <c r="D253" s="3"/>
      <c r="E253" s="3"/>
      <c r="F253" s="3"/>
      <c r="G253" s="10"/>
      <c r="H253" s="3"/>
      <c r="J253" s="3"/>
      <c r="K253" s="3"/>
      <c r="L253" s="3"/>
      <c r="M253" s="3"/>
      <c r="N253" s="3"/>
      <c r="O253" s="3"/>
      <c r="P253" s="3"/>
      <c r="Q253" s="52"/>
      <c r="R253" s="44"/>
    </row>
    <row r="254" spans="1:18" s="29" customFormat="1">
      <c r="A254" s="161"/>
      <c r="B254" s="3"/>
      <c r="C254" s="3"/>
      <c r="D254" s="3"/>
      <c r="E254" s="3"/>
      <c r="F254" s="3"/>
      <c r="G254" s="10"/>
      <c r="H254" s="3"/>
      <c r="J254" s="3"/>
      <c r="K254" s="3"/>
      <c r="L254" s="3"/>
      <c r="M254" s="3"/>
      <c r="N254" s="3"/>
      <c r="O254" s="3"/>
      <c r="P254" s="3"/>
      <c r="Q254" s="52"/>
      <c r="R254" s="44"/>
    </row>
    <row r="255" spans="1:18" s="29" customFormat="1">
      <c r="A255" s="161"/>
      <c r="B255" s="3"/>
      <c r="C255" s="3"/>
      <c r="D255" s="3"/>
      <c r="E255" s="3"/>
      <c r="F255" s="3"/>
      <c r="G255" s="10"/>
      <c r="H255" s="3"/>
      <c r="J255" s="3"/>
      <c r="K255" s="3"/>
      <c r="L255" s="3"/>
      <c r="M255" s="3"/>
      <c r="N255" s="3"/>
      <c r="O255" s="3"/>
      <c r="P255" s="3"/>
      <c r="Q255" s="52"/>
      <c r="R255" s="44"/>
    </row>
    <row r="256" spans="1:18" s="29" customFormat="1">
      <c r="A256" s="161"/>
      <c r="B256" s="3"/>
      <c r="C256" s="3"/>
      <c r="D256" s="3"/>
      <c r="E256" s="3"/>
      <c r="F256" s="3"/>
      <c r="G256" s="10"/>
      <c r="H256" s="3"/>
      <c r="J256" s="3"/>
      <c r="K256" s="3"/>
      <c r="L256" s="3"/>
      <c r="M256" s="3"/>
      <c r="N256" s="3"/>
      <c r="O256" s="3"/>
      <c r="P256" s="3"/>
      <c r="Q256" s="44"/>
      <c r="R256" s="44"/>
    </row>
    <row r="257" spans="1:18" s="29" customFormat="1">
      <c r="A257" s="161"/>
      <c r="B257" s="3"/>
      <c r="C257" s="3"/>
      <c r="D257" s="3"/>
      <c r="E257" s="3"/>
      <c r="F257" s="3"/>
      <c r="G257" s="10"/>
      <c r="H257" s="3"/>
      <c r="J257" s="3"/>
      <c r="K257" s="3"/>
      <c r="L257" s="3"/>
      <c r="M257" s="3"/>
      <c r="N257" s="3"/>
      <c r="O257" s="3"/>
      <c r="P257" s="3"/>
      <c r="Q257" s="44"/>
      <c r="R257" s="44"/>
    </row>
    <row r="258" spans="1:18" s="29" customFormat="1">
      <c r="A258" s="161"/>
      <c r="B258" s="3"/>
      <c r="C258" s="3"/>
      <c r="D258" s="3"/>
      <c r="E258" s="3"/>
      <c r="F258" s="3"/>
      <c r="G258" s="10"/>
      <c r="H258" s="3"/>
      <c r="J258" s="3"/>
      <c r="K258" s="3"/>
      <c r="L258" s="3"/>
      <c r="M258" s="3"/>
      <c r="N258" s="3"/>
      <c r="O258" s="3"/>
      <c r="P258" s="3"/>
      <c r="Q258" s="44"/>
      <c r="R258" s="44"/>
    </row>
    <row r="259" spans="1:18" s="29" customFormat="1">
      <c r="A259" s="161"/>
      <c r="B259" s="3"/>
      <c r="C259" s="3"/>
      <c r="D259" s="3"/>
      <c r="E259" s="3"/>
      <c r="F259" s="3"/>
      <c r="G259" s="10"/>
      <c r="H259" s="3"/>
      <c r="J259" s="3"/>
      <c r="K259" s="3"/>
      <c r="L259" s="3"/>
      <c r="M259" s="3"/>
      <c r="N259" s="3"/>
      <c r="O259" s="3"/>
      <c r="P259" s="3"/>
      <c r="Q259" s="44"/>
      <c r="R259" s="44"/>
    </row>
  </sheetData>
  <sheetProtection algorithmName="SHA-512" hashValue="rvR4nx7yHGujPtObbnNbx9dV8hrFcrM7DaI60Efnzw9kEqm/fpX0AwkOiFjBUTAPy1+NRL6FEcZTtwBfS9pScg==" saltValue="HqP9qZY9/d2lvYEAoHNBmw==" spinCount="100000" sheet="1" selectLockedCells="1"/>
  <mergeCells count="236">
    <mergeCell ref="B138:C138"/>
    <mergeCell ref="B135:C135"/>
    <mergeCell ref="B134:C134"/>
    <mergeCell ref="B139:C139"/>
    <mergeCell ref="H174:H175"/>
    <mergeCell ref="B175:C175"/>
    <mergeCell ref="H176:H177"/>
    <mergeCell ref="B181:C181"/>
    <mergeCell ref="A184:B185"/>
    <mergeCell ref="C184:C185"/>
    <mergeCell ref="D184:D185"/>
    <mergeCell ref="E184:F184"/>
    <mergeCell ref="G184:G185"/>
    <mergeCell ref="H184:H185"/>
    <mergeCell ref="A176:A177"/>
    <mergeCell ref="B176:C176"/>
    <mergeCell ref="D176:D177"/>
    <mergeCell ref="E176:E177"/>
    <mergeCell ref="F176:F177"/>
    <mergeCell ref="G176:G177"/>
    <mergeCell ref="F174:F175"/>
    <mergeCell ref="G174:G175"/>
    <mergeCell ref="A160:A161"/>
    <mergeCell ref="B160:C161"/>
    <mergeCell ref="B16:C16"/>
    <mergeCell ref="B32:D32"/>
    <mergeCell ref="B53:D53"/>
    <mergeCell ref="B54:D54"/>
    <mergeCell ref="B65:C65"/>
    <mergeCell ref="B99:D99"/>
    <mergeCell ref="B109:D109"/>
    <mergeCell ref="E98:E99"/>
    <mergeCell ref="F98:F99"/>
    <mergeCell ref="B96:D96"/>
    <mergeCell ref="B47:D47"/>
    <mergeCell ref="B50:D50"/>
    <mergeCell ref="B49:D49"/>
    <mergeCell ref="B56:D56"/>
    <mergeCell ref="B57:D57"/>
    <mergeCell ref="E100:E101"/>
    <mergeCell ref="F100:F101"/>
    <mergeCell ref="B58:D58"/>
    <mergeCell ref="A61:B62"/>
    <mergeCell ref="D61:D62"/>
    <mergeCell ref="A103:A104"/>
    <mergeCell ref="E103:E104"/>
    <mergeCell ref="F103:F104"/>
    <mergeCell ref="A98:A99"/>
    <mergeCell ref="D69:D72"/>
    <mergeCell ref="B72:C72"/>
    <mergeCell ref="A4:B4"/>
    <mergeCell ref="A7:B7"/>
    <mergeCell ref="D7:G7"/>
    <mergeCell ref="B20:C20"/>
    <mergeCell ref="B21:C21"/>
    <mergeCell ref="B69:C69"/>
    <mergeCell ref="B44:D44"/>
    <mergeCell ref="B37:D37"/>
    <mergeCell ref="B68:C68"/>
    <mergeCell ref="B66:C66"/>
    <mergeCell ref="B22:C22"/>
    <mergeCell ref="D11:D12"/>
    <mergeCell ref="E11:E12"/>
    <mergeCell ref="F11:F12"/>
    <mergeCell ref="B14:C14"/>
    <mergeCell ref="B15:C15"/>
    <mergeCell ref="A11:B12"/>
    <mergeCell ref="B17:C17"/>
    <mergeCell ref="B19:C19"/>
    <mergeCell ref="B41:D41"/>
    <mergeCell ref="B42:D42"/>
    <mergeCell ref="B40:D40"/>
    <mergeCell ref="B23:C23"/>
    <mergeCell ref="B24:C24"/>
    <mergeCell ref="B25:C25"/>
    <mergeCell ref="B106:D106"/>
    <mergeCell ref="B82:C82"/>
    <mergeCell ref="B84:C84"/>
    <mergeCell ref="B85:C85"/>
    <mergeCell ref="B86:C86"/>
    <mergeCell ref="A100:A101"/>
    <mergeCell ref="B100:D100"/>
    <mergeCell ref="B35:D35"/>
    <mergeCell ref="A38:A39"/>
    <mergeCell ref="B38:D39"/>
    <mergeCell ref="B103:D103"/>
    <mergeCell ref="B104:D104"/>
    <mergeCell ref="B64:C64"/>
    <mergeCell ref="B74:C74"/>
    <mergeCell ref="B81:C81"/>
    <mergeCell ref="B70:C70"/>
    <mergeCell ref="B71:C71"/>
    <mergeCell ref="B73:C73"/>
    <mergeCell ref="B77:C77"/>
    <mergeCell ref="B79:C79"/>
    <mergeCell ref="B67:C67"/>
    <mergeCell ref="A32:A33"/>
    <mergeCell ref="E32:E33"/>
    <mergeCell ref="F32:F33"/>
    <mergeCell ref="G32:G33"/>
    <mergeCell ref="H32:H33"/>
    <mergeCell ref="B33:D33"/>
    <mergeCell ref="E61:F61"/>
    <mergeCell ref="G61:G62"/>
    <mergeCell ref="H61:H62"/>
    <mergeCell ref="E38:E39"/>
    <mergeCell ref="H38:H39"/>
    <mergeCell ref="E40:E45"/>
    <mergeCell ref="H40:H45"/>
    <mergeCell ref="B43:D43"/>
    <mergeCell ref="B48:D48"/>
    <mergeCell ref="B45:D45"/>
    <mergeCell ref="E74:F74"/>
    <mergeCell ref="B76:C76"/>
    <mergeCell ref="B78:C78"/>
    <mergeCell ref="F127:F128"/>
    <mergeCell ref="G127:G128"/>
    <mergeCell ref="H127:H128"/>
    <mergeCell ref="B128:C128"/>
    <mergeCell ref="B127:C127"/>
    <mergeCell ref="G98:G99"/>
    <mergeCell ref="H98:H99"/>
    <mergeCell ref="B101:D101"/>
    <mergeCell ref="G100:G101"/>
    <mergeCell ref="H100:H101"/>
    <mergeCell ref="G103:G104"/>
    <mergeCell ref="H103:H104"/>
    <mergeCell ref="B115:D115"/>
    <mergeCell ref="B117:D117"/>
    <mergeCell ref="B118:D118"/>
    <mergeCell ref="B119:D119"/>
    <mergeCell ref="B125:C125"/>
    <mergeCell ref="D127:D128"/>
    <mergeCell ref="B107:D107"/>
    <mergeCell ref="B98:D98"/>
    <mergeCell ref="B108:D108"/>
    <mergeCell ref="Q106:Q107"/>
    <mergeCell ref="A131:A132"/>
    <mergeCell ref="B131:C131"/>
    <mergeCell ref="D131:D132"/>
    <mergeCell ref="E131:E132"/>
    <mergeCell ref="F131:F132"/>
    <mergeCell ref="G131:G132"/>
    <mergeCell ref="H131:H132"/>
    <mergeCell ref="B132:C132"/>
    <mergeCell ref="B110:D110"/>
    <mergeCell ref="B114:D114"/>
    <mergeCell ref="B113:D113"/>
    <mergeCell ref="B129:C129"/>
    <mergeCell ref="A127:A128"/>
    <mergeCell ref="E127:E128"/>
    <mergeCell ref="E160:F160"/>
    <mergeCell ref="G160:G161"/>
    <mergeCell ref="H160:H161"/>
    <mergeCell ref="E161:F161"/>
    <mergeCell ref="B140:C140"/>
    <mergeCell ref="B141:C141"/>
    <mergeCell ref="B142:C142"/>
    <mergeCell ref="A145:B145"/>
    <mergeCell ref="F145:G145"/>
    <mergeCell ref="D147:D148"/>
    <mergeCell ref="E147:E148"/>
    <mergeCell ref="F147:G147"/>
    <mergeCell ref="F148:G148"/>
    <mergeCell ref="A151:B152"/>
    <mergeCell ref="C151:C152"/>
    <mergeCell ref="D151:D152"/>
    <mergeCell ref="E151:F151"/>
    <mergeCell ref="G151:G152"/>
    <mergeCell ref="H151:H152"/>
    <mergeCell ref="B155:C155"/>
    <mergeCell ref="B156:C156"/>
    <mergeCell ref="B157:C157"/>
    <mergeCell ref="B158:C158"/>
    <mergeCell ref="B159:C159"/>
    <mergeCell ref="A166:A167"/>
    <mergeCell ref="A196:B196"/>
    <mergeCell ref="B199:C199"/>
    <mergeCell ref="B201:C201"/>
    <mergeCell ref="A162:A165"/>
    <mergeCell ref="B162:C165"/>
    <mergeCell ref="E162:F162"/>
    <mergeCell ref="G162:G165"/>
    <mergeCell ref="H162:H165"/>
    <mergeCell ref="E163:F163"/>
    <mergeCell ref="E164:F164"/>
    <mergeCell ref="E165:F165"/>
    <mergeCell ref="E189:F189"/>
    <mergeCell ref="B187:C187"/>
    <mergeCell ref="B188:C188"/>
    <mergeCell ref="B189:C189"/>
    <mergeCell ref="D174:D175"/>
    <mergeCell ref="E174:E175"/>
    <mergeCell ref="B166:C167"/>
    <mergeCell ref="B171:C171"/>
    <mergeCell ref="B172:C172"/>
    <mergeCell ref="B177:C177"/>
    <mergeCell ref="B169:C169"/>
    <mergeCell ref="B170:C170"/>
    <mergeCell ref="B179:C179"/>
    <mergeCell ref="B180:C180"/>
    <mergeCell ref="A174:A175"/>
    <mergeCell ref="B174:C174"/>
    <mergeCell ref="G208:G209"/>
    <mergeCell ref="B203:C203"/>
    <mergeCell ref="B204:C204"/>
    <mergeCell ref="B205:C205"/>
    <mergeCell ref="H208:H209"/>
    <mergeCell ref="B212:C212"/>
    <mergeCell ref="B213:C213"/>
    <mergeCell ref="B214:C214"/>
    <mergeCell ref="B215:C215"/>
    <mergeCell ref="A208:B209"/>
    <mergeCell ref="C208:C209"/>
    <mergeCell ref="D208:D209"/>
    <mergeCell ref="E208:F208"/>
    <mergeCell ref="B218:C218"/>
    <mergeCell ref="B219:C219"/>
    <mergeCell ref="A222:B223"/>
    <mergeCell ref="C222:C223"/>
    <mergeCell ref="D222:D223"/>
    <mergeCell ref="E222:F222"/>
    <mergeCell ref="G222:G223"/>
    <mergeCell ref="H222:H223"/>
    <mergeCell ref="B217:C217"/>
    <mergeCell ref="B242:D242"/>
    <mergeCell ref="D247:F248"/>
    <mergeCell ref="B225:C225"/>
    <mergeCell ref="B226:C226"/>
    <mergeCell ref="A233:B233"/>
    <mergeCell ref="B235:D235"/>
    <mergeCell ref="B236:D236"/>
    <mergeCell ref="B237:D237"/>
    <mergeCell ref="B238:D238"/>
    <mergeCell ref="B239:D239"/>
    <mergeCell ref="B240:D240"/>
  </mergeCells>
  <dataValidations count="3">
    <dataValidation type="list" allowBlank="1" showInputMessage="1" showErrorMessage="1" sqref="A7" xr:uid="{EC42E8A9-82AA-4D18-9733-1F9A524305EE}">
      <formula1>$J$1:$J$7</formula1>
    </dataValidation>
    <dataValidation type="list" allowBlank="1" showInputMessage="1" showErrorMessage="1" sqref="E242" xr:uid="{CBD7060C-0571-4F70-8DB5-3852AB619D6F}">
      <formula1>$J$242:$J$246</formula1>
    </dataValidation>
    <dataValidation type="list" allowBlank="1" showInputMessage="1" showErrorMessage="1" sqref="F148:G148" xr:uid="{D3EDA86F-8F43-460D-A092-966A9579B2BB}">
      <formula1>$K$145:$P$145</formula1>
    </dataValidation>
  </dataValidations>
  <pageMargins left="0.25" right="0.25" top="0.75" bottom="0.75" header="0.3" footer="0.3"/>
  <pageSetup paperSize="9" scale="55" fitToHeight="4" orientation="portrait" r:id="rId1"/>
  <headerFooter>
    <oddFooter>&amp;F</oddFooter>
  </headerFooter>
  <rowBreaks count="3" manualBreakCount="3">
    <brk id="60" max="7" man="1"/>
    <brk id="121" max="7" man="1"/>
    <brk id="183"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A1:R259"/>
  <sheetViews>
    <sheetView zoomScale="80" zoomScaleNormal="80" zoomScaleSheetLayoutView="100" workbookViewId="0">
      <selection activeCell="A7" sqref="A7:B7"/>
    </sheetView>
  </sheetViews>
  <sheetFormatPr defaultColWidth="9.109375" defaultRowHeight="15"/>
  <cols>
    <col min="1" max="1" width="7" style="160"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29" style="3" hidden="1" customWidth="1"/>
    <col min="10" max="10" width="45.6640625" style="3" hidden="1" customWidth="1"/>
    <col min="11" max="15" width="9.109375" style="3" hidden="1" customWidth="1"/>
    <col min="16" max="16" width="9.6640625" style="3" hidden="1" customWidth="1"/>
    <col min="17" max="17" width="9.109375" style="3" customWidth="1"/>
    <col min="18" max="16384" width="9.109375" style="3"/>
  </cols>
  <sheetData>
    <row r="1" spans="1:15" ht="15.6">
      <c r="A1" s="558" t="s">
        <v>89</v>
      </c>
      <c r="B1" s="559"/>
      <c r="C1" s="559"/>
      <c r="D1" s="559"/>
      <c r="E1" s="559"/>
      <c r="F1" s="559"/>
      <c r="G1" s="559"/>
      <c r="H1" s="560"/>
      <c r="J1" s="3" t="s">
        <v>40</v>
      </c>
    </row>
    <row r="2" spans="1:15">
      <c r="A2" s="561"/>
      <c r="B2" s="264"/>
      <c r="C2" s="264"/>
      <c r="D2" s="264"/>
      <c r="E2" s="264"/>
      <c r="F2" s="264"/>
      <c r="G2" s="265"/>
      <c r="H2" s="562"/>
      <c r="I2" s="6"/>
      <c r="J2" s="6" t="s">
        <v>384</v>
      </c>
    </row>
    <row r="3" spans="1:15" ht="15.6">
      <c r="A3" s="563" t="s">
        <v>336</v>
      </c>
      <c r="B3" s="264"/>
      <c r="C3" s="264"/>
      <c r="D3" s="331" t="s">
        <v>134</v>
      </c>
      <c r="E3" s="331" t="s">
        <v>135</v>
      </c>
      <c r="F3" s="331" t="s">
        <v>136</v>
      </c>
      <c r="G3" s="289" t="s">
        <v>104</v>
      </c>
      <c r="H3" s="564" t="s">
        <v>62</v>
      </c>
      <c r="I3" s="6"/>
      <c r="J3" s="6" t="s">
        <v>44</v>
      </c>
    </row>
    <row r="4" spans="1:15" ht="15.6">
      <c r="A4" s="966">
        <f>Summary!A6</f>
        <v>0</v>
      </c>
      <c r="B4" s="967"/>
      <c r="C4" s="264"/>
      <c r="D4" s="74">
        <f>H89</f>
        <v>0</v>
      </c>
      <c r="E4" s="154">
        <f>H192</f>
        <v>0</v>
      </c>
      <c r="F4" s="129">
        <f>H229</f>
        <v>0</v>
      </c>
      <c r="G4" s="138">
        <f>H243</f>
        <v>0</v>
      </c>
      <c r="H4" s="565">
        <f>H245</f>
        <v>0</v>
      </c>
      <c r="I4" s="6"/>
      <c r="J4" s="6" t="s">
        <v>15</v>
      </c>
    </row>
    <row r="5" spans="1:15">
      <c r="A5" s="561"/>
      <c r="B5" s="264"/>
      <c r="C5" s="264"/>
      <c r="D5" s="264"/>
      <c r="E5" s="264"/>
      <c r="F5" s="264"/>
      <c r="G5" s="265"/>
      <c r="H5" s="562"/>
      <c r="I5" s="6"/>
      <c r="J5" s="6" t="s">
        <v>16</v>
      </c>
    </row>
    <row r="6" spans="1:15" s="4" customFormat="1" ht="15.6">
      <c r="A6" s="563" t="s">
        <v>90</v>
      </c>
      <c r="B6" s="296"/>
      <c r="C6" s="296"/>
      <c r="D6" s="297" t="s">
        <v>35</v>
      </c>
      <c r="E6" s="264"/>
      <c r="F6" s="264"/>
      <c r="G6" s="265"/>
      <c r="H6" s="562"/>
      <c r="I6" s="6"/>
      <c r="J6" s="6" t="s">
        <v>383</v>
      </c>
      <c r="K6" s="3"/>
      <c r="L6" s="3"/>
      <c r="M6" s="3"/>
    </row>
    <row r="7" spans="1:15" ht="15.75" customHeight="1">
      <c r="A7" s="976" t="s">
        <v>384</v>
      </c>
      <c r="B7" s="977"/>
      <c r="D7" s="761">
        <f>Summary!A84</f>
        <v>0</v>
      </c>
      <c r="E7" s="779"/>
      <c r="F7" s="779"/>
      <c r="G7" s="780"/>
      <c r="H7" s="566"/>
      <c r="I7" s="29"/>
      <c r="J7" s="29" t="s">
        <v>382</v>
      </c>
    </row>
    <row r="8" spans="1:15" ht="15.6" thickBot="1">
      <c r="A8" s="561"/>
      <c r="B8" s="298"/>
      <c r="C8" s="264"/>
      <c r="D8" s="264"/>
      <c r="E8" s="264"/>
      <c r="F8" s="264"/>
      <c r="G8" s="265"/>
      <c r="H8" s="562"/>
    </row>
    <row r="9" spans="1:15" ht="16.2" thickBot="1">
      <c r="A9" s="567" t="s">
        <v>125</v>
      </c>
      <c r="B9" s="140"/>
      <c r="C9" s="140"/>
      <c r="D9" s="140"/>
      <c r="E9" s="140"/>
      <c r="F9" s="141"/>
      <c r="G9" s="16"/>
      <c r="H9" s="568"/>
    </row>
    <row r="10" spans="1:15">
      <c r="A10" s="561"/>
      <c r="B10" s="299"/>
      <c r="C10" s="264"/>
      <c r="D10" s="264"/>
      <c r="E10" s="264"/>
      <c r="F10" s="264"/>
      <c r="G10" s="265"/>
      <c r="H10" s="562"/>
    </row>
    <row r="11" spans="1:15" ht="15.75" customHeight="1">
      <c r="A11" s="905" t="s">
        <v>0</v>
      </c>
      <c r="B11" s="906"/>
      <c r="C11" s="144"/>
      <c r="D11" s="883" t="s">
        <v>4</v>
      </c>
      <c r="E11" s="882" t="s">
        <v>80</v>
      </c>
      <c r="F11" s="882" t="s">
        <v>21</v>
      </c>
      <c r="G11" s="300"/>
      <c r="H11" s="569"/>
    </row>
    <row r="12" spans="1:15" ht="15.75" customHeight="1">
      <c r="A12" s="907"/>
      <c r="B12" s="908"/>
      <c r="C12" s="145"/>
      <c r="D12" s="884"/>
      <c r="E12" s="882"/>
      <c r="F12" s="882"/>
      <c r="G12" s="300"/>
      <c r="H12" s="569"/>
    </row>
    <row r="13" spans="1:15" s="29" customFormat="1" ht="15.6">
      <c r="A13" s="570" t="s">
        <v>127</v>
      </c>
      <c r="B13" s="167"/>
      <c r="C13" s="167"/>
      <c r="D13" s="167"/>
      <c r="E13" s="170"/>
      <c r="F13" s="170"/>
      <c r="G13" s="301"/>
      <c r="H13" s="571"/>
      <c r="N13" s="44"/>
      <c r="O13" s="44"/>
    </row>
    <row r="14" spans="1:15">
      <c r="A14" s="572">
        <v>1</v>
      </c>
      <c r="B14" s="826" t="s">
        <v>268</v>
      </c>
      <c r="C14" s="827"/>
      <c r="D14" s="511" t="s">
        <v>2</v>
      </c>
      <c r="E14" s="512" t="s">
        <v>49</v>
      </c>
      <c r="F14" s="30"/>
      <c r="G14" s="573" t="str">
        <f>IF(F14&lt;65%,"To comply with min. 65%"," ")</f>
        <v>To comply with min. 65%</v>
      </c>
      <c r="H14" s="574"/>
    </row>
    <row r="15" spans="1:15">
      <c r="A15" s="575">
        <v>2</v>
      </c>
      <c r="B15" s="826" t="s">
        <v>590</v>
      </c>
      <c r="C15" s="827"/>
      <c r="D15" s="513" t="s">
        <v>50</v>
      </c>
      <c r="E15" s="514" t="s">
        <v>49</v>
      </c>
      <c r="F15" s="553"/>
      <c r="G15" s="573" t="str">
        <f>IF(F15&lt;80%,"To comply with min. 80%"," ")</f>
        <v>To comply with min. 80%</v>
      </c>
      <c r="H15" s="562"/>
    </row>
    <row r="16" spans="1:15" ht="15" customHeight="1">
      <c r="A16" s="572">
        <v>3</v>
      </c>
      <c r="B16" s="826" t="s">
        <v>589</v>
      </c>
      <c r="C16" s="827"/>
      <c r="D16" s="513" t="s">
        <v>50</v>
      </c>
      <c r="E16" s="514" t="s">
        <v>49</v>
      </c>
      <c r="F16" s="553"/>
      <c r="G16" s="573" t="str">
        <f>IF(F16&lt;80%,"To comply with min. 80%"," ")</f>
        <v>To comply with min. 80%</v>
      </c>
      <c r="H16" s="569"/>
    </row>
    <row r="17" spans="1:18">
      <c r="A17" s="572">
        <v>4</v>
      </c>
      <c r="B17" s="826" t="s">
        <v>591</v>
      </c>
      <c r="C17" s="827"/>
      <c r="D17" s="515" t="s">
        <v>3</v>
      </c>
      <c r="E17" s="514" t="s">
        <v>49</v>
      </c>
      <c r="F17" s="553"/>
      <c r="G17" s="573" t="str">
        <f>IF(F17&lt;65%,"To comply with min. 65%"," ")</f>
        <v>To comply with min. 65%</v>
      </c>
      <c r="H17" s="569"/>
    </row>
    <row r="18" spans="1:18" s="29" customFormat="1" ht="15.6">
      <c r="A18" s="576" t="s">
        <v>126</v>
      </c>
      <c r="B18" s="167"/>
      <c r="C18" s="167"/>
      <c r="D18" s="167"/>
      <c r="E18" s="168"/>
      <c r="F18" s="169"/>
      <c r="G18" s="534"/>
      <c r="H18" s="571"/>
      <c r="J18" s="10"/>
      <c r="N18" s="44"/>
      <c r="O18" s="44"/>
    </row>
    <row r="19" spans="1:18" ht="32.25" customHeight="1">
      <c r="A19" s="577">
        <v>5</v>
      </c>
      <c r="B19" s="886" t="s">
        <v>269</v>
      </c>
      <c r="C19" s="887"/>
      <c r="D19" s="143" t="s">
        <v>3</v>
      </c>
      <c r="E19" s="537"/>
      <c r="F19" s="31">
        <f>IFERROR(E19/$F$120,0)</f>
        <v>0</v>
      </c>
      <c r="G19" s="573" t="str">
        <f>IF(OR($A$7=$J$2,$A$7=$J$3),IF(E19=0,"Please input wall length"," ")," ")</f>
        <v>Please input wall length</v>
      </c>
      <c r="H19" s="569"/>
    </row>
    <row r="20" spans="1:18">
      <c r="A20" s="577" t="s">
        <v>509</v>
      </c>
      <c r="B20" s="826" t="s">
        <v>270</v>
      </c>
      <c r="C20" s="827"/>
      <c r="D20" s="516" t="s">
        <v>50</v>
      </c>
      <c r="E20" s="514" t="s">
        <v>49</v>
      </c>
      <c r="F20" s="30"/>
      <c r="G20" s="573" t="str">
        <f>IF(OR($A$7=$J$2,$A$7=$J$3),IF(F20&lt;65%,"To comply with min. 65%"," ")," ")</f>
        <v>To comply with min. 65%</v>
      </c>
      <c r="H20" s="569"/>
    </row>
    <row r="21" spans="1:18">
      <c r="A21" s="577" t="s">
        <v>510</v>
      </c>
      <c r="B21" s="826" t="s">
        <v>592</v>
      </c>
      <c r="C21" s="827"/>
      <c r="D21" s="516" t="s">
        <v>50</v>
      </c>
      <c r="E21" s="514" t="s">
        <v>49</v>
      </c>
      <c r="F21" s="30"/>
      <c r="G21" s="573" t="str">
        <f>IF(OR($A$7=$J$2,$A$7=$J$3),IF(F21&lt;60%,"To comply with min. 60%"," ")," ")</f>
        <v>To comply with min. 60%</v>
      </c>
      <c r="H21" s="569"/>
    </row>
    <row r="22" spans="1:18">
      <c r="A22" s="577" t="s">
        <v>511</v>
      </c>
      <c r="B22" s="826" t="s">
        <v>593</v>
      </c>
      <c r="C22" s="827"/>
      <c r="D22" s="516" t="s">
        <v>50</v>
      </c>
      <c r="E22" s="514" t="s">
        <v>49</v>
      </c>
      <c r="F22" s="30"/>
      <c r="G22" s="573" t="str">
        <f>IF(OR($A$7=$J$2,$A$7=$J$3),IF(F22&lt;65%,"To comply with min. 65%"," ")," ")</f>
        <v>To comply with min. 65%</v>
      </c>
      <c r="H22" s="569"/>
    </row>
    <row r="23" spans="1:18">
      <c r="A23" s="577" t="s">
        <v>512</v>
      </c>
      <c r="B23" s="826" t="s">
        <v>594</v>
      </c>
      <c r="C23" s="827"/>
      <c r="D23" s="516" t="s">
        <v>50</v>
      </c>
      <c r="E23" s="514" t="s">
        <v>49</v>
      </c>
      <c r="F23" s="30"/>
      <c r="G23" s="573" t="str">
        <f>IF(OR($A$7=$J$2,$A$7=$J$3),IF(F23&lt;60%,"To comply with min. 60%"," ")," ")</f>
        <v>To comply with min. 60%</v>
      </c>
      <c r="H23" s="569"/>
    </row>
    <row r="24" spans="1:18">
      <c r="A24" s="577" t="s">
        <v>283</v>
      </c>
      <c r="B24" s="826" t="s">
        <v>595</v>
      </c>
      <c r="C24" s="827"/>
      <c r="D24" s="513" t="s">
        <v>50</v>
      </c>
      <c r="E24" s="514" t="s">
        <v>49</v>
      </c>
      <c r="F24" s="553"/>
      <c r="G24" s="573" t="str">
        <f>IF(OR($A$7=$J$2,$A$7=$J$3),IF(F24&lt;65%,"To comply with min. 65%"," ")," ")</f>
        <v>To comply with min. 65%</v>
      </c>
      <c r="H24" s="569"/>
    </row>
    <row r="25" spans="1:18">
      <c r="A25" s="577" t="s">
        <v>513</v>
      </c>
      <c r="B25" s="826" t="s">
        <v>596</v>
      </c>
      <c r="C25" s="827"/>
      <c r="D25" s="513" t="s">
        <v>50</v>
      </c>
      <c r="E25" s="514" t="s">
        <v>49</v>
      </c>
      <c r="F25" s="553"/>
      <c r="G25" s="573" t="str">
        <f>IF(OR($A$7=$J$2,$A$7=$J$3),IF(F25&lt;80%,"To comply with min. 80%"," ")," ")</f>
        <v>To comply with min. 80%</v>
      </c>
      <c r="H25" s="569"/>
    </row>
    <row r="26" spans="1:18">
      <c r="A26" s="561"/>
      <c r="B26" s="264"/>
      <c r="C26" s="264"/>
      <c r="D26" s="264"/>
      <c r="E26" s="264"/>
      <c r="F26" s="264"/>
      <c r="G26" s="265"/>
      <c r="H26" s="562"/>
      <c r="J26" s="6"/>
    </row>
    <row r="27" spans="1:18" ht="15.6">
      <c r="A27" s="578" t="s">
        <v>43</v>
      </c>
      <c r="B27" s="157"/>
      <c r="C27" s="157"/>
      <c r="D27" s="157"/>
      <c r="E27" s="157"/>
      <c r="F27" s="158" t="s">
        <v>42</v>
      </c>
      <c r="G27" s="159">
        <f>VLOOKUP($A$7,'Manpower allocation'!A4:D11,2,FALSE)*100</f>
        <v>45</v>
      </c>
      <c r="H27" s="579" t="s">
        <v>41</v>
      </c>
      <c r="I27" s="365">
        <f>VLOOKUP($A$7,'Manpower allocation'!A4:D11,2,FALSE)*100</f>
        <v>45</v>
      </c>
      <c r="J27" s="6"/>
    </row>
    <row r="28" spans="1:18" ht="15.6">
      <c r="A28" s="561"/>
      <c r="B28" s="302"/>
      <c r="C28" s="303"/>
      <c r="D28" s="264"/>
      <c r="E28" s="264"/>
      <c r="F28" s="264"/>
      <c r="G28" s="265"/>
      <c r="H28" s="562"/>
      <c r="J28" s="6"/>
    </row>
    <row r="29" spans="1:18" s="29" customFormat="1" ht="46.8">
      <c r="A29" s="580" t="s">
        <v>0</v>
      </c>
      <c r="B29" s="40"/>
      <c r="C29" s="40"/>
      <c r="D29" s="41"/>
      <c r="E29" s="42" t="s">
        <v>17</v>
      </c>
      <c r="F29" s="42" t="s">
        <v>113</v>
      </c>
      <c r="G29" s="42" t="s">
        <v>18</v>
      </c>
      <c r="H29" s="42" t="s">
        <v>52</v>
      </c>
      <c r="J29" s="43"/>
      <c r="Q29" s="44"/>
      <c r="R29" s="44"/>
    </row>
    <row r="30" spans="1:18" s="29" customFormat="1" ht="15.6">
      <c r="A30" s="581" t="s">
        <v>187</v>
      </c>
      <c r="B30" s="45" t="s">
        <v>203</v>
      </c>
      <c r="C30" s="46"/>
      <c r="D30" s="46"/>
      <c r="E30" s="47"/>
      <c r="F30" s="47"/>
      <c r="G30" s="47"/>
      <c r="H30" s="582"/>
      <c r="Q30" s="44"/>
      <c r="R30" s="44"/>
    </row>
    <row r="31" spans="1:18" s="29" customFormat="1" ht="15.6">
      <c r="A31" s="583">
        <v>1</v>
      </c>
      <c r="B31" s="39" t="s">
        <v>304</v>
      </c>
      <c r="C31" s="40"/>
      <c r="D31" s="48"/>
      <c r="E31" s="40"/>
      <c r="F31" s="49"/>
      <c r="G31" s="49"/>
      <c r="H31" s="584"/>
      <c r="Q31" s="44"/>
      <c r="R31" s="44"/>
    </row>
    <row r="32" spans="1:18" s="29" customFormat="1">
      <c r="A32" s="918">
        <v>1.1000000000000001</v>
      </c>
      <c r="B32" s="836" t="s">
        <v>271</v>
      </c>
      <c r="C32" s="885"/>
      <c r="D32" s="885"/>
      <c r="E32" s="811">
        <f>VLOOKUP(A32,'Point Allocation'!$A$5:$J$15,MATCH(A7,'Point Allocation'!$A$5:$J$5,0),0)</f>
        <v>45</v>
      </c>
      <c r="F32" s="812"/>
      <c r="G32" s="813">
        <f>IFERROR(F32/$F$59,0)</f>
        <v>0</v>
      </c>
      <c r="H32" s="811">
        <f>E32*G32</f>
        <v>0</v>
      </c>
      <c r="Q32" s="44"/>
      <c r="R32" s="44"/>
    </row>
    <row r="33" spans="1:18" s="29" customFormat="1" ht="15.6">
      <c r="A33" s="919"/>
      <c r="B33" s="810" t="s">
        <v>358</v>
      </c>
      <c r="C33" s="810"/>
      <c r="D33" s="810"/>
      <c r="E33" s="811"/>
      <c r="F33" s="812"/>
      <c r="G33" s="813">
        <f t="shared" ref="G33" si="0">IFERROR(F33/$F$59,0)</f>
        <v>0</v>
      </c>
      <c r="H33" s="811"/>
      <c r="Q33" s="44"/>
      <c r="R33" s="44"/>
    </row>
    <row r="34" spans="1:18" s="29" customFormat="1" ht="15.6">
      <c r="A34" s="583">
        <v>2</v>
      </c>
      <c r="B34" s="39" t="s">
        <v>305</v>
      </c>
      <c r="C34" s="50"/>
      <c r="D34" s="48"/>
      <c r="E34" s="51"/>
      <c r="F34" s="8"/>
      <c r="G34" s="22"/>
      <c r="H34" s="585"/>
      <c r="Q34" s="52"/>
      <c r="R34" s="44"/>
    </row>
    <row r="35" spans="1:18" s="29" customFormat="1">
      <c r="A35" s="586">
        <v>2.1</v>
      </c>
      <c r="B35" s="858" t="s">
        <v>192</v>
      </c>
      <c r="C35" s="859"/>
      <c r="D35" s="840"/>
      <c r="E35" s="20">
        <f>VLOOKUP(A35,'Point Allocation'!$A$5:$J$15,MATCH(A7,'Point Allocation'!$A$5:$J$5,0),0)</f>
        <v>42</v>
      </c>
      <c r="F35" s="537"/>
      <c r="G35" s="31">
        <f>IFERROR(F35/$F$59,0)</f>
        <v>0</v>
      </c>
      <c r="H35" s="20">
        <f>E35*G35</f>
        <v>0</v>
      </c>
      <c r="Q35" s="52"/>
      <c r="R35" s="44"/>
    </row>
    <row r="36" spans="1:18" s="29" customFormat="1" ht="15.6">
      <c r="A36" s="583">
        <v>3</v>
      </c>
      <c r="B36" s="39" t="s">
        <v>306</v>
      </c>
      <c r="C36" s="50"/>
      <c r="D36" s="48"/>
      <c r="E36" s="51"/>
      <c r="F36" s="8"/>
      <c r="G36" s="22"/>
      <c r="H36" s="585"/>
      <c r="Q36" s="52"/>
      <c r="R36" s="44"/>
    </row>
    <row r="37" spans="1:18" s="29" customFormat="1" ht="15" customHeight="1">
      <c r="A37" s="586">
        <v>3.1</v>
      </c>
      <c r="B37" s="858" t="s">
        <v>640</v>
      </c>
      <c r="C37" s="859"/>
      <c r="D37" s="840"/>
      <c r="E37" s="20">
        <f>VLOOKUP(A37,'Point Allocation'!$A$5:$J$15,MATCH(A7,'Point Allocation'!$A$5:$J$5,0),0)</f>
        <v>39</v>
      </c>
      <c r="F37" s="37"/>
      <c r="G37" s="31">
        <f>IFERROR(F37/$F$59,0)</f>
        <v>0</v>
      </c>
      <c r="H37" s="546">
        <f>E37*G37</f>
        <v>0</v>
      </c>
      <c r="Q37" s="52"/>
      <c r="R37" s="44"/>
    </row>
    <row r="38" spans="1:18" s="29" customFormat="1" ht="31.5" customHeight="1">
      <c r="A38" s="909">
        <v>3.2</v>
      </c>
      <c r="B38" s="863" t="s">
        <v>296</v>
      </c>
      <c r="C38" s="911"/>
      <c r="D38" s="864"/>
      <c r="E38" s="828">
        <f>VLOOKUP(A38,'Point Allocation'!$A$5:$J$15,MATCH(A7,'Point Allocation'!$A$5:$J$5,0),0)</f>
        <v>39</v>
      </c>
      <c r="F38" s="37"/>
      <c r="G38" s="31">
        <f>IFERROR(F38/$F$59,0)</f>
        <v>0</v>
      </c>
      <c r="H38" s="828">
        <f>IF(SUM(I40:I45)&gt;=4,E38*G38,0)</f>
        <v>0</v>
      </c>
      <c r="Q38" s="52"/>
      <c r="R38" s="44"/>
    </row>
    <row r="39" spans="1:18" s="29" customFormat="1" ht="46.95" customHeight="1">
      <c r="A39" s="910"/>
      <c r="B39" s="912"/>
      <c r="C39" s="913"/>
      <c r="D39" s="914"/>
      <c r="E39" s="829"/>
      <c r="F39" s="521" t="s">
        <v>601</v>
      </c>
      <c r="G39" s="53" t="s">
        <v>116</v>
      </c>
      <c r="H39" s="829"/>
      <c r="Q39" s="52"/>
      <c r="R39" s="44"/>
    </row>
    <row r="40" spans="1:18" s="29" customFormat="1" ht="112.2" customHeight="1">
      <c r="A40" s="587" t="s">
        <v>181</v>
      </c>
      <c r="B40" s="830" t="s">
        <v>323</v>
      </c>
      <c r="C40" s="831"/>
      <c r="D40" s="832"/>
      <c r="E40" s="900"/>
      <c r="F40" s="536" t="s">
        <v>609</v>
      </c>
      <c r="G40" s="552"/>
      <c r="H40" s="889"/>
      <c r="I40" s="54">
        <f t="shared" ref="I40:I45" si="1">IF(G40&gt;=65%,1,0)</f>
        <v>0</v>
      </c>
      <c r="Q40" s="52"/>
      <c r="R40" s="44"/>
    </row>
    <row r="41" spans="1:18" s="29" customFormat="1" ht="63" customHeight="1">
      <c r="A41" s="587" t="s">
        <v>182</v>
      </c>
      <c r="B41" s="833" t="s">
        <v>204</v>
      </c>
      <c r="C41" s="834"/>
      <c r="D41" s="835"/>
      <c r="E41" s="900"/>
      <c r="F41" s="483" t="s">
        <v>598</v>
      </c>
      <c r="G41" s="553"/>
      <c r="H41" s="889"/>
      <c r="I41" s="54">
        <f t="shared" si="1"/>
        <v>0</v>
      </c>
      <c r="Q41" s="52"/>
      <c r="R41" s="44"/>
    </row>
    <row r="42" spans="1:18" s="29" customFormat="1" ht="48.75" customHeight="1">
      <c r="A42" s="587" t="s">
        <v>190</v>
      </c>
      <c r="B42" s="833" t="s">
        <v>205</v>
      </c>
      <c r="C42" s="834"/>
      <c r="D42" s="835"/>
      <c r="E42" s="900"/>
      <c r="F42" s="483" t="s">
        <v>611</v>
      </c>
      <c r="G42" s="553"/>
      <c r="H42" s="889"/>
      <c r="I42" s="54">
        <f t="shared" si="1"/>
        <v>0</v>
      </c>
      <c r="Q42" s="52"/>
      <c r="R42" s="44"/>
    </row>
    <row r="43" spans="1:18" s="29" customFormat="1" ht="45">
      <c r="A43" s="587" t="s">
        <v>183</v>
      </c>
      <c r="B43" s="833" t="s">
        <v>206</v>
      </c>
      <c r="C43" s="834"/>
      <c r="D43" s="835"/>
      <c r="E43" s="900"/>
      <c r="F43" s="483" t="s">
        <v>597</v>
      </c>
      <c r="G43" s="553"/>
      <c r="H43" s="889"/>
      <c r="I43" s="54">
        <f t="shared" si="1"/>
        <v>0</v>
      </c>
      <c r="Q43" s="52"/>
      <c r="R43" s="44"/>
    </row>
    <row r="44" spans="1:18" s="29" customFormat="1" ht="63" customHeight="1">
      <c r="A44" s="587" t="s">
        <v>191</v>
      </c>
      <c r="B44" s="833" t="s">
        <v>207</v>
      </c>
      <c r="C44" s="834"/>
      <c r="D44" s="835"/>
      <c r="E44" s="900"/>
      <c r="F44" s="483" t="s">
        <v>599</v>
      </c>
      <c r="G44" s="553"/>
      <c r="H44" s="889"/>
      <c r="I44" s="54">
        <f t="shared" si="1"/>
        <v>0</v>
      </c>
      <c r="Q44" s="52"/>
      <c r="R44" s="44"/>
    </row>
    <row r="45" spans="1:18" s="29" customFormat="1" ht="31.5" customHeight="1">
      <c r="A45" s="587" t="s">
        <v>184</v>
      </c>
      <c r="B45" s="915" t="s">
        <v>610</v>
      </c>
      <c r="C45" s="916"/>
      <c r="D45" s="886"/>
      <c r="E45" s="901"/>
      <c r="F45" s="483" t="s">
        <v>600</v>
      </c>
      <c r="G45" s="553"/>
      <c r="H45" s="829"/>
      <c r="I45" s="54">
        <f t="shared" si="1"/>
        <v>0</v>
      </c>
      <c r="Q45" s="52"/>
      <c r="R45" s="44"/>
    </row>
    <row r="46" spans="1:18" s="29" customFormat="1" ht="15.6">
      <c r="A46" s="583" t="s">
        <v>185</v>
      </c>
      <c r="B46" s="39" t="s">
        <v>307</v>
      </c>
      <c r="C46" s="55"/>
      <c r="D46" s="48"/>
      <c r="E46" s="51"/>
      <c r="F46" s="36"/>
      <c r="G46" s="23"/>
      <c r="H46" s="588"/>
      <c r="Q46" s="52"/>
      <c r="R46" s="44"/>
    </row>
    <row r="47" spans="1:18" s="29" customFormat="1" ht="31.5" customHeight="1">
      <c r="A47" s="543">
        <v>4.0999999999999996</v>
      </c>
      <c r="B47" s="858" t="s">
        <v>602</v>
      </c>
      <c r="C47" s="859"/>
      <c r="D47" s="840"/>
      <c r="E47" s="20">
        <f>VLOOKUP(A47,'Point Allocation'!$A$5:$J$15,MATCH(A7,'Point Allocation'!$A$5:$J$5,0),0)</f>
        <v>35</v>
      </c>
      <c r="F47" s="537"/>
      <c r="G47" s="31">
        <f>IFERROR(F47/$F$59,0)</f>
        <v>0</v>
      </c>
      <c r="H47" s="20">
        <f>E47*G47</f>
        <v>0</v>
      </c>
      <c r="Q47" s="52"/>
      <c r="R47" s="44"/>
    </row>
    <row r="48" spans="1:18" s="29" customFormat="1">
      <c r="A48" s="589">
        <v>4.2</v>
      </c>
      <c r="B48" s="825" t="s">
        <v>313</v>
      </c>
      <c r="C48" s="826"/>
      <c r="D48" s="827"/>
      <c r="E48" s="20">
        <f>VLOOKUP(A48,'Point Allocation'!$A$5:$J$15,MATCH(A7,'Point Allocation'!$A$5:$J$5,0),0)</f>
        <v>35</v>
      </c>
      <c r="F48" s="537"/>
      <c r="G48" s="31">
        <f>IFERROR(F48/$F$59,0)</f>
        <v>0</v>
      </c>
      <c r="H48" s="20">
        <f>E48*G48</f>
        <v>0</v>
      </c>
      <c r="Q48" s="52"/>
      <c r="R48" s="44"/>
    </row>
    <row r="49" spans="1:18" s="29" customFormat="1">
      <c r="A49" s="589">
        <v>4.3</v>
      </c>
      <c r="B49" s="902" t="s">
        <v>311</v>
      </c>
      <c r="C49" s="903"/>
      <c r="D49" s="904"/>
      <c r="E49" s="20">
        <f>VLOOKUP(A49,'Point Allocation'!$A$5:$J$15,MATCH(A7,'Point Allocation'!$A$5:$J$5,0),0)</f>
        <v>28</v>
      </c>
      <c r="F49" s="537"/>
      <c r="G49" s="31">
        <f>IFERROR(F49/$F$59,0)</f>
        <v>0</v>
      </c>
      <c r="H49" s="20">
        <f>E49*G49</f>
        <v>0</v>
      </c>
      <c r="Q49" s="52"/>
      <c r="R49" s="44"/>
    </row>
    <row r="50" spans="1:18" s="29" customFormat="1">
      <c r="A50" s="543">
        <v>4.4000000000000004</v>
      </c>
      <c r="B50" s="858" t="s">
        <v>312</v>
      </c>
      <c r="C50" s="859"/>
      <c r="D50" s="840"/>
      <c r="E50" s="20">
        <f>VLOOKUP(A50,'Point Allocation'!$A$5:$J$15,MATCH(A7,'Point Allocation'!$A$5:$J$5,0),0)</f>
        <v>28</v>
      </c>
      <c r="F50" s="537"/>
      <c r="G50" s="31">
        <f>IFERROR(F50/$F$59,0)</f>
        <v>0</v>
      </c>
      <c r="H50" s="20">
        <f>E50*G50</f>
        <v>0</v>
      </c>
      <c r="Q50" s="52"/>
      <c r="R50" s="44"/>
    </row>
    <row r="51" spans="1:18" s="58" customFormat="1" ht="15.6">
      <c r="A51" s="581" t="s">
        <v>186</v>
      </c>
      <c r="B51" s="45" t="s">
        <v>200</v>
      </c>
      <c r="C51" s="56"/>
      <c r="D51" s="57"/>
      <c r="E51" s="7"/>
      <c r="F51" s="7"/>
      <c r="G51" s="24"/>
      <c r="H51" s="590"/>
      <c r="I51" s="29"/>
      <c r="J51" s="29"/>
      <c r="K51" s="29"/>
      <c r="L51" s="29"/>
      <c r="M51" s="29"/>
      <c r="Q51" s="59"/>
    </row>
    <row r="52" spans="1:18" s="58" customFormat="1" ht="15.6">
      <c r="A52" s="39">
        <v>5</v>
      </c>
      <c r="B52" s="39" t="s">
        <v>201</v>
      </c>
      <c r="C52" s="48"/>
      <c r="D52" s="48"/>
      <c r="E52" s="8"/>
      <c r="F52" s="8"/>
      <c r="G52" s="22"/>
      <c r="H52" s="588"/>
      <c r="I52" s="29"/>
      <c r="J52" s="29"/>
      <c r="K52" s="29"/>
      <c r="L52" s="29"/>
      <c r="M52" s="29"/>
      <c r="Q52" s="59"/>
    </row>
    <row r="53" spans="1:18" s="29" customFormat="1">
      <c r="A53" s="541">
        <v>5.0999999999999996</v>
      </c>
      <c r="B53" s="822" t="s">
        <v>193</v>
      </c>
      <c r="C53" s="823"/>
      <c r="D53" s="824"/>
      <c r="E53" s="20">
        <f>VLOOKUP(A53,'Point Allocation'!$A$5:$J$15,MATCH(A7,'Point Allocation'!$A$5:$J$5,0),0)</f>
        <v>22</v>
      </c>
      <c r="F53" s="537"/>
      <c r="G53" s="31">
        <f>IFERROR(F53/$F$59,0)</f>
        <v>0</v>
      </c>
      <c r="H53" s="20">
        <f>E53*G53</f>
        <v>0</v>
      </c>
      <c r="Q53" s="52"/>
      <c r="R53" s="44"/>
    </row>
    <row r="54" spans="1:18" s="29" customFormat="1">
      <c r="A54" s="541">
        <v>5.2</v>
      </c>
      <c r="B54" s="822" t="s">
        <v>142</v>
      </c>
      <c r="C54" s="823"/>
      <c r="D54" s="824"/>
      <c r="E54" s="20">
        <f>VLOOKUP(A54,'Point Allocation'!$A$5:$J$15,MATCH(A7,'Point Allocation'!$A$5:$J$5,0),0)</f>
        <v>10</v>
      </c>
      <c r="F54" s="537"/>
      <c r="G54" s="31">
        <f>IFERROR(F54/$F$59,0)</f>
        <v>0</v>
      </c>
      <c r="H54" s="20">
        <f>E54*G54</f>
        <v>0</v>
      </c>
      <c r="Q54" s="52"/>
      <c r="R54" s="44"/>
    </row>
    <row r="55" spans="1:18" s="29" customFormat="1" ht="15.6">
      <c r="A55" s="60">
        <v>6</v>
      </c>
      <c r="B55" s="60" t="s">
        <v>202</v>
      </c>
      <c r="C55" s="48"/>
      <c r="D55" s="48"/>
      <c r="E55" s="8"/>
      <c r="F55" s="8"/>
      <c r="G55" s="22"/>
      <c r="H55" s="588"/>
      <c r="Q55" s="52"/>
      <c r="R55" s="44"/>
    </row>
    <row r="56" spans="1:18" s="29" customFormat="1">
      <c r="A56" s="591">
        <v>6.1</v>
      </c>
      <c r="B56" s="762"/>
      <c r="C56" s="763"/>
      <c r="D56" s="803"/>
      <c r="E56" s="537"/>
      <c r="F56" s="537"/>
      <c r="G56" s="31">
        <f>IFERROR(F56/$F$59,0)</f>
        <v>0</v>
      </c>
      <c r="H56" s="20">
        <f>E56*G56</f>
        <v>0</v>
      </c>
      <c r="Q56" s="52"/>
      <c r="R56" s="44"/>
    </row>
    <row r="57" spans="1:18" s="29" customFormat="1">
      <c r="A57" s="591">
        <v>6.2</v>
      </c>
      <c r="B57" s="762"/>
      <c r="C57" s="763"/>
      <c r="D57" s="803"/>
      <c r="E57" s="537"/>
      <c r="F57" s="537"/>
      <c r="G57" s="31">
        <f>IFERROR(F57/$F$59,0)</f>
        <v>0</v>
      </c>
      <c r="H57" s="20">
        <f>E57*G57</f>
        <v>0</v>
      </c>
      <c r="Q57" s="52"/>
      <c r="R57" s="44"/>
    </row>
    <row r="58" spans="1:18" s="29" customFormat="1">
      <c r="A58" s="591">
        <v>6.3</v>
      </c>
      <c r="B58" s="762"/>
      <c r="C58" s="763"/>
      <c r="D58" s="803"/>
      <c r="E58" s="537"/>
      <c r="F58" s="537"/>
      <c r="G58" s="31">
        <f>IFERROR(F58/$F$59,0)</f>
        <v>0</v>
      </c>
      <c r="H58" s="20">
        <f>E58*G58</f>
        <v>0</v>
      </c>
      <c r="Q58" s="52"/>
      <c r="R58" s="44"/>
    </row>
    <row r="59" spans="1:18" s="29" customFormat="1" ht="15.6">
      <c r="A59" s="592"/>
      <c r="B59" s="304"/>
      <c r="C59" s="305"/>
      <c r="D59" s="305"/>
      <c r="E59" s="306" t="s">
        <v>60</v>
      </c>
      <c r="F59" s="26">
        <f>SUM(F32,F35,F37,F38,F47,F48,F49,F50,F53,F54,F56,F57,F58)</f>
        <v>0</v>
      </c>
      <c r="G59" s="25">
        <f>SUM(G32,G35:G35,G37:G38,G47:G50,G53:G54,G56:G58)</f>
        <v>0</v>
      </c>
      <c r="H59" s="593">
        <f>IFERROR(SUM(H32:H58),0)</f>
        <v>0</v>
      </c>
      <c r="M59" s="61"/>
      <c r="Q59" s="52"/>
      <c r="R59" s="44"/>
    </row>
    <row r="60" spans="1:18" s="29" customFormat="1" ht="15.6" thickBot="1">
      <c r="A60" s="594"/>
      <c r="B60" s="361"/>
      <c r="C60" s="362"/>
      <c r="D60" s="362"/>
      <c r="E60" s="362"/>
      <c r="F60" s="362"/>
      <c r="G60" s="354"/>
      <c r="H60" s="595"/>
      <c r="Q60" s="52"/>
      <c r="R60" s="44"/>
    </row>
    <row r="61" spans="1:18" s="29" customFormat="1" ht="15.6">
      <c r="A61" s="896" t="s">
        <v>0</v>
      </c>
      <c r="B61" s="897"/>
      <c r="C61" s="461"/>
      <c r="D61" s="892" t="s">
        <v>4</v>
      </c>
      <c r="E61" s="894" t="s">
        <v>1</v>
      </c>
      <c r="F61" s="895"/>
      <c r="G61" s="890" t="s">
        <v>21</v>
      </c>
      <c r="H61" s="892" t="s">
        <v>62</v>
      </c>
      <c r="Q61" s="52"/>
      <c r="R61" s="44"/>
    </row>
    <row r="62" spans="1:18" s="29" customFormat="1" ht="31.2">
      <c r="A62" s="898"/>
      <c r="B62" s="899"/>
      <c r="C62" s="62"/>
      <c r="D62" s="893"/>
      <c r="E62" s="42" t="s">
        <v>117</v>
      </c>
      <c r="F62" s="42" t="s">
        <v>118</v>
      </c>
      <c r="G62" s="891"/>
      <c r="H62" s="893"/>
      <c r="I62" s="63"/>
      <c r="Q62" s="52"/>
      <c r="R62" s="44"/>
    </row>
    <row r="63" spans="1:18" s="29" customFormat="1" ht="15.6">
      <c r="A63" s="45" t="s">
        <v>208</v>
      </c>
      <c r="B63" s="45" t="s">
        <v>139</v>
      </c>
      <c r="C63" s="57"/>
      <c r="D63" s="64"/>
      <c r="E63" s="47"/>
      <c r="F63" s="47"/>
      <c r="G63" s="47"/>
      <c r="H63" s="596"/>
      <c r="I63" s="61"/>
      <c r="J63" s="61"/>
      <c r="K63" s="61"/>
      <c r="L63" s="61"/>
      <c r="Q63" s="52"/>
      <c r="R63" s="44"/>
    </row>
    <row r="64" spans="1:18" s="29" customFormat="1" ht="15" customHeight="1">
      <c r="A64" s="597" t="s">
        <v>314</v>
      </c>
      <c r="B64" s="837" t="s">
        <v>647</v>
      </c>
      <c r="C64" s="838"/>
      <c r="D64" s="5" t="s">
        <v>50</v>
      </c>
      <c r="E64" s="9">
        <v>3</v>
      </c>
      <c r="F64" s="9">
        <v>4</v>
      </c>
      <c r="G64" s="30"/>
      <c r="H64" s="20">
        <f>IF(G64&gt;=80%,F64,IF(G64&lt;65%,0,E64))</f>
        <v>0</v>
      </c>
      <c r="Q64" s="52"/>
      <c r="R64" s="44"/>
    </row>
    <row r="65" spans="1:18" s="29" customFormat="1">
      <c r="A65" s="597" t="s">
        <v>315</v>
      </c>
      <c r="B65" s="837" t="s">
        <v>646</v>
      </c>
      <c r="C65" s="838"/>
      <c r="D65" s="5" t="s">
        <v>50</v>
      </c>
      <c r="E65" s="9">
        <v>3</v>
      </c>
      <c r="F65" s="9">
        <v>4</v>
      </c>
      <c r="G65" s="30"/>
      <c r="H65" s="20">
        <f>IF(G65&gt;=80%,F65,IF(G65&lt;65%,0,E65))</f>
        <v>0</v>
      </c>
      <c r="Q65" s="52"/>
      <c r="R65" s="44"/>
    </row>
    <row r="66" spans="1:18" s="29" customFormat="1">
      <c r="A66" s="598" t="s">
        <v>316</v>
      </c>
      <c r="B66" s="837" t="s">
        <v>641</v>
      </c>
      <c r="C66" s="838"/>
      <c r="D66" s="5" t="s">
        <v>50</v>
      </c>
      <c r="E66" s="9">
        <v>3</v>
      </c>
      <c r="F66" s="9">
        <v>4</v>
      </c>
      <c r="G66" s="30"/>
      <c r="H66" s="20">
        <f>IF(G66&gt;=80%,F66,IF(G66&lt;65%,0,E66))</f>
        <v>0</v>
      </c>
      <c r="Q66" s="52"/>
      <c r="R66" s="44"/>
    </row>
    <row r="67" spans="1:18" s="29" customFormat="1" ht="51" customHeight="1">
      <c r="A67" s="597">
        <v>7.2</v>
      </c>
      <c r="B67" s="841" t="s">
        <v>319</v>
      </c>
      <c r="C67" s="841"/>
      <c r="D67" s="385" t="s">
        <v>50</v>
      </c>
      <c r="E67" s="546">
        <v>2</v>
      </c>
      <c r="F67" s="546">
        <v>2.5</v>
      </c>
      <c r="G67" s="518"/>
      <c r="H67" s="546">
        <f>IF(H38&gt;0,0,IF(G67&gt;=80%,F67,IF(G67&lt;65%,0,E67)))</f>
        <v>0</v>
      </c>
      <c r="I67" s="11"/>
      <c r="J67" s="11"/>
      <c r="K67" s="11"/>
      <c r="Q67" s="52"/>
      <c r="R67" s="44"/>
    </row>
    <row r="68" spans="1:18" s="29" customFormat="1" ht="15" customHeight="1">
      <c r="A68" s="597">
        <v>7.3</v>
      </c>
      <c r="B68" s="858" t="s">
        <v>215</v>
      </c>
      <c r="C68" s="859"/>
      <c r="D68" s="353"/>
      <c r="E68" s="353"/>
      <c r="F68" s="353"/>
      <c r="G68" s="519"/>
      <c r="H68" s="599"/>
      <c r="I68" s="11"/>
      <c r="J68" s="11"/>
      <c r="K68" s="11"/>
      <c r="Q68" s="52"/>
      <c r="R68" s="44"/>
    </row>
    <row r="69" spans="1:18" s="29" customFormat="1" ht="32.25" customHeight="1">
      <c r="A69" s="598" t="s">
        <v>209</v>
      </c>
      <c r="B69" s="839" t="s">
        <v>216</v>
      </c>
      <c r="C69" s="840"/>
      <c r="D69" s="980" t="s">
        <v>50</v>
      </c>
      <c r="E69" s="279">
        <v>1</v>
      </c>
      <c r="F69" s="279">
        <v>1.5</v>
      </c>
      <c r="G69" s="553"/>
      <c r="H69" s="279">
        <f>IF(H32+H38&gt;0,0.5,IF(G69&gt;=80%,F69,IF(G69&lt;65%,0,E69)))</f>
        <v>0</v>
      </c>
      <c r="J69" s="11"/>
      <c r="K69" s="11"/>
      <c r="Q69" s="52"/>
      <c r="R69" s="44"/>
    </row>
    <row r="70" spans="1:18" s="29" customFormat="1" ht="47.25" customHeight="1">
      <c r="A70" s="598" t="s">
        <v>210</v>
      </c>
      <c r="B70" s="839" t="s">
        <v>217</v>
      </c>
      <c r="C70" s="840"/>
      <c r="D70" s="981"/>
      <c r="E70" s="279">
        <v>1</v>
      </c>
      <c r="F70" s="279">
        <v>1.5</v>
      </c>
      <c r="G70" s="553"/>
      <c r="H70" s="279">
        <f>IF(H32+H38&gt;0,0.5,IF(G70&gt;=80%,F70,IF(G70&lt;65%,0,E70)))</f>
        <v>0</v>
      </c>
      <c r="Q70" s="52"/>
      <c r="R70" s="44"/>
    </row>
    <row r="71" spans="1:18" s="29" customFormat="1">
      <c r="A71" s="598" t="s">
        <v>222</v>
      </c>
      <c r="B71" s="839" t="s">
        <v>218</v>
      </c>
      <c r="C71" s="840"/>
      <c r="D71" s="981"/>
      <c r="E71" s="279">
        <v>1</v>
      </c>
      <c r="F71" s="279">
        <v>1.5</v>
      </c>
      <c r="G71" s="553"/>
      <c r="H71" s="279">
        <f>IF(H32+H38&gt;0,0.5,IF(G71&gt;=80%,F71,IF(G71&lt;65%,0,E71)))</f>
        <v>0</v>
      </c>
      <c r="Q71" s="52"/>
      <c r="R71" s="44"/>
    </row>
    <row r="72" spans="1:18" s="29" customFormat="1" ht="46.5" customHeight="1">
      <c r="A72" s="598" t="s">
        <v>211</v>
      </c>
      <c r="B72" s="839" t="s">
        <v>219</v>
      </c>
      <c r="C72" s="840"/>
      <c r="D72" s="982"/>
      <c r="E72" s="279">
        <v>1</v>
      </c>
      <c r="F72" s="279">
        <v>1.5</v>
      </c>
      <c r="G72" s="553"/>
      <c r="H72" s="279">
        <f>IF(H32+H38&gt;0,0.5,IF(G72&gt;=80%,F72,IF(G72&lt;65%,0,E72)))</f>
        <v>0</v>
      </c>
      <c r="Q72" s="52"/>
      <c r="R72" s="44"/>
    </row>
    <row r="73" spans="1:18" s="29" customFormat="1">
      <c r="A73" s="597">
        <v>7.4</v>
      </c>
      <c r="B73" s="923" t="s">
        <v>393</v>
      </c>
      <c r="C73" s="923"/>
      <c r="D73" s="332" t="s">
        <v>2</v>
      </c>
      <c r="E73" s="279">
        <v>1</v>
      </c>
      <c r="F73" s="279">
        <v>1.5</v>
      </c>
      <c r="G73" s="553"/>
      <c r="H73" s="279">
        <f>IF(G73&gt;=80%,F73,IF(G73&lt;65%,0,E73))</f>
        <v>0</v>
      </c>
      <c r="Q73" s="52"/>
      <c r="R73" s="44"/>
    </row>
    <row r="74" spans="1:18" s="29" customFormat="1" ht="15" customHeight="1">
      <c r="A74" s="600">
        <v>7.5</v>
      </c>
      <c r="B74" s="928" t="s">
        <v>380</v>
      </c>
      <c r="C74" s="928"/>
      <c r="D74" s="490" t="s">
        <v>377</v>
      </c>
      <c r="E74" s="979">
        <v>2</v>
      </c>
      <c r="F74" s="979"/>
      <c r="G74" s="552"/>
      <c r="H74" s="557">
        <f>IF(G74&gt;=5%,E74,0)</f>
        <v>0</v>
      </c>
      <c r="Q74" s="52"/>
      <c r="R74" s="44"/>
    </row>
    <row r="75" spans="1:18" s="29" customFormat="1" ht="15.6">
      <c r="A75" s="66" t="s">
        <v>212</v>
      </c>
      <c r="B75" s="66" t="s">
        <v>517</v>
      </c>
      <c r="C75" s="67"/>
      <c r="D75" s="68"/>
      <c r="E75" s="69"/>
      <c r="F75" s="69"/>
      <c r="G75" s="69"/>
      <c r="H75" s="601"/>
      <c r="Q75" s="52"/>
      <c r="R75" s="44"/>
    </row>
    <row r="76" spans="1:18" s="29" customFormat="1">
      <c r="A76" s="597">
        <v>8.1</v>
      </c>
      <c r="B76" s="836" t="s">
        <v>220</v>
      </c>
      <c r="C76" s="836"/>
      <c r="D76" s="5" t="s">
        <v>50</v>
      </c>
      <c r="E76" s="20">
        <v>2</v>
      </c>
      <c r="F76" s="20">
        <v>2.5</v>
      </c>
      <c r="G76" s="553"/>
      <c r="H76" s="20">
        <f>IF(G76&gt;=80%,F76,IF(G76&lt;65%,0,E76))</f>
        <v>0</v>
      </c>
      <c r="I76" s="70"/>
      <c r="Q76" s="52"/>
      <c r="R76" s="44"/>
    </row>
    <row r="77" spans="1:18" s="29" customFormat="1">
      <c r="A77" s="597">
        <v>8.1999999999999993</v>
      </c>
      <c r="B77" s="836" t="s">
        <v>221</v>
      </c>
      <c r="C77" s="836"/>
      <c r="D77" s="5" t="s">
        <v>50</v>
      </c>
      <c r="E77" s="20">
        <v>2</v>
      </c>
      <c r="F77" s="20">
        <v>2.5</v>
      </c>
      <c r="G77" s="553"/>
      <c r="H77" s="20">
        <f>IF(G77&gt;=80%,F77,IF(G77&lt;65%,0,E77))</f>
        <v>0</v>
      </c>
      <c r="I77" s="11"/>
      <c r="J77" s="11"/>
      <c r="K77" s="11"/>
      <c r="Q77" s="52"/>
      <c r="R77" s="44"/>
    </row>
    <row r="78" spans="1:18" s="29" customFormat="1" ht="30.6" customHeight="1">
      <c r="A78" s="602">
        <v>8.3000000000000007</v>
      </c>
      <c r="B78" s="825" t="s">
        <v>607</v>
      </c>
      <c r="C78" s="827"/>
      <c r="D78" s="420" t="s">
        <v>50</v>
      </c>
      <c r="E78" s="434">
        <v>2</v>
      </c>
      <c r="F78" s="434">
        <v>2.5</v>
      </c>
      <c r="G78" s="553"/>
      <c r="H78" s="279">
        <f>IF(H76&gt;0,0,IF(G78&gt;=80%,F78,IF(G78&lt;65%,0,E78)))</f>
        <v>0</v>
      </c>
      <c r="I78" s="11"/>
      <c r="J78" s="11"/>
      <c r="K78" s="11"/>
      <c r="Q78" s="52"/>
      <c r="R78" s="44"/>
    </row>
    <row r="79" spans="1:18" s="29" customFormat="1">
      <c r="A79" s="602">
        <v>8.4</v>
      </c>
      <c r="B79" s="917" t="s">
        <v>138</v>
      </c>
      <c r="C79" s="843"/>
      <c r="D79" s="420" t="s">
        <v>2</v>
      </c>
      <c r="E79" s="434">
        <v>2</v>
      </c>
      <c r="F79" s="434">
        <v>2.5</v>
      </c>
      <c r="G79" s="30"/>
      <c r="H79" s="20">
        <f>IF(G79&gt;=80%,F79,IF(G79&lt;65%,0,E79))</f>
        <v>0</v>
      </c>
      <c r="Q79" s="52"/>
      <c r="R79" s="44"/>
    </row>
    <row r="80" spans="1:18" s="29" customFormat="1" ht="15.6">
      <c r="A80" s="66" t="s">
        <v>213</v>
      </c>
      <c r="B80" s="66" t="s">
        <v>518</v>
      </c>
      <c r="C80" s="67"/>
      <c r="D80" s="68"/>
      <c r="E80" s="69"/>
      <c r="F80" s="69"/>
      <c r="G80" s="69"/>
      <c r="H80" s="601"/>
      <c r="Q80" s="52"/>
      <c r="R80" s="44"/>
    </row>
    <row r="81" spans="1:18" s="29" customFormat="1" ht="31.5" customHeight="1">
      <c r="A81" s="602">
        <v>9.1</v>
      </c>
      <c r="B81" s="978" t="s">
        <v>514</v>
      </c>
      <c r="C81" s="978"/>
      <c r="D81" s="420" t="s">
        <v>50</v>
      </c>
      <c r="E81" s="434" t="s">
        <v>49</v>
      </c>
      <c r="F81" s="434">
        <v>2.5</v>
      </c>
      <c r="G81" s="517">
        <f>F21</f>
        <v>0</v>
      </c>
      <c r="H81" s="434">
        <f>IF(G81&gt;=80%,F81,0)</f>
        <v>0</v>
      </c>
      <c r="Q81" s="52"/>
      <c r="R81" s="44"/>
    </row>
    <row r="82" spans="1:18" s="29" customFormat="1" ht="31.5" customHeight="1">
      <c r="A82" s="602">
        <v>9.1999999999999993</v>
      </c>
      <c r="B82" s="825" t="s">
        <v>608</v>
      </c>
      <c r="C82" s="827"/>
      <c r="D82" s="420" t="s">
        <v>50</v>
      </c>
      <c r="E82" s="434">
        <v>2</v>
      </c>
      <c r="F82" s="434">
        <v>2.5</v>
      </c>
      <c r="G82" s="553"/>
      <c r="H82" s="279">
        <f>IF(G82&gt;=80%,F82,IF(G82&lt;65%,0,E82))</f>
        <v>0</v>
      </c>
      <c r="Q82" s="52"/>
      <c r="R82" s="44"/>
    </row>
    <row r="83" spans="1:18" s="29" customFormat="1" ht="15.6">
      <c r="A83" s="71" t="s">
        <v>214</v>
      </c>
      <c r="B83" s="71" t="s">
        <v>202</v>
      </c>
      <c r="C83" s="57"/>
      <c r="D83" s="57"/>
      <c r="E83" s="72"/>
      <c r="F83" s="72"/>
      <c r="G83" s="73"/>
      <c r="H83" s="603"/>
      <c r="Q83" s="52"/>
      <c r="R83" s="44"/>
    </row>
    <row r="84" spans="1:18" s="29" customFormat="1">
      <c r="A84" s="597">
        <v>10.1</v>
      </c>
      <c r="B84" s="776"/>
      <c r="C84" s="776"/>
      <c r="D84" s="520"/>
      <c r="E84" s="537"/>
      <c r="F84" s="537"/>
      <c r="G84" s="553"/>
      <c r="H84" s="20">
        <f>IF(G84&gt;=80%,F84,IF(G84&lt;65%,0,E84))</f>
        <v>0</v>
      </c>
      <c r="Q84" s="52"/>
      <c r="R84" s="44"/>
    </row>
    <row r="85" spans="1:18" s="29" customFormat="1">
      <c r="A85" s="597">
        <v>10.199999999999999</v>
      </c>
      <c r="B85" s="776"/>
      <c r="C85" s="776"/>
      <c r="D85" s="520"/>
      <c r="E85" s="537"/>
      <c r="F85" s="537"/>
      <c r="G85" s="553"/>
      <c r="H85" s="20">
        <f>IF(G85&gt;=80%,F85,IF(G85&lt;65%,0,E85))</f>
        <v>0</v>
      </c>
      <c r="Q85" s="52"/>
      <c r="R85" s="44"/>
    </row>
    <row r="86" spans="1:18" s="29" customFormat="1">
      <c r="A86" s="597">
        <v>10.3</v>
      </c>
      <c r="B86" s="776"/>
      <c r="C86" s="776"/>
      <c r="D86" s="520"/>
      <c r="E86" s="537"/>
      <c r="F86" s="537"/>
      <c r="G86" s="553"/>
      <c r="H86" s="20">
        <f>IF(G86&gt;=80%,F86,IF(G86&lt;65%,0,E86))</f>
        <v>0</v>
      </c>
      <c r="Q86" s="52"/>
      <c r="R86" s="44"/>
    </row>
    <row r="87" spans="1:18" s="29" customFormat="1" ht="15.6">
      <c r="A87" s="604"/>
      <c r="B87" s="307"/>
      <c r="C87" s="305"/>
      <c r="D87" s="305"/>
      <c r="E87" s="308"/>
      <c r="F87" s="309"/>
      <c r="G87" s="310" t="s">
        <v>375</v>
      </c>
      <c r="H87" s="605">
        <f>IFERROR((SUM(H64:H86)),0)</f>
        <v>0</v>
      </c>
      <c r="Q87" s="52"/>
      <c r="R87" s="44"/>
    </row>
    <row r="88" spans="1:18" s="29" customFormat="1">
      <c r="A88" s="592"/>
      <c r="B88" s="307"/>
      <c r="C88" s="305"/>
      <c r="D88" s="305"/>
      <c r="E88" s="305"/>
      <c r="F88" s="305"/>
      <c r="G88" s="311"/>
      <c r="H88" s="571"/>
      <c r="Q88" s="52"/>
      <c r="R88" s="44"/>
    </row>
    <row r="89" spans="1:18" s="29" customFormat="1" ht="15.6">
      <c r="A89" s="592"/>
      <c r="B89" s="307"/>
      <c r="C89" s="305"/>
      <c r="D89" s="305"/>
      <c r="E89" s="305"/>
      <c r="F89" s="305"/>
      <c r="G89" s="312" t="s">
        <v>128</v>
      </c>
      <c r="H89" s="74">
        <f>IFERROR(MIN(G27,H59+H87),0)</f>
        <v>0</v>
      </c>
      <c r="Q89" s="52"/>
      <c r="R89" s="44"/>
    </row>
    <row r="90" spans="1:18" s="29" customFormat="1" ht="16.2" thickBot="1">
      <c r="A90" s="594"/>
      <c r="B90" s="361"/>
      <c r="C90" s="362"/>
      <c r="D90" s="362"/>
      <c r="E90" s="362"/>
      <c r="F90" s="362"/>
      <c r="G90" s="364"/>
      <c r="H90" s="606"/>
      <c r="Q90" s="52"/>
      <c r="R90" s="44"/>
    </row>
    <row r="91" spans="1:18" s="29" customFormat="1" ht="15.6">
      <c r="A91" s="607" t="s">
        <v>51</v>
      </c>
      <c r="B91" s="358"/>
      <c r="C91" s="358"/>
      <c r="D91" s="358"/>
      <c r="E91" s="358"/>
      <c r="F91" s="359" t="s">
        <v>42</v>
      </c>
      <c r="G91" s="360">
        <f>VLOOKUP($A$7,'Manpower allocation'!A4:D11,3,FALSE)*100</f>
        <v>40</v>
      </c>
      <c r="H91" s="608" t="s">
        <v>41</v>
      </c>
      <c r="I91" s="75">
        <f>VLOOKUP($A$7,'Manpower allocation'!A4:D11,3,FALSE)*100</f>
        <v>40</v>
      </c>
      <c r="Q91" s="52"/>
      <c r="R91" s="44"/>
    </row>
    <row r="92" spans="1:18" s="29" customFormat="1" ht="15.6">
      <c r="A92" s="592"/>
      <c r="B92" s="313"/>
      <c r="C92" s="308"/>
      <c r="D92" s="305"/>
      <c r="E92" s="305"/>
      <c r="F92" s="305"/>
      <c r="G92" s="314"/>
      <c r="H92" s="571"/>
      <c r="Q92" s="52"/>
      <c r="R92" s="44"/>
    </row>
    <row r="93" spans="1:18" s="29" customFormat="1" ht="46.8">
      <c r="A93" s="609" t="s">
        <v>0</v>
      </c>
      <c r="B93" s="556"/>
      <c r="C93" s="156"/>
      <c r="D93" s="76"/>
      <c r="E93" s="77" t="s">
        <v>17</v>
      </c>
      <c r="F93" s="78" t="s">
        <v>80</v>
      </c>
      <c r="G93" s="78" t="s">
        <v>20</v>
      </c>
      <c r="H93" s="550" t="s">
        <v>52</v>
      </c>
      <c r="Q93" s="52"/>
      <c r="R93" s="44"/>
    </row>
    <row r="94" spans="1:18" s="29" customFormat="1" ht="15.6">
      <c r="A94" s="79" t="s">
        <v>280</v>
      </c>
      <c r="B94" s="79" t="s">
        <v>298</v>
      </c>
      <c r="C94" s="80"/>
      <c r="D94" s="80"/>
      <c r="E94" s="81"/>
      <c r="F94" s="81"/>
      <c r="G94" s="81"/>
      <c r="H94" s="610"/>
      <c r="Q94" s="52"/>
      <c r="R94" s="44"/>
    </row>
    <row r="95" spans="1:18" s="29" customFormat="1" ht="15.6">
      <c r="A95" s="82">
        <v>1</v>
      </c>
      <c r="B95" s="82" t="s">
        <v>304</v>
      </c>
      <c r="C95" s="83"/>
      <c r="D95" s="83"/>
      <c r="E95" s="84"/>
      <c r="F95" s="84"/>
      <c r="G95" s="84"/>
      <c r="H95" s="611"/>
      <c r="Q95" s="52"/>
      <c r="R95" s="44"/>
    </row>
    <row r="96" spans="1:18" s="29" customFormat="1">
      <c r="A96" s="597">
        <v>1.1000000000000001</v>
      </c>
      <c r="B96" s="858" t="s">
        <v>271</v>
      </c>
      <c r="C96" s="823"/>
      <c r="D96" s="824"/>
      <c r="E96" s="85">
        <f>VLOOKUP(A96,'Point Allocation'!$A$20:$J$41,MATCH(A7,'Point Allocation'!$A$20:$J$20,0),0)</f>
        <v>30</v>
      </c>
      <c r="F96" s="86"/>
      <c r="G96" s="87">
        <f>IFERROR(F96/$F$120,0)</f>
        <v>0</v>
      </c>
      <c r="H96" s="612">
        <f>E96*G96</f>
        <v>0</v>
      </c>
      <c r="Q96" s="44"/>
      <c r="R96" s="44"/>
    </row>
    <row r="97" spans="1:18" s="29" customFormat="1" ht="15.6">
      <c r="A97" s="88">
        <v>2</v>
      </c>
      <c r="B97" s="88" t="s">
        <v>305</v>
      </c>
      <c r="C97" s="89"/>
      <c r="D97" s="90"/>
      <c r="E97" s="90"/>
      <c r="F97" s="91"/>
      <c r="G97" s="92"/>
      <c r="H97" s="613"/>
      <c r="Q97" s="52"/>
      <c r="R97" s="44"/>
    </row>
    <row r="98" spans="1:18" s="29" customFormat="1">
      <c r="A98" s="814">
        <v>2.1</v>
      </c>
      <c r="B98" s="822" t="s">
        <v>196</v>
      </c>
      <c r="C98" s="823"/>
      <c r="D98" s="824"/>
      <c r="E98" s="819">
        <f>VLOOKUP(A98,'Point Allocation'!$A$20:$J$41,MATCH(A7,'Point Allocation'!$A$20:$J$20,0),0)</f>
        <v>28</v>
      </c>
      <c r="F98" s="820"/>
      <c r="G98" s="821">
        <f>IFERROR(F98/$F$120,0)</f>
        <v>0</v>
      </c>
      <c r="H98" s="819">
        <f>E98*G98</f>
        <v>0</v>
      </c>
      <c r="Q98" s="52"/>
      <c r="R98" s="44"/>
    </row>
    <row r="99" spans="1:18" s="29" customFormat="1" ht="15.6">
      <c r="A99" s="878"/>
      <c r="B99" s="816" t="s">
        <v>119</v>
      </c>
      <c r="C99" s="817"/>
      <c r="D99" s="818"/>
      <c r="E99" s="819"/>
      <c r="F99" s="820"/>
      <c r="G99" s="821"/>
      <c r="H99" s="819"/>
      <c r="Q99" s="52"/>
      <c r="R99" s="44"/>
    </row>
    <row r="100" spans="1:18" s="29" customFormat="1">
      <c r="A100" s="814">
        <v>2.2000000000000002</v>
      </c>
      <c r="B100" s="825" t="s">
        <v>606</v>
      </c>
      <c r="C100" s="826"/>
      <c r="D100" s="827"/>
      <c r="E100" s="819">
        <f>VLOOKUP(A100,'Point Allocation'!$A$20:$J$41,MATCH(A7,'Point Allocation'!$A$20:$J$20,0),0)</f>
        <v>28</v>
      </c>
      <c r="F100" s="820"/>
      <c r="G100" s="821">
        <f>IFERROR(F100/$F$120,0)</f>
        <v>0</v>
      </c>
      <c r="H100" s="819">
        <f>E100*G100</f>
        <v>0</v>
      </c>
      <c r="Q100" s="52"/>
      <c r="R100" s="44"/>
    </row>
    <row r="101" spans="1:18" s="29" customFormat="1" ht="15.6">
      <c r="A101" s="815"/>
      <c r="B101" s="816" t="s">
        <v>119</v>
      </c>
      <c r="C101" s="817"/>
      <c r="D101" s="818"/>
      <c r="E101" s="819"/>
      <c r="F101" s="820"/>
      <c r="G101" s="821"/>
      <c r="H101" s="819"/>
      <c r="Q101" s="52"/>
      <c r="R101" s="44"/>
    </row>
    <row r="102" spans="1:18" s="29" customFormat="1" ht="15.6">
      <c r="A102" s="82">
        <v>3</v>
      </c>
      <c r="B102" s="82" t="s">
        <v>306</v>
      </c>
      <c r="C102" s="89"/>
      <c r="D102" s="89"/>
      <c r="E102" s="91"/>
      <c r="F102" s="91"/>
      <c r="G102" s="92"/>
      <c r="H102" s="614"/>
      <c r="Q102" s="52"/>
      <c r="R102" s="44"/>
    </row>
    <row r="103" spans="1:18" s="29" customFormat="1">
      <c r="A103" s="814">
        <v>3.1</v>
      </c>
      <c r="B103" s="822" t="s">
        <v>197</v>
      </c>
      <c r="C103" s="823"/>
      <c r="D103" s="824"/>
      <c r="E103" s="819">
        <f>VLOOKUP(A103,'Point Allocation'!$A$20:$J$41,MATCH(A7,'Point Allocation'!$A$20:$J$20,0),0)</f>
        <v>27</v>
      </c>
      <c r="F103" s="820"/>
      <c r="G103" s="821">
        <f>IFERROR(F103/$F$120,0)</f>
        <v>0</v>
      </c>
      <c r="H103" s="819">
        <f>E103*G103</f>
        <v>0</v>
      </c>
      <c r="Q103" s="52"/>
      <c r="R103" s="44"/>
    </row>
    <row r="104" spans="1:18" s="29" customFormat="1" ht="15.6">
      <c r="A104" s="878"/>
      <c r="B104" s="816" t="s">
        <v>267</v>
      </c>
      <c r="C104" s="817"/>
      <c r="D104" s="818"/>
      <c r="E104" s="819"/>
      <c r="F104" s="820"/>
      <c r="G104" s="821"/>
      <c r="H104" s="819"/>
      <c r="Q104" s="52"/>
      <c r="R104" s="44"/>
    </row>
    <row r="105" spans="1:18" s="29" customFormat="1" ht="15.6">
      <c r="A105" s="82">
        <v>4</v>
      </c>
      <c r="B105" s="82" t="s">
        <v>307</v>
      </c>
      <c r="C105" s="89"/>
      <c r="D105" s="89"/>
      <c r="E105" s="91"/>
      <c r="F105" s="91"/>
      <c r="G105" s="92"/>
      <c r="H105" s="614"/>
      <c r="Q105" s="52"/>
      <c r="R105" s="44"/>
    </row>
    <row r="106" spans="1:18" s="29" customFormat="1" ht="30" customHeight="1">
      <c r="A106" s="598" t="s">
        <v>194</v>
      </c>
      <c r="B106" s="833" t="s">
        <v>273</v>
      </c>
      <c r="C106" s="834"/>
      <c r="D106" s="835"/>
      <c r="E106" s="93">
        <f>VLOOKUP(A106,'Point Allocation'!$A$20:$J$41,MATCH(A7,'Point Allocation'!$A$20:$J$20,0),0)</f>
        <v>25</v>
      </c>
      <c r="F106" s="538"/>
      <c r="G106" s="539">
        <f>IFERROR(F106/$F$120,0)</f>
        <v>0</v>
      </c>
      <c r="H106" s="94">
        <f>E106*G106</f>
        <v>0</v>
      </c>
      <c r="Q106" s="939"/>
      <c r="R106" s="44"/>
    </row>
    <row r="107" spans="1:18" s="29" customFormat="1">
      <c r="A107" s="598" t="s">
        <v>195</v>
      </c>
      <c r="B107" s="833" t="s">
        <v>274</v>
      </c>
      <c r="C107" s="834"/>
      <c r="D107" s="835"/>
      <c r="E107" s="93">
        <f>VLOOKUP(A107,'Point Allocation'!$A$20:$J$41,MATCH(A7,'Point Allocation'!$A$20:$J$20,0),0)</f>
        <v>25</v>
      </c>
      <c r="F107" s="538"/>
      <c r="G107" s="539">
        <f>IFERROR(F107/$F$120,0)</f>
        <v>0</v>
      </c>
      <c r="H107" s="94">
        <f>E107*G107</f>
        <v>0</v>
      </c>
      <c r="Q107" s="939"/>
      <c r="R107" s="44"/>
    </row>
    <row r="108" spans="1:18" s="29" customFormat="1">
      <c r="A108" s="597">
        <v>4.2</v>
      </c>
      <c r="B108" s="848" t="s">
        <v>198</v>
      </c>
      <c r="C108" s="924"/>
      <c r="D108" s="849"/>
      <c r="E108" s="93">
        <f>VLOOKUP(A108,'Point Allocation'!$A$20:$J$41,MATCH(A7,'Point Allocation'!$A$20:$J$20,0),0)</f>
        <v>25</v>
      </c>
      <c r="F108" s="538"/>
      <c r="G108" s="539">
        <f>IFERROR(F108/$F$120,0)</f>
        <v>0</v>
      </c>
      <c r="H108" s="94">
        <f>E108*G108</f>
        <v>0</v>
      </c>
      <c r="Q108" s="52"/>
      <c r="R108" s="44"/>
    </row>
    <row r="109" spans="1:18" s="29" customFormat="1">
      <c r="A109" s="597">
        <v>4.3</v>
      </c>
      <c r="B109" s="925" t="s">
        <v>150</v>
      </c>
      <c r="C109" s="926"/>
      <c r="D109" s="927"/>
      <c r="E109" s="93">
        <f>VLOOKUP(A109,'Point Allocation'!$A$20:$J$41,MATCH(A7,'Point Allocation'!$A$20:$J$20,0),0)</f>
        <v>25</v>
      </c>
      <c r="F109" s="538"/>
      <c r="G109" s="539">
        <f>IFERROR(F109/$F$120,0)</f>
        <v>0</v>
      </c>
      <c r="H109" s="174">
        <f>E109*G109</f>
        <v>0</v>
      </c>
      <c r="Q109" s="52"/>
      <c r="R109" s="44"/>
    </row>
    <row r="110" spans="1:18" s="29" customFormat="1">
      <c r="A110" s="597">
        <v>4.4000000000000004</v>
      </c>
      <c r="B110" s="925" t="s">
        <v>320</v>
      </c>
      <c r="C110" s="926"/>
      <c r="D110" s="927"/>
      <c r="E110" s="93">
        <f>VLOOKUP(A110,'Point Allocation'!$A$20:$J$41,MATCH(A7,'Point Allocation'!$A$20:$J$20,0),0)</f>
        <v>22</v>
      </c>
      <c r="F110" s="538"/>
      <c r="G110" s="539">
        <f>IFERROR(F110/$F$120,0)</f>
        <v>0</v>
      </c>
      <c r="H110" s="174">
        <f>E110*G110</f>
        <v>0</v>
      </c>
      <c r="Q110" s="52"/>
      <c r="R110" s="44"/>
    </row>
    <row r="111" spans="1:18" s="29" customFormat="1" ht="15.6">
      <c r="A111" s="95" t="s">
        <v>281</v>
      </c>
      <c r="B111" s="95" t="s">
        <v>223</v>
      </c>
      <c r="C111" s="96"/>
      <c r="D111" s="97"/>
      <c r="E111" s="98"/>
      <c r="F111" s="99"/>
      <c r="G111" s="100"/>
      <c r="H111" s="615"/>
      <c r="Q111" s="52"/>
      <c r="R111" s="44"/>
    </row>
    <row r="112" spans="1:18" s="29" customFormat="1" ht="15.6">
      <c r="A112" s="82">
        <v>5</v>
      </c>
      <c r="B112" s="82" t="s">
        <v>224</v>
      </c>
      <c r="C112" s="89"/>
      <c r="D112" s="89"/>
      <c r="E112" s="91"/>
      <c r="F112" s="91"/>
      <c r="G112" s="92"/>
      <c r="H112" s="614"/>
      <c r="Q112" s="52"/>
      <c r="R112" s="44"/>
    </row>
    <row r="113" spans="1:18" s="29" customFormat="1">
      <c r="A113" s="597">
        <v>5.0999999999999996</v>
      </c>
      <c r="B113" s="822" t="s">
        <v>199</v>
      </c>
      <c r="C113" s="823"/>
      <c r="D113" s="824"/>
      <c r="E113" s="101">
        <f>VLOOKUP(A113,'Point Allocation'!$A$20:$J$41,MATCH(A7,'Point Allocation'!$A$20:$J$20,0),0)</f>
        <v>16</v>
      </c>
      <c r="F113" s="147"/>
      <c r="G113" s="539">
        <f>IFERROR(F113/$F$120,0)</f>
        <v>0</v>
      </c>
      <c r="H113" s="547">
        <f>E113*G113</f>
        <v>0</v>
      </c>
      <c r="Q113" s="52"/>
      <c r="R113" s="44"/>
    </row>
    <row r="114" spans="1:18" s="29" customFormat="1">
      <c r="A114" s="597">
        <v>5.2</v>
      </c>
      <c r="B114" s="822" t="s">
        <v>321</v>
      </c>
      <c r="C114" s="823"/>
      <c r="D114" s="824"/>
      <c r="E114" s="101">
        <f>VLOOKUP(A114,'Point Allocation'!$A$20:$J$41,MATCH(A7,'Point Allocation'!$A$20:$J$20,0),0)</f>
        <v>5</v>
      </c>
      <c r="F114" s="86"/>
      <c r="G114" s="539">
        <f>IFERROR(F114/$F$120,0)</f>
        <v>0</v>
      </c>
      <c r="H114" s="547">
        <f>E114*G114</f>
        <v>0</v>
      </c>
      <c r="Q114" s="52"/>
      <c r="R114" s="44"/>
    </row>
    <row r="115" spans="1:18" s="29" customFormat="1">
      <c r="A115" s="597">
        <v>5.3</v>
      </c>
      <c r="B115" s="822" t="s">
        <v>322</v>
      </c>
      <c r="C115" s="823"/>
      <c r="D115" s="824"/>
      <c r="E115" s="101">
        <f>VLOOKUP(A115,'Point Allocation'!$A$20:$J$41,MATCH(A7,'Point Allocation'!$A$20:$J$20,0),0)</f>
        <v>0</v>
      </c>
      <c r="F115" s="146"/>
      <c r="G115" s="539">
        <f>IFERROR(F115/$F$120,0)</f>
        <v>0</v>
      </c>
      <c r="H115" s="616">
        <f>E115*G115</f>
        <v>0</v>
      </c>
      <c r="Q115" s="52"/>
      <c r="R115" s="44"/>
    </row>
    <row r="116" spans="1:18" s="29" customFormat="1" ht="15.6">
      <c r="A116" s="102">
        <v>6</v>
      </c>
      <c r="B116" s="102" t="s">
        <v>202</v>
      </c>
      <c r="C116" s="89"/>
      <c r="D116" s="89"/>
      <c r="E116" s="91"/>
      <c r="F116" s="91"/>
      <c r="G116" s="92"/>
      <c r="H116" s="614"/>
      <c r="Q116" s="52"/>
      <c r="R116" s="44"/>
    </row>
    <row r="117" spans="1:18" s="29" customFormat="1">
      <c r="A117" s="386">
        <v>6.1</v>
      </c>
      <c r="B117" s="765"/>
      <c r="C117" s="766"/>
      <c r="D117" s="847"/>
      <c r="E117" s="538"/>
      <c r="F117" s="538"/>
      <c r="G117" s="539">
        <f>IFERROR(F117/$F$120,0)</f>
        <v>0</v>
      </c>
      <c r="H117" s="616">
        <f>E117*G117</f>
        <v>0</v>
      </c>
      <c r="Q117" s="52"/>
      <c r="R117" s="44"/>
    </row>
    <row r="118" spans="1:18" s="29" customFormat="1">
      <c r="A118" s="386">
        <v>6.2</v>
      </c>
      <c r="B118" s="765"/>
      <c r="C118" s="766"/>
      <c r="D118" s="847"/>
      <c r="E118" s="538"/>
      <c r="F118" s="538"/>
      <c r="G118" s="539">
        <f>IFERROR(F118/$F$120,0)</f>
        <v>0</v>
      </c>
      <c r="H118" s="616">
        <f>E118*G118</f>
        <v>0</v>
      </c>
      <c r="Q118" s="52"/>
      <c r="R118" s="44"/>
    </row>
    <row r="119" spans="1:18" s="29" customFormat="1">
      <c r="A119" s="386">
        <v>6.3</v>
      </c>
      <c r="B119" s="920"/>
      <c r="C119" s="920"/>
      <c r="D119" s="920"/>
      <c r="E119" s="538"/>
      <c r="F119" s="538"/>
      <c r="G119" s="539">
        <f>IFERROR(F119/$F$120,0)</f>
        <v>0</v>
      </c>
      <c r="H119" s="616">
        <f>E119*G119</f>
        <v>0</v>
      </c>
      <c r="Q119" s="52"/>
      <c r="R119" s="44"/>
    </row>
    <row r="120" spans="1:18" s="29" customFormat="1" ht="15.6">
      <c r="A120" s="604"/>
      <c r="B120" s="307"/>
      <c r="C120" s="305"/>
      <c r="D120" s="305"/>
      <c r="E120" s="312" t="s">
        <v>61</v>
      </c>
      <c r="F120" s="315">
        <f>SUM(F96:F119)+E19</f>
        <v>0</v>
      </c>
      <c r="G120" s="316">
        <f>SUM(G96:G119)+F19</f>
        <v>0</v>
      </c>
      <c r="H120" s="617">
        <f>IFERROR(SUM(H96:H119),0)</f>
        <v>0</v>
      </c>
      <c r="Q120" s="52"/>
      <c r="R120" s="44"/>
    </row>
    <row r="121" spans="1:18" s="29" customFormat="1" ht="15.6" thickBot="1">
      <c r="A121" s="594"/>
      <c r="B121" s="361"/>
      <c r="C121" s="362"/>
      <c r="D121" s="362"/>
      <c r="E121" s="362"/>
      <c r="F121" s="362"/>
      <c r="G121" s="354"/>
      <c r="H121" s="595"/>
      <c r="Q121" s="52"/>
      <c r="R121" s="44"/>
    </row>
    <row r="122" spans="1:18" s="29" customFormat="1" ht="31.2">
      <c r="A122" s="618" t="s">
        <v>0</v>
      </c>
      <c r="B122" s="458"/>
      <c r="C122" s="458"/>
      <c r="D122" s="549" t="s">
        <v>17</v>
      </c>
      <c r="E122" s="459" t="s">
        <v>80</v>
      </c>
      <c r="F122" s="460" t="s">
        <v>301</v>
      </c>
      <c r="G122" s="460" t="s">
        <v>302</v>
      </c>
      <c r="H122" s="549" t="s">
        <v>52</v>
      </c>
      <c r="Q122" s="52"/>
      <c r="R122" s="44"/>
    </row>
    <row r="123" spans="1:18" s="29" customFormat="1" ht="15.6">
      <c r="A123" s="79" t="s">
        <v>225</v>
      </c>
      <c r="B123" s="79" t="s">
        <v>299</v>
      </c>
      <c r="C123" s="80"/>
      <c r="D123" s="81"/>
      <c r="E123" s="81"/>
      <c r="F123" s="81"/>
      <c r="G123" s="81"/>
      <c r="H123" s="610"/>
      <c r="Q123" s="52"/>
      <c r="R123" s="44"/>
    </row>
    <row r="124" spans="1:18" s="29" customFormat="1" ht="15.6">
      <c r="A124" s="82">
        <v>7</v>
      </c>
      <c r="B124" s="82" t="s">
        <v>304</v>
      </c>
      <c r="C124" s="83"/>
      <c r="D124" s="84"/>
      <c r="E124" s="84"/>
      <c r="F124" s="84"/>
      <c r="G124" s="84"/>
      <c r="H124" s="611"/>
      <c r="Q124" s="52"/>
      <c r="R124" s="44"/>
    </row>
    <row r="125" spans="1:18" s="29" customFormat="1" ht="15" customHeight="1">
      <c r="A125" s="543">
        <v>7.1</v>
      </c>
      <c r="B125" s="858" t="s">
        <v>271</v>
      </c>
      <c r="C125" s="840"/>
      <c r="D125" s="94">
        <f>VLOOKUP(A125,'Point Allocation'!$A$20:$J$41,MATCH(A7,'Point Allocation'!$A$20:$J$20,0),0)</f>
        <v>10</v>
      </c>
      <c r="E125" s="85">
        <f>F96</f>
        <v>0</v>
      </c>
      <c r="F125" s="85">
        <f>F32</f>
        <v>0</v>
      </c>
      <c r="G125" s="87">
        <f>IFERROR(SUM(E125:F125)/SUM($E$143:$F$143),0)</f>
        <v>0</v>
      </c>
      <c r="H125" s="612">
        <f>D125*G125</f>
        <v>0</v>
      </c>
      <c r="Q125" s="52"/>
      <c r="R125" s="44"/>
    </row>
    <row r="126" spans="1:18" s="29" customFormat="1" ht="15.6">
      <c r="A126" s="88">
        <v>8</v>
      </c>
      <c r="B126" s="88" t="s">
        <v>305</v>
      </c>
      <c r="C126" s="89"/>
      <c r="D126" s="90"/>
      <c r="E126" s="91"/>
      <c r="F126" s="91"/>
      <c r="G126" s="92"/>
      <c r="H126" s="613"/>
      <c r="Q126" s="52"/>
      <c r="R126" s="44"/>
    </row>
    <row r="127" spans="1:18" s="29" customFormat="1">
      <c r="A127" s="814">
        <v>8.1</v>
      </c>
      <c r="B127" s="822" t="s">
        <v>303</v>
      </c>
      <c r="C127" s="824"/>
      <c r="D127" s="921">
        <f>VLOOKUP(A127,'Point Allocation'!$A$20:$J$41,MATCH(A7,'Point Allocation'!$A$20:$J$20,0),0)</f>
        <v>8</v>
      </c>
      <c r="E127" s="945">
        <f>F98</f>
        <v>0</v>
      </c>
      <c r="F127" s="946"/>
      <c r="G127" s="983">
        <f>IFERROR(SUM(E127:F128)/SUM($E$143:$F$143),0)</f>
        <v>0</v>
      </c>
      <c r="H127" s="819">
        <f>D127*G127</f>
        <v>0</v>
      </c>
      <c r="Q127" s="52"/>
      <c r="R127" s="44"/>
    </row>
    <row r="128" spans="1:18" s="29" customFormat="1" ht="15.6">
      <c r="A128" s="815"/>
      <c r="B128" s="816" t="s">
        <v>119</v>
      </c>
      <c r="C128" s="818"/>
      <c r="D128" s="922"/>
      <c r="E128" s="945"/>
      <c r="F128" s="946"/>
      <c r="G128" s="984"/>
      <c r="H128" s="819"/>
      <c r="Q128" s="52"/>
      <c r="R128" s="44"/>
    </row>
    <row r="129" spans="1:18" s="29" customFormat="1">
      <c r="A129" s="543">
        <v>8.1999999999999993</v>
      </c>
      <c r="B129" s="825" t="s">
        <v>606</v>
      </c>
      <c r="C129" s="827"/>
      <c r="D129" s="94">
        <f>VLOOKUP(A129,'Point Allocation'!$A$20:$J$41,MATCH(A7,'Point Allocation'!$A$20:$J$20,0),0)</f>
        <v>8</v>
      </c>
      <c r="E129" s="174">
        <f>F100</f>
        <v>0</v>
      </c>
      <c r="F129" s="555"/>
      <c r="G129" s="87">
        <f>IFERROR(SUM(E129:F129)/SUM($E$143:$F$143),0)</f>
        <v>0</v>
      </c>
      <c r="H129" s="94">
        <f>D129*G129</f>
        <v>0</v>
      </c>
      <c r="Q129" s="52"/>
      <c r="R129" s="44"/>
    </row>
    <row r="130" spans="1:18" s="29" customFormat="1" ht="15.6">
      <c r="A130" s="82">
        <v>9</v>
      </c>
      <c r="B130" s="82" t="s">
        <v>306</v>
      </c>
      <c r="C130" s="89"/>
      <c r="D130" s="91"/>
      <c r="E130" s="91"/>
      <c r="F130" s="91"/>
      <c r="G130" s="92"/>
      <c r="H130" s="614"/>
      <c r="Q130" s="52"/>
      <c r="R130" s="44"/>
    </row>
    <row r="131" spans="1:18" s="29" customFormat="1">
      <c r="A131" s="814">
        <v>9.1</v>
      </c>
      <c r="B131" s="822" t="s">
        <v>339</v>
      </c>
      <c r="C131" s="824"/>
      <c r="D131" s="921">
        <f>VLOOKUP(A131,'Point Allocation'!$A$20:$J$41,MATCH(A7,'Point Allocation'!$A$20:$J$20,0),0)</f>
        <v>6</v>
      </c>
      <c r="E131" s="946"/>
      <c r="F131" s="946"/>
      <c r="G131" s="821">
        <f>IFERROR(SUM(E131:F132)/SUM($E$143:$F$143),0)</f>
        <v>0</v>
      </c>
      <c r="H131" s="819">
        <f>D131*G131</f>
        <v>0</v>
      </c>
      <c r="Q131" s="52"/>
      <c r="R131" s="44"/>
    </row>
    <row r="132" spans="1:18" s="29" customFormat="1" ht="15.6">
      <c r="A132" s="815"/>
      <c r="B132" s="816" t="s">
        <v>5</v>
      </c>
      <c r="C132" s="818"/>
      <c r="D132" s="922"/>
      <c r="E132" s="946"/>
      <c r="F132" s="946"/>
      <c r="G132" s="821"/>
      <c r="H132" s="819"/>
      <c r="Q132" s="52"/>
      <c r="R132" s="44"/>
    </row>
    <row r="133" spans="1:18" s="29" customFormat="1" ht="15.6">
      <c r="A133" s="82">
        <v>10</v>
      </c>
      <c r="B133" s="82" t="s">
        <v>308</v>
      </c>
      <c r="C133" s="89"/>
      <c r="D133" s="91"/>
      <c r="E133" s="91"/>
      <c r="F133" s="91"/>
      <c r="G133" s="92"/>
      <c r="H133" s="614"/>
      <c r="Q133" s="52"/>
      <c r="R133" s="44"/>
    </row>
    <row r="134" spans="1:18" s="29" customFormat="1" ht="15" customHeight="1">
      <c r="A134" s="541">
        <v>10.1</v>
      </c>
      <c r="B134" s="822" t="s">
        <v>340</v>
      </c>
      <c r="C134" s="824"/>
      <c r="D134" s="94">
        <f>VLOOKUP(A134,'Point Allocation'!$A$20:$J$41,MATCH(A7,'Point Allocation'!$A$20:$J$20,0),0)</f>
        <v>4</v>
      </c>
      <c r="E134" s="555"/>
      <c r="F134" s="555"/>
      <c r="G134" s="87">
        <f>IFERROR(SUM(E134:F134)/SUM($E$143:$F$143),0)</f>
        <v>0</v>
      </c>
      <c r="H134" s="94">
        <f>D134*G134</f>
        <v>0</v>
      </c>
      <c r="Q134" s="52"/>
      <c r="R134" s="44"/>
    </row>
    <row r="135" spans="1:18" s="29" customFormat="1" ht="32.25" customHeight="1">
      <c r="A135" s="589">
        <v>10.199999999999999</v>
      </c>
      <c r="B135" s="825" t="s">
        <v>318</v>
      </c>
      <c r="C135" s="827"/>
      <c r="D135" s="94">
        <f>VLOOKUP(A135,'Point Allocation'!$A$20:$J$41,MATCH(A7,'Point Allocation'!$A$20:$J$20,0),0)</f>
        <v>4</v>
      </c>
      <c r="E135" s="173"/>
      <c r="F135" s="555"/>
      <c r="G135" s="539">
        <f>IFERROR(SUM(E135:F135)/SUM($E$143:$F$143),0)</f>
        <v>0</v>
      </c>
      <c r="H135" s="94">
        <f>D135*G135</f>
        <v>0</v>
      </c>
      <c r="Q135" s="52"/>
      <c r="R135" s="44"/>
    </row>
    <row r="136" spans="1:18" s="29" customFormat="1" ht="15.6">
      <c r="A136" s="95" t="s">
        <v>226</v>
      </c>
      <c r="B136" s="95" t="s">
        <v>248</v>
      </c>
      <c r="C136" s="96"/>
      <c r="D136" s="98"/>
      <c r="E136" s="99"/>
      <c r="F136" s="99"/>
      <c r="G136" s="100"/>
      <c r="H136" s="615"/>
      <c r="Q136" s="52"/>
      <c r="R136" s="44"/>
    </row>
    <row r="137" spans="1:18" s="29" customFormat="1" ht="15.6">
      <c r="A137" s="82">
        <v>11</v>
      </c>
      <c r="B137" s="82" t="s">
        <v>249</v>
      </c>
      <c r="C137" s="89"/>
      <c r="D137" s="91"/>
      <c r="E137" s="91"/>
      <c r="F137" s="91"/>
      <c r="G137" s="92"/>
      <c r="H137" s="614"/>
      <c r="Q137" s="52"/>
      <c r="R137" s="44"/>
    </row>
    <row r="138" spans="1:18" s="29" customFormat="1">
      <c r="A138" s="541">
        <v>11.1</v>
      </c>
      <c r="B138" s="822" t="s">
        <v>642</v>
      </c>
      <c r="C138" s="824"/>
      <c r="D138" s="94">
        <f>VLOOKUP(A138,'Point Allocation'!$A$20:$J$41,MATCH(A7,'Point Allocation'!$A$20:$J$20,0),0)</f>
        <v>2</v>
      </c>
      <c r="E138" s="555"/>
      <c r="F138" s="555"/>
      <c r="G138" s="539">
        <f>IFERROR(SUM(E138:F138)/SUM($E$143:$F$143),0)</f>
        <v>0</v>
      </c>
      <c r="H138" s="94">
        <f t="shared" ref="H138:H142" si="2">D138*G138</f>
        <v>0</v>
      </c>
      <c r="Q138" s="52"/>
      <c r="R138" s="44"/>
    </row>
    <row r="139" spans="1:18" s="29" customFormat="1">
      <c r="A139" s="619">
        <v>11.2</v>
      </c>
      <c r="B139" s="848" t="s">
        <v>310</v>
      </c>
      <c r="C139" s="849"/>
      <c r="D139" s="174">
        <f>VLOOKUP(A138,'Point Allocation'!$A$20:$J$41,MATCH(A7,'Point Allocation'!$A$20:$J$20,0),0)</f>
        <v>2</v>
      </c>
      <c r="E139" s="555"/>
      <c r="F139" s="555"/>
      <c r="G139" s="539">
        <f>IFERROR(SUM(E139:F139)/SUM($E$143:$F$143),0)</f>
        <v>0</v>
      </c>
      <c r="H139" s="94">
        <f t="shared" si="2"/>
        <v>0</v>
      </c>
      <c r="Q139" s="52"/>
      <c r="R139" s="44"/>
    </row>
    <row r="140" spans="1:18" s="29" customFormat="1">
      <c r="A140" s="541">
        <v>11.3</v>
      </c>
      <c r="B140" s="848" t="s">
        <v>317</v>
      </c>
      <c r="C140" s="849"/>
      <c r="D140" s="94">
        <f>VLOOKUP(A140,'Point Allocation'!$A$20:$J$41,MATCH(A7,'Point Allocation'!$A$20:$J$20,0),0)</f>
        <v>0</v>
      </c>
      <c r="E140" s="555"/>
      <c r="F140" s="555"/>
      <c r="G140" s="539">
        <f>IFERROR(SUM(E140:F140)/SUM($E$143:$F$143),0)</f>
        <v>0</v>
      </c>
      <c r="H140" s="94">
        <f t="shared" si="2"/>
        <v>0</v>
      </c>
      <c r="Q140" s="52"/>
      <c r="R140" s="44"/>
    </row>
    <row r="141" spans="1:18" s="29" customFormat="1">
      <c r="A141" s="620">
        <v>11.4</v>
      </c>
      <c r="B141" s="968"/>
      <c r="C141" s="969"/>
      <c r="D141" s="538"/>
      <c r="E141" s="555"/>
      <c r="F141" s="555"/>
      <c r="G141" s="539">
        <f>IFERROR(SUM(E141:F141)/SUM($E$143:$F$143),0)</f>
        <v>0</v>
      </c>
      <c r="H141" s="94">
        <f t="shared" si="2"/>
        <v>0</v>
      </c>
      <c r="Q141" s="52"/>
      <c r="R141" s="44"/>
    </row>
    <row r="142" spans="1:18" s="29" customFormat="1">
      <c r="A142" s="620">
        <v>11.5</v>
      </c>
      <c r="B142" s="968"/>
      <c r="C142" s="969"/>
      <c r="D142" s="538"/>
      <c r="E142" s="555"/>
      <c r="F142" s="555"/>
      <c r="G142" s="539">
        <f>IFERROR(SUM(E142:F142)/SUM($E$143:$F$143),0)</f>
        <v>0</v>
      </c>
      <c r="H142" s="94">
        <f t="shared" si="2"/>
        <v>0</v>
      </c>
      <c r="Q142" s="52"/>
      <c r="R142" s="44"/>
    </row>
    <row r="143" spans="1:18" s="29" customFormat="1" ht="15.6">
      <c r="A143" s="592"/>
      <c r="B143" s="307"/>
      <c r="C143" s="305"/>
      <c r="D143" s="312" t="s">
        <v>131</v>
      </c>
      <c r="E143" s="315">
        <f>SUM(E125:E142)</f>
        <v>0</v>
      </c>
      <c r="F143" s="317">
        <f>SUM(F125:F142)</f>
        <v>0</v>
      </c>
      <c r="G143" s="318">
        <f>SUM(G125:G142)</f>
        <v>0</v>
      </c>
      <c r="H143" s="621">
        <f>IFERROR(SUM(H125:H142),0)</f>
        <v>0</v>
      </c>
      <c r="Q143" s="52"/>
      <c r="R143" s="44"/>
    </row>
    <row r="144" spans="1:18" s="29" customFormat="1">
      <c r="A144" s="622"/>
      <c r="B144" s="307"/>
      <c r="C144" s="305"/>
      <c r="D144" s="305"/>
      <c r="E144" s="305"/>
      <c r="F144" s="305"/>
      <c r="G144" s="314"/>
      <c r="H144" s="571"/>
      <c r="Q144" s="52"/>
      <c r="R144" s="44"/>
    </row>
    <row r="145" spans="1:18" s="29" customFormat="1" ht="46.8">
      <c r="A145" s="970" t="s">
        <v>0</v>
      </c>
      <c r="B145" s="971"/>
      <c r="C145" s="163"/>
      <c r="D145" s="550" t="s">
        <v>57</v>
      </c>
      <c r="E145" s="550" t="s">
        <v>58</v>
      </c>
      <c r="F145" s="956" t="s">
        <v>59</v>
      </c>
      <c r="G145" s="956"/>
      <c r="H145" s="623" t="s">
        <v>62</v>
      </c>
      <c r="J145" s="103" t="s">
        <v>71</v>
      </c>
      <c r="K145" s="103">
        <v>1</v>
      </c>
      <c r="L145" s="103">
        <v>2</v>
      </c>
      <c r="M145" s="103">
        <v>3</v>
      </c>
      <c r="N145" s="103">
        <v>4</v>
      </c>
      <c r="O145" s="103">
        <v>5</v>
      </c>
      <c r="P145" s="103">
        <v>6</v>
      </c>
      <c r="Q145" s="52"/>
      <c r="R145" s="44"/>
    </row>
    <row r="146" spans="1:18" s="29" customFormat="1" ht="15.6">
      <c r="A146" s="126" t="s">
        <v>227</v>
      </c>
      <c r="B146" s="126" t="s">
        <v>139</v>
      </c>
      <c r="C146" s="162"/>
      <c r="D146" s="56"/>
      <c r="E146" s="56"/>
      <c r="F146" s="57"/>
      <c r="G146" s="104"/>
      <c r="H146" s="624"/>
      <c r="J146" s="103" t="s">
        <v>73</v>
      </c>
      <c r="K146" s="103" t="s">
        <v>72</v>
      </c>
      <c r="L146" s="103">
        <v>1</v>
      </c>
      <c r="M146" s="103">
        <v>2</v>
      </c>
      <c r="N146" s="103">
        <v>3</v>
      </c>
      <c r="O146" s="103">
        <v>4</v>
      </c>
      <c r="P146" s="103">
        <v>4</v>
      </c>
      <c r="Q146" s="52"/>
      <c r="R146" s="44"/>
    </row>
    <row r="147" spans="1:18" s="29" customFormat="1">
      <c r="A147" s="625" t="s">
        <v>228</v>
      </c>
      <c r="B147" s="386" t="s">
        <v>394</v>
      </c>
      <c r="C147" s="164" t="s">
        <v>55</v>
      </c>
      <c r="D147" s="820"/>
      <c r="E147" s="820"/>
      <c r="F147" s="949" t="str">
        <f>IF(D147&gt;9,D147/E147," ")</f>
        <v xml:space="preserve"> </v>
      </c>
      <c r="G147" s="949"/>
      <c r="H147" s="94">
        <f>IF(D147="",0,IF(D147&lt;9,2,IF((D147/E147)=0,2,IF((D147/E147)&lt;10%,1.5,IF((D147/E147)&lt;15%,1,IF((D147/E147)&lt;20%,0.5,0))))))</f>
        <v>0</v>
      </c>
      <c r="J147" s="103" t="s">
        <v>74</v>
      </c>
      <c r="K147" s="103" t="s">
        <v>72</v>
      </c>
      <c r="L147" s="103">
        <v>5</v>
      </c>
      <c r="M147" s="103">
        <v>15</v>
      </c>
      <c r="N147" s="103">
        <v>25</v>
      </c>
      <c r="O147" s="103">
        <v>35</v>
      </c>
      <c r="P147" s="103">
        <v>35</v>
      </c>
      <c r="Q147" s="52"/>
      <c r="R147" s="44"/>
    </row>
    <row r="148" spans="1:18" s="29" customFormat="1">
      <c r="A148" s="625" t="s">
        <v>229</v>
      </c>
      <c r="B148" s="386" t="s">
        <v>395</v>
      </c>
      <c r="C148" s="164" t="s">
        <v>56</v>
      </c>
      <c r="D148" s="820"/>
      <c r="E148" s="820"/>
      <c r="F148" s="950"/>
      <c r="G148" s="950"/>
      <c r="H148" s="94">
        <f>IF(E147="",0,IF(E147&lt;15,HLOOKUP(F148,J145:P152,4,FALSE),IF(E147&lt;45,HLOOKUP(F148,J145:P152,5,FALSE),IF(E147&lt;90,HLOOKUP(F148,J145:P152,6,FALSE),IF(E147&lt;135,HLOOKUP(F148,J145:P152,7,FALSE),IF(E147&gt;=135,HLOOKUP(F148,J145:P152,8,FALSE),3))))))</f>
        <v>0</v>
      </c>
      <c r="I148" s="54"/>
      <c r="J148" s="103" t="s">
        <v>75</v>
      </c>
      <c r="K148" s="103">
        <v>3</v>
      </c>
      <c r="L148" s="103">
        <v>3</v>
      </c>
      <c r="M148" s="103">
        <v>3</v>
      </c>
      <c r="N148" s="103">
        <v>2.5</v>
      </c>
      <c r="O148" s="103">
        <v>1.5</v>
      </c>
      <c r="P148" s="103">
        <v>0</v>
      </c>
      <c r="Q148" s="52"/>
      <c r="R148" s="44"/>
    </row>
    <row r="149" spans="1:18" s="29" customFormat="1">
      <c r="A149" s="592"/>
      <c r="B149" s="307"/>
      <c r="C149" s="314"/>
      <c r="D149" s="319"/>
      <c r="E149" s="319"/>
      <c r="F149" s="319"/>
      <c r="G149" s="319"/>
      <c r="H149" s="626"/>
      <c r="I149" s="54"/>
      <c r="J149" s="103" t="s">
        <v>76</v>
      </c>
      <c r="K149" s="103">
        <v>3</v>
      </c>
      <c r="L149" s="103">
        <v>3</v>
      </c>
      <c r="M149" s="103">
        <v>2.5</v>
      </c>
      <c r="N149" s="103">
        <v>1.5</v>
      </c>
      <c r="O149" s="103">
        <v>1</v>
      </c>
      <c r="P149" s="103">
        <v>0</v>
      </c>
      <c r="Q149" s="52"/>
      <c r="R149" s="44"/>
    </row>
    <row r="150" spans="1:18" s="29" customFormat="1" ht="15.6">
      <c r="A150" s="592"/>
      <c r="B150" s="320"/>
      <c r="C150" s="314"/>
      <c r="D150" s="314"/>
      <c r="E150" s="314"/>
      <c r="F150" s="305"/>
      <c r="G150" s="321"/>
      <c r="H150" s="627"/>
      <c r="I150" s="54"/>
      <c r="J150" s="103" t="s">
        <v>77</v>
      </c>
      <c r="K150" s="103">
        <v>3</v>
      </c>
      <c r="L150" s="103">
        <v>2.5</v>
      </c>
      <c r="M150" s="103">
        <v>1.5</v>
      </c>
      <c r="N150" s="103">
        <v>1</v>
      </c>
      <c r="O150" s="103">
        <v>0</v>
      </c>
      <c r="P150" s="103">
        <v>0</v>
      </c>
      <c r="Q150" s="52"/>
      <c r="R150" s="44"/>
    </row>
    <row r="151" spans="1:18" s="29" customFormat="1" ht="15.75" customHeight="1">
      <c r="A151" s="972" t="s">
        <v>0</v>
      </c>
      <c r="B151" s="973"/>
      <c r="C151" s="888"/>
      <c r="D151" s="974" t="s">
        <v>4</v>
      </c>
      <c r="E151" s="951" t="s">
        <v>1</v>
      </c>
      <c r="F151" s="952"/>
      <c r="G151" s="953" t="s">
        <v>21</v>
      </c>
      <c r="H151" s="947" t="s">
        <v>62</v>
      </c>
      <c r="I151" s="54"/>
      <c r="J151" s="103" t="s">
        <v>78</v>
      </c>
      <c r="K151" s="103">
        <v>3</v>
      </c>
      <c r="L151" s="103">
        <v>1.5</v>
      </c>
      <c r="M151" s="103">
        <v>1</v>
      </c>
      <c r="N151" s="103">
        <v>0</v>
      </c>
      <c r="O151" s="103">
        <v>0</v>
      </c>
      <c r="P151" s="103">
        <v>0</v>
      </c>
      <c r="Q151" s="52"/>
      <c r="R151" s="44"/>
    </row>
    <row r="152" spans="1:18" s="29" customFormat="1" ht="30" customHeight="1">
      <c r="A152" s="867"/>
      <c r="B152" s="868"/>
      <c r="C152" s="870"/>
      <c r="D152" s="952"/>
      <c r="E152" s="550" t="s">
        <v>64</v>
      </c>
      <c r="F152" s="550" t="s">
        <v>65</v>
      </c>
      <c r="G152" s="954"/>
      <c r="H152" s="948"/>
      <c r="I152" s="54"/>
      <c r="J152" s="103" t="s">
        <v>79</v>
      </c>
      <c r="K152" s="103">
        <v>3</v>
      </c>
      <c r="L152" s="103">
        <v>1</v>
      </c>
      <c r="M152" s="103">
        <v>0</v>
      </c>
      <c r="N152" s="103">
        <v>0</v>
      </c>
      <c r="O152" s="103">
        <v>0</v>
      </c>
      <c r="P152" s="103">
        <v>0</v>
      </c>
      <c r="Q152" s="52"/>
      <c r="R152" s="44"/>
    </row>
    <row r="153" spans="1:18" s="29" customFormat="1" ht="15.6">
      <c r="A153" s="105" t="s">
        <v>230</v>
      </c>
      <c r="B153" s="105" t="s">
        <v>516</v>
      </c>
      <c r="C153" s="106"/>
      <c r="D153" s="106"/>
      <c r="E153" s="106"/>
      <c r="F153" s="110"/>
      <c r="G153" s="111"/>
      <c r="H153" s="628"/>
      <c r="J153" s="103" t="s">
        <v>73</v>
      </c>
      <c r="K153" s="103" t="s">
        <v>72</v>
      </c>
      <c r="L153" s="103">
        <v>1</v>
      </c>
      <c r="M153" s="103">
        <v>2</v>
      </c>
      <c r="N153" s="103">
        <v>3</v>
      </c>
      <c r="O153" s="103">
        <v>4</v>
      </c>
      <c r="P153" s="103">
        <v>4</v>
      </c>
      <c r="Q153" s="52"/>
      <c r="R153" s="44"/>
    </row>
    <row r="154" spans="1:18" s="29" customFormat="1" ht="15.6">
      <c r="A154" s="149" t="s">
        <v>231</v>
      </c>
      <c r="B154" s="149" t="s">
        <v>517</v>
      </c>
      <c r="C154" s="150"/>
      <c r="D154" s="151"/>
      <c r="E154" s="152"/>
      <c r="F154" s="152"/>
      <c r="G154" s="153"/>
      <c r="H154" s="629"/>
      <c r="I154" s="54"/>
      <c r="Q154" s="52"/>
      <c r="R154" s="44"/>
    </row>
    <row r="155" spans="1:18" s="29" customFormat="1">
      <c r="A155" s="630" t="s">
        <v>232</v>
      </c>
      <c r="B155" s="825" t="s">
        <v>612</v>
      </c>
      <c r="C155" s="827"/>
      <c r="D155" s="522" t="s">
        <v>50</v>
      </c>
      <c r="E155" s="523">
        <v>2</v>
      </c>
      <c r="F155" s="523">
        <v>3</v>
      </c>
      <c r="G155" s="27"/>
      <c r="H155" s="434">
        <f t="shared" ref="H155:H166" si="3">IF(G155&gt;=80%,F155,IF(G155&lt;65%,0,E155))</f>
        <v>0</v>
      </c>
      <c r="Q155" s="52"/>
      <c r="R155" s="44"/>
    </row>
    <row r="156" spans="1:18" s="29" customFormat="1">
      <c r="A156" s="630" t="s">
        <v>233</v>
      </c>
      <c r="B156" s="917" t="s">
        <v>613</v>
      </c>
      <c r="C156" s="843"/>
      <c r="D156" s="483" t="s">
        <v>50</v>
      </c>
      <c r="E156" s="434">
        <v>2</v>
      </c>
      <c r="F156" s="434">
        <v>3</v>
      </c>
      <c r="G156" s="553"/>
      <c r="H156" s="434">
        <f>IF(G156&gt;=80%,F156,IF(G156&lt;65%,0,E156))</f>
        <v>0</v>
      </c>
      <c r="Q156" s="52"/>
      <c r="R156" s="44"/>
    </row>
    <row r="157" spans="1:18" s="29" customFormat="1">
      <c r="A157" s="631" t="s">
        <v>234</v>
      </c>
      <c r="B157" s="917" t="s">
        <v>563</v>
      </c>
      <c r="C157" s="843"/>
      <c r="D157" s="524" t="s">
        <v>50</v>
      </c>
      <c r="E157" s="554">
        <v>2</v>
      </c>
      <c r="F157" s="434">
        <v>2.5</v>
      </c>
      <c r="G157" s="551"/>
      <c r="H157" s="434">
        <f t="shared" ref="H157" si="4">IF(G157&gt;=80%,F157,IF(G157&lt;65%,0,E157))</f>
        <v>0</v>
      </c>
      <c r="Q157" s="52"/>
      <c r="R157" s="44"/>
    </row>
    <row r="158" spans="1:18" s="29" customFormat="1">
      <c r="A158" s="631" t="s">
        <v>235</v>
      </c>
      <c r="B158" s="917" t="s">
        <v>623</v>
      </c>
      <c r="C158" s="843"/>
      <c r="D158" s="524" t="s">
        <v>50</v>
      </c>
      <c r="E158" s="554">
        <v>2</v>
      </c>
      <c r="F158" s="434">
        <v>2.5</v>
      </c>
      <c r="G158" s="551"/>
      <c r="H158" s="434">
        <f>IF(G158&gt;=80%,F158,IF(G158&lt;65%,0,E158))</f>
        <v>0</v>
      </c>
      <c r="Q158" s="52"/>
      <c r="R158" s="44"/>
    </row>
    <row r="159" spans="1:18" s="29" customFormat="1">
      <c r="A159" s="630" t="s">
        <v>371</v>
      </c>
      <c r="B159" s="875" t="s">
        <v>379</v>
      </c>
      <c r="C159" s="876"/>
      <c r="D159" s="530" t="s">
        <v>50</v>
      </c>
      <c r="E159" s="523">
        <v>2</v>
      </c>
      <c r="F159" s="523">
        <v>2.5</v>
      </c>
      <c r="G159" s="529"/>
      <c r="H159" s="434">
        <f>IF(G159&gt;=80%,F159,IF(G159&lt;65%,0,E159))</f>
        <v>0</v>
      </c>
      <c r="Q159" s="52"/>
      <c r="R159" s="44"/>
    </row>
    <row r="160" spans="1:18" s="29" customFormat="1" ht="30">
      <c r="A160" s="871" t="s">
        <v>519</v>
      </c>
      <c r="B160" s="873" t="s">
        <v>397</v>
      </c>
      <c r="C160" s="940"/>
      <c r="D160" s="524" t="s">
        <v>402</v>
      </c>
      <c r="E160" s="964">
        <v>2.5</v>
      </c>
      <c r="F160" s="965"/>
      <c r="G160" s="933"/>
      <c r="H160" s="931">
        <f>IF(G160&gt;=35,E161,IF(G160&gt;=30,E160,0))</f>
        <v>0</v>
      </c>
      <c r="Q160" s="52"/>
      <c r="R160" s="44"/>
    </row>
    <row r="161" spans="1:18" s="29" customFormat="1" ht="30">
      <c r="A161" s="872"/>
      <c r="B161" s="941"/>
      <c r="C161" s="942"/>
      <c r="D161" s="524" t="s">
        <v>396</v>
      </c>
      <c r="E161" s="964">
        <v>3</v>
      </c>
      <c r="F161" s="965"/>
      <c r="G161" s="934"/>
      <c r="H161" s="932"/>
      <c r="Q161" s="52"/>
      <c r="R161" s="44"/>
    </row>
    <row r="162" spans="1:18" s="29" customFormat="1" ht="31.5" customHeight="1">
      <c r="A162" s="871" t="s">
        <v>520</v>
      </c>
      <c r="B162" s="873" t="s">
        <v>398</v>
      </c>
      <c r="C162" s="874"/>
      <c r="D162" s="524" t="s">
        <v>333</v>
      </c>
      <c r="E162" s="962">
        <v>4</v>
      </c>
      <c r="F162" s="963"/>
      <c r="G162" s="933"/>
      <c r="H162" s="931">
        <f>IF(G162&gt;=80,E162,IF(G162&gt;=70,E163,IF(G162&gt;=60,E164,IF(G162&gt;=50,E165,0))))</f>
        <v>0</v>
      </c>
      <c r="Q162" s="52"/>
      <c r="R162" s="44"/>
    </row>
    <row r="163" spans="1:18" s="29" customFormat="1" ht="31.5" customHeight="1">
      <c r="A163" s="975"/>
      <c r="B163" s="929"/>
      <c r="C163" s="930"/>
      <c r="D163" s="524" t="s">
        <v>334</v>
      </c>
      <c r="E163" s="962">
        <v>3</v>
      </c>
      <c r="F163" s="963"/>
      <c r="G163" s="935"/>
      <c r="H163" s="936"/>
      <c r="Q163" s="52"/>
      <c r="R163" s="44"/>
    </row>
    <row r="164" spans="1:18" s="29" customFormat="1" ht="31.5" customHeight="1">
      <c r="A164" s="975"/>
      <c r="B164" s="929"/>
      <c r="C164" s="930"/>
      <c r="D164" s="524" t="s">
        <v>368</v>
      </c>
      <c r="E164" s="962">
        <v>2</v>
      </c>
      <c r="F164" s="963"/>
      <c r="G164" s="935"/>
      <c r="H164" s="936"/>
      <c r="Q164" s="52"/>
      <c r="R164" s="44"/>
    </row>
    <row r="165" spans="1:18" s="29" customFormat="1" ht="31.5" customHeight="1">
      <c r="A165" s="872"/>
      <c r="B165" s="875"/>
      <c r="C165" s="876"/>
      <c r="D165" s="524" t="s">
        <v>369</v>
      </c>
      <c r="E165" s="962">
        <v>1</v>
      </c>
      <c r="F165" s="963"/>
      <c r="G165" s="934"/>
      <c r="H165" s="932"/>
      <c r="Q165" s="52"/>
      <c r="R165" s="44"/>
    </row>
    <row r="166" spans="1:18" s="29" customFormat="1" ht="31.5" customHeight="1">
      <c r="A166" s="871" t="s">
        <v>643</v>
      </c>
      <c r="B166" s="873" t="s">
        <v>614</v>
      </c>
      <c r="C166" s="874"/>
      <c r="D166" s="524" t="s">
        <v>66</v>
      </c>
      <c r="E166" s="525">
        <v>3.5</v>
      </c>
      <c r="F166" s="525">
        <v>4</v>
      </c>
      <c r="G166" s="27"/>
      <c r="H166" s="434">
        <f t="shared" si="3"/>
        <v>0</v>
      </c>
      <c r="Q166" s="52"/>
      <c r="R166" s="44"/>
    </row>
    <row r="167" spans="1:18" s="29" customFormat="1" ht="30">
      <c r="A167" s="872"/>
      <c r="B167" s="875"/>
      <c r="C167" s="876"/>
      <c r="D167" s="524" t="s">
        <v>67</v>
      </c>
      <c r="E167" s="525" t="s">
        <v>49</v>
      </c>
      <c r="F167" s="525">
        <v>3</v>
      </c>
      <c r="G167" s="27"/>
      <c r="H167" s="434">
        <f>IF(G167&gt;=80%,F167,0)</f>
        <v>0</v>
      </c>
      <c r="Q167" s="52"/>
      <c r="R167" s="44"/>
    </row>
    <row r="168" spans="1:18" s="29" customFormat="1" ht="15.6">
      <c r="A168" s="82">
        <v>14</v>
      </c>
      <c r="B168" s="470" t="s">
        <v>515</v>
      </c>
      <c r="C168" s="89"/>
      <c r="D168" s="151"/>
      <c r="E168" s="152"/>
      <c r="F168" s="152"/>
      <c r="G168" s="153"/>
      <c r="H168" s="629"/>
      <c r="Q168" s="52"/>
      <c r="R168" s="44"/>
    </row>
    <row r="169" spans="1:18" s="29" customFormat="1" ht="31.95" customHeight="1">
      <c r="A169" s="630" t="s">
        <v>236</v>
      </c>
      <c r="B169" s="875" t="s">
        <v>648</v>
      </c>
      <c r="C169" s="876"/>
      <c r="D169" s="527" t="s">
        <v>50</v>
      </c>
      <c r="E169" s="528">
        <v>2</v>
      </c>
      <c r="F169" s="528">
        <v>2.5</v>
      </c>
      <c r="G169" s="529"/>
      <c r="H169" s="9">
        <f>IF(G169&gt;=80%,F169,IF(G169&lt;65%,0,E169))</f>
        <v>0</v>
      </c>
      <c r="Q169" s="52"/>
      <c r="R169" s="44"/>
    </row>
    <row r="170" spans="1:18" s="29" customFormat="1">
      <c r="A170" s="630" t="s">
        <v>237</v>
      </c>
      <c r="B170" s="875" t="s">
        <v>615</v>
      </c>
      <c r="C170" s="876"/>
      <c r="D170" s="530" t="s">
        <v>50</v>
      </c>
      <c r="E170" s="523" t="s">
        <v>49</v>
      </c>
      <c r="F170" s="523">
        <v>2.5</v>
      </c>
      <c r="G170" s="526">
        <f>F23</f>
        <v>0</v>
      </c>
      <c r="H170" s="434">
        <f>IF(G170&gt;=80%,F170,0)</f>
        <v>0</v>
      </c>
      <c r="Q170" s="52"/>
      <c r="R170" s="44"/>
    </row>
    <row r="171" spans="1:18" s="29" customFormat="1" ht="32.25" customHeight="1">
      <c r="A171" s="630" t="s">
        <v>378</v>
      </c>
      <c r="B171" s="875" t="s">
        <v>617</v>
      </c>
      <c r="C171" s="876"/>
      <c r="D171" s="530" t="s">
        <v>50</v>
      </c>
      <c r="E171" s="523">
        <v>2</v>
      </c>
      <c r="F171" s="523">
        <v>3</v>
      </c>
      <c r="G171" s="529"/>
      <c r="H171" s="434">
        <f>IF(G171&gt;=80%,F171,IF(G171&lt;65%,0,E171))</f>
        <v>0</v>
      </c>
      <c r="Q171" s="52"/>
      <c r="R171" s="44"/>
    </row>
    <row r="172" spans="1:18" s="29" customFormat="1" ht="30" customHeight="1">
      <c r="A172" s="632" t="s">
        <v>521</v>
      </c>
      <c r="B172" s="825" t="s">
        <v>616</v>
      </c>
      <c r="C172" s="827"/>
      <c r="D172" s="420" t="s">
        <v>50</v>
      </c>
      <c r="E172" s="434">
        <v>2</v>
      </c>
      <c r="F172" s="434">
        <v>2.5</v>
      </c>
      <c r="G172" s="30"/>
      <c r="H172" s="434">
        <f>IF(G172&gt;=80%,F172,IF(G172&lt;65%,0,E172))</f>
        <v>0</v>
      </c>
      <c r="Q172" s="52"/>
      <c r="R172" s="44"/>
    </row>
    <row r="173" spans="1:18" s="29" customFormat="1" ht="15.6">
      <c r="A173" s="82">
        <v>15</v>
      </c>
      <c r="B173" s="82" t="s">
        <v>259</v>
      </c>
      <c r="C173" s="89"/>
      <c r="D173" s="151"/>
      <c r="E173" s="152"/>
      <c r="F173" s="152"/>
      <c r="G173" s="153"/>
      <c r="H173" s="629"/>
      <c r="Q173" s="52"/>
      <c r="R173" s="44"/>
    </row>
    <row r="174" spans="1:18" s="29" customFormat="1">
      <c r="A174" s="877" t="s">
        <v>238</v>
      </c>
      <c r="B174" s="879" t="s">
        <v>275</v>
      </c>
      <c r="C174" s="880"/>
      <c r="D174" s="943" t="s">
        <v>50</v>
      </c>
      <c r="E174" s="828">
        <v>2.5</v>
      </c>
      <c r="F174" s="828">
        <v>4</v>
      </c>
      <c r="G174" s="957"/>
      <c r="H174" s="828">
        <f>IF(G174&gt;=80%,F174,IF(G174&lt;65%,0,E174))</f>
        <v>0</v>
      </c>
      <c r="Q174" s="52"/>
      <c r="R174" s="44"/>
    </row>
    <row r="175" spans="1:18" s="29" customFormat="1" ht="15.6">
      <c r="A175" s="878"/>
      <c r="B175" s="810" t="s">
        <v>276</v>
      </c>
      <c r="C175" s="810"/>
      <c r="D175" s="944"/>
      <c r="E175" s="829"/>
      <c r="F175" s="829"/>
      <c r="G175" s="958"/>
      <c r="H175" s="829"/>
      <c r="Q175" s="52"/>
      <c r="R175" s="44"/>
    </row>
    <row r="176" spans="1:18" s="29" customFormat="1">
      <c r="A176" s="877" t="s">
        <v>239</v>
      </c>
      <c r="B176" s="858" t="s">
        <v>137</v>
      </c>
      <c r="C176" s="840"/>
      <c r="D176" s="937" t="s">
        <v>50</v>
      </c>
      <c r="E176" s="938">
        <v>2.5</v>
      </c>
      <c r="F176" s="938">
        <v>4</v>
      </c>
      <c r="G176" s="961"/>
      <c r="H176" s="811">
        <f>IF(G176&gt;=80%,F176,IF(G176&lt;65%,0,E176))</f>
        <v>0</v>
      </c>
      <c r="Q176" s="52"/>
      <c r="R176" s="44"/>
    </row>
    <row r="177" spans="1:18" s="29" customFormat="1" ht="15.6">
      <c r="A177" s="878"/>
      <c r="B177" s="810" t="s">
        <v>119</v>
      </c>
      <c r="C177" s="810"/>
      <c r="D177" s="937"/>
      <c r="E177" s="938"/>
      <c r="F177" s="938"/>
      <c r="G177" s="961"/>
      <c r="H177" s="811"/>
      <c r="Q177" s="52"/>
      <c r="R177" s="44"/>
    </row>
    <row r="178" spans="1:18" s="29" customFormat="1" ht="15.6">
      <c r="A178" s="102">
        <v>16</v>
      </c>
      <c r="B178" s="102" t="s">
        <v>202</v>
      </c>
      <c r="C178" s="89"/>
      <c r="D178" s="89"/>
      <c r="E178" s="91"/>
      <c r="F178" s="91"/>
      <c r="G178" s="92"/>
      <c r="H178" s="614"/>
      <c r="Q178" s="59"/>
      <c r="R178" s="44"/>
    </row>
    <row r="179" spans="1:18" s="29" customFormat="1">
      <c r="A179" s="598" t="s">
        <v>241</v>
      </c>
      <c r="B179" s="765"/>
      <c r="C179" s="766"/>
      <c r="D179" s="107"/>
      <c r="E179" s="538"/>
      <c r="F179" s="538"/>
      <c r="G179" s="65"/>
      <c r="H179" s="633">
        <f>IF(G179&gt;=80%,F179,IF(G179&lt;65%,0,E179))</f>
        <v>0</v>
      </c>
      <c r="Q179" s="52"/>
      <c r="R179" s="44"/>
    </row>
    <row r="180" spans="1:18" s="29" customFormat="1">
      <c r="A180" s="598" t="s">
        <v>242</v>
      </c>
      <c r="B180" s="765"/>
      <c r="C180" s="766"/>
      <c r="D180" s="107"/>
      <c r="E180" s="538"/>
      <c r="F180" s="538"/>
      <c r="G180" s="65"/>
      <c r="H180" s="633">
        <f>IF(G180&gt;=80%,F180,IF(G180&lt;65%,0,E180))</f>
        <v>0</v>
      </c>
      <c r="Q180" s="52"/>
      <c r="R180" s="44"/>
    </row>
    <row r="181" spans="1:18" s="29" customFormat="1">
      <c r="A181" s="598" t="s">
        <v>243</v>
      </c>
      <c r="B181" s="765"/>
      <c r="C181" s="766"/>
      <c r="D181" s="107"/>
      <c r="E181" s="538"/>
      <c r="F181" s="538"/>
      <c r="G181" s="65"/>
      <c r="H181" s="633">
        <f>IF(G181&gt;=80%,F181,IF(G181&lt;65%,0,E181))</f>
        <v>0</v>
      </c>
      <c r="Q181" s="52"/>
      <c r="R181" s="44"/>
    </row>
    <row r="182" spans="1:18" s="29" customFormat="1" ht="15.6">
      <c r="A182" s="604"/>
      <c r="B182" s="307"/>
      <c r="C182" s="305"/>
      <c r="D182" s="305"/>
      <c r="E182" s="305"/>
      <c r="F182" s="309"/>
      <c r="G182" s="310" t="s">
        <v>376</v>
      </c>
      <c r="H182" s="634">
        <f>IFERROR((SUM(H147:H181)),0)</f>
        <v>0</v>
      </c>
      <c r="Q182" s="52"/>
      <c r="R182" s="44"/>
    </row>
    <row r="183" spans="1:18" s="29" customFormat="1" ht="15.6" thickBot="1">
      <c r="A183" s="594"/>
      <c r="B183" s="361"/>
      <c r="C183" s="362"/>
      <c r="D183" s="362"/>
      <c r="E183" s="362"/>
      <c r="F183" s="362"/>
      <c r="G183" s="354"/>
      <c r="H183" s="595"/>
      <c r="Q183" s="52"/>
      <c r="R183" s="44"/>
    </row>
    <row r="184" spans="1:18" s="29" customFormat="1" ht="30.75" customHeight="1">
      <c r="A184" s="865" t="s">
        <v>0</v>
      </c>
      <c r="B184" s="866"/>
      <c r="C184" s="869"/>
      <c r="D184" s="856" t="s">
        <v>4</v>
      </c>
      <c r="E184" s="959" t="s">
        <v>1</v>
      </c>
      <c r="F184" s="960"/>
      <c r="G184" s="955" t="s">
        <v>21</v>
      </c>
      <c r="H184" s="856" t="s">
        <v>62</v>
      </c>
      <c r="Q184" s="52"/>
      <c r="R184" s="44"/>
    </row>
    <row r="185" spans="1:18" s="29" customFormat="1" ht="15.6">
      <c r="A185" s="867"/>
      <c r="B185" s="868"/>
      <c r="C185" s="870"/>
      <c r="D185" s="857"/>
      <c r="E185" s="550" t="s">
        <v>120</v>
      </c>
      <c r="F185" s="550" t="s">
        <v>121</v>
      </c>
      <c r="G185" s="956"/>
      <c r="H185" s="857"/>
      <c r="Q185" s="52"/>
      <c r="R185" s="44"/>
    </row>
    <row r="186" spans="1:18" s="29" customFormat="1" ht="15.6">
      <c r="A186" s="126" t="s">
        <v>240</v>
      </c>
      <c r="B186" s="105" t="s">
        <v>244</v>
      </c>
      <c r="C186" s="106"/>
      <c r="D186" s="106"/>
      <c r="E186" s="106"/>
      <c r="F186" s="110"/>
      <c r="G186" s="111"/>
      <c r="H186" s="628"/>
      <c r="Q186" s="52"/>
      <c r="R186" s="44"/>
    </row>
    <row r="187" spans="1:18" s="29" customFormat="1">
      <c r="A187" s="625" t="s">
        <v>277</v>
      </c>
      <c r="B187" s="858" t="s">
        <v>245</v>
      </c>
      <c r="C187" s="859"/>
      <c r="D187" s="5" t="s">
        <v>50</v>
      </c>
      <c r="E187" s="20">
        <v>-1</v>
      </c>
      <c r="F187" s="20">
        <v>-2</v>
      </c>
      <c r="G187" s="28"/>
      <c r="H187" s="20">
        <f>IF(G187&gt;=30%,F187,IF(G187=0%,0,E187))</f>
        <v>0</v>
      </c>
      <c r="Q187" s="52"/>
      <c r="R187" s="44"/>
    </row>
    <row r="188" spans="1:18" s="29" customFormat="1">
      <c r="A188" s="625" t="s">
        <v>278</v>
      </c>
      <c r="B188" s="858" t="s">
        <v>246</v>
      </c>
      <c r="C188" s="859"/>
      <c r="D188" s="5" t="s">
        <v>50</v>
      </c>
      <c r="E188" s="20">
        <v>-1</v>
      </c>
      <c r="F188" s="20">
        <v>-1.5</v>
      </c>
      <c r="G188" s="28"/>
      <c r="H188" s="20">
        <f>IF(G188&gt;=30%,F188,IF(G188=0%,0,E188))</f>
        <v>0</v>
      </c>
      <c r="Q188" s="52"/>
      <c r="R188" s="44"/>
    </row>
    <row r="189" spans="1:18" s="29" customFormat="1">
      <c r="A189" s="625" t="s">
        <v>279</v>
      </c>
      <c r="B189" s="858" t="s">
        <v>247</v>
      </c>
      <c r="C189" s="859"/>
      <c r="D189" s="5" t="s">
        <v>50</v>
      </c>
      <c r="E189" s="811">
        <v>-1</v>
      </c>
      <c r="F189" s="811"/>
      <c r="G189" s="553"/>
      <c r="H189" s="20">
        <f>IF(G189&gt;0%,E189,0)</f>
        <v>0</v>
      </c>
      <c r="Q189" s="52"/>
      <c r="R189" s="44"/>
    </row>
    <row r="190" spans="1:18" s="29" customFormat="1" ht="15.6">
      <c r="A190" s="604"/>
      <c r="B190" s="307"/>
      <c r="C190" s="305"/>
      <c r="D190" s="305"/>
      <c r="E190" s="305"/>
      <c r="F190" s="309"/>
      <c r="G190" s="310" t="s">
        <v>133</v>
      </c>
      <c r="H190" s="634">
        <f>IFERROR(MAX(SUM(H187:H189),-4),0)</f>
        <v>0</v>
      </c>
      <c r="Q190" s="44"/>
      <c r="R190" s="44"/>
    </row>
    <row r="191" spans="1:18" s="29" customFormat="1">
      <c r="A191" s="592"/>
      <c r="B191" s="307"/>
      <c r="C191" s="305"/>
      <c r="D191" s="305"/>
      <c r="E191" s="305"/>
      <c r="F191" s="305"/>
      <c r="G191" s="314"/>
      <c r="H191" s="571"/>
      <c r="Q191" s="52"/>
      <c r="R191" s="44"/>
    </row>
    <row r="192" spans="1:18" s="29" customFormat="1" ht="15.6">
      <c r="A192" s="592"/>
      <c r="B192" s="307"/>
      <c r="C192" s="305"/>
      <c r="D192" s="305"/>
      <c r="E192" s="305"/>
      <c r="F192" s="305"/>
      <c r="G192" s="312" t="s">
        <v>132</v>
      </c>
      <c r="H192" s="154">
        <f>IFERROR(MIN(SUM(H120+H143+H182+H190),G91),0)</f>
        <v>0</v>
      </c>
      <c r="Q192" s="52"/>
      <c r="R192" s="44"/>
    </row>
    <row r="193" spans="1:18" s="29" customFormat="1" ht="16.2" thickBot="1">
      <c r="A193" s="594"/>
      <c r="B193" s="361"/>
      <c r="C193" s="362"/>
      <c r="D193" s="362"/>
      <c r="E193" s="362"/>
      <c r="F193" s="362"/>
      <c r="G193" s="363"/>
      <c r="H193" s="606"/>
      <c r="Q193" s="52"/>
      <c r="R193" s="44"/>
    </row>
    <row r="194" spans="1:18" s="29" customFormat="1" ht="15.6">
      <c r="A194" s="635" t="s">
        <v>63</v>
      </c>
      <c r="B194" s="355"/>
      <c r="C194" s="355"/>
      <c r="D194" s="355"/>
      <c r="E194" s="355"/>
      <c r="F194" s="356" t="s">
        <v>42</v>
      </c>
      <c r="G194" s="357">
        <f>VLOOKUP($A$7,'Manpower allocation'!A4:D11,4,FALSE)*100</f>
        <v>15</v>
      </c>
      <c r="H194" s="636" t="s">
        <v>41</v>
      </c>
      <c r="I194" s="108">
        <f>VLOOKUP($A$7,'Manpower allocation'!A4:D11,4,FALSE)*100</f>
        <v>15</v>
      </c>
      <c r="Q194" s="52"/>
      <c r="R194" s="44"/>
    </row>
    <row r="195" spans="1:18" s="29" customFormat="1" ht="15.6">
      <c r="A195" s="592"/>
      <c r="B195" s="313"/>
      <c r="C195" s="305"/>
      <c r="D195" s="305"/>
      <c r="E195" s="305"/>
      <c r="F195" s="305"/>
      <c r="G195" s="314"/>
      <c r="H195" s="571"/>
      <c r="Q195" s="52"/>
      <c r="R195" s="44"/>
    </row>
    <row r="196" spans="1:18" s="29" customFormat="1" ht="46.8">
      <c r="A196" s="850" t="s">
        <v>0</v>
      </c>
      <c r="B196" s="851"/>
      <c r="C196" s="109"/>
      <c r="D196" s="545" t="s">
        <v>17</v>
      </c>
      <c r="E196" s="545" t="s">
        <v>124</v>
      </c>
      <c r="F196" s="545" t="s">
        <v>108</v>
      </c>
      <c r="G196" s="545" t="s">
        <v>18</v>
      </c>
      <c r="H196" s="545" t="s">
        <v>62</v>
      </c>
      <c r="Q196" s="52"/>
      <c r="R196" s="44"/>
    </row>
    <row r="197" spans="1:18" s="29" customFormat="1" ht="15.6">
      <c r="A197" s="105" t="s">
        <v>250</v>
      </c>
      <c r="B197" s="531" t="s">
        <v>618</v>
      </c>
      <c r="C197" s="106"/>
      <c r="D197" s="106"/>
      <c r="E197" s="106"/>
      <c r="F197" s="110"/>
      <c r="G197" s="111"/>
      <c r="H197" s="628"/>
      <c r="Q197" s="52"/>
      <c r="R197" s="44"/>
    </row>
    <row r="198" spans="1:18" s="29" customFormat="1" ht="15.6">
      <c r="A198" s="112">
        <v>1</v>
      </c>
      <c r="B198" s="112" t="s">
        <v>304</v>
      </c>
      <c r="C198" s="113"/>
      <c r="D198" s="114"/>
      <c r="E198" s="114"/>
      <c r="F198" s="114"/>
      <c r="G198" s="114"/>
      <c r="H198" s="637"/>
      <c r="Q198" s="52"/>
      <c r="R198" s="44"/>
    </row>
    <row r="199" spans="1:18" s="29" customFormat="1">
      <c r="A199" s="541">
        <v>1.1000000000000001</v>
      </c>
      <c r="B199" s="822" t="s">
        <v>271</v>
      </c>
      <c r="C199" s="824"/>
      <c r="D199" s="20">
        <f>VLOOKUP(A199,'Point Allocation'!$A$46:$J$55,MATCH(A7,'Point Allocation'!$A$46:$J$46,0),0)</f>
        <v>15</v>
      </c>
      <c r="E199" s="38"/>
      <c r="F199" s="38"/>
      <c r="G199" s="31">
        <f>MIN(IFERROR(F199/E199,0),100%)</f>
        <v>0</v>
      </c>
      <c r="H199" s="20">
        <f>D199*G199</f>
        <v>0</v>
      </c>
      <c r="Q199" s="52"/>
      <c r="R199" s="44"/>
    </row>
    <row r="200" spans="1:18" s="29" customFormat="1" ht="15.6">
      <c r="A200" s="115">
        <v>2</v>
      </c>
      <c r="B200" s="115" t="s">
        <v>305</v>
      </c>
      <c r="C200" s="116"/>
      <c r="D200" s="32"/>
      <c r="E200" s="33"/>
      <c r="F200" s="33"/>
      <c r="G200" s="34"/>
      <c r="H200" s="638"/>
      <c r="Q200" s="52"/>
      <c r="R200" s="44"/>
    </row>
    <row r="201" spans="1:18" s="29" customFormat="1" ht="33" customHeight="1">
      <c r="A201" s="544">
        <v>2.1</v>
      </c>
      <c r="B201" s="863" t="s">
        <v>251</v>
      </c>
      <c r="C201" s="864"/>
      <c r="D201" s="20">
        <f>VLOOKUP(A201,'Point Allocation'!$A$46:$J$55,MATCH(A7,'Point Allocation'!$A$46:$J$46,0),0)</f>
        <v>12</v>
      </c>
      <c r="E201" s="38"/>
      <c r="F201" s="38"/>
      <c r="G201" s="31">
        <f>MIN(IFERROR(F201/E201,0),100%)</f>
        <v>0</v>
      </c>
      <c r="H201" s="20">
        <f>D201*G201</f>
        <v>0</v>
      </c>
      <c r="Q201" s="52"/>
      <c r="R201" s="44"/>
    </row>
    <row r="202" spans="1:18" s="29" customFormat="1" ht="15.6">
      <c r="A202" s="112">
        <v>3</v>
      </c>
      <c r="B202" s="112" t="s">
        <v>309</v>
      </c>
      <c r="C202" s="117"/>
      <c r="D202" s="35"/>
      <c r="E202" s="35"/>
      <c r="F202" s="35"/>
      <c r="G202" s="34"/>
      <c r="H202" s="639"/>
      <c r="Q202" s="52"/>
      <c r="R202" s="44"/>
    </row>
    <row r="203" spans="1:18" s="29" customFormat="1">
      <c r="A203" s="540">
        <v>3.1</v>
      </c>
      <c r="B203" s="837" t="s">
        <v>400</v>
      </c>
      <c r="C203" s="838"/>
      <c r="D203" s="20">
        <f>VLOOKUP(A203,'Point Allocation'!$A$46:$J$55,MATCH(A7,'Point Allocation'!$A$46:$J$46,0),0)</f>
        <v>4</v>
      </c>
      <c r="E203" s="38"/>
      <c r="F203" s="38"/>
      <c r="G203" s="31">
        <f>MIN(IFERROR(F203/E203,0),100%)</f>
        <v>0</v>
      </c>
      <c r="H203" s="20">
        <f>D203*G203</f>
        <v>0</v>
      </c>
      <c r="Q203" s="52"/>
      <c r="R203" s="44"/>
    </row>
    <row r="204" spans="1:18" s="29" customFormat="1">
      <c r="A204" s="540">
        <v>3.2</v>
      </c>
      <c r="B204" s="837" t="s">
        <v>401</v>
      </c>
      <c r="C204" s="838"/>
      <c r="D204" s="20">
        <f>VLOOKUP(A204,'Point Allocation'!$A$46:$J$55,MATCH(A7,'Point Allocation'!$A$46:$J$46,0),0)</f>
        <v>4</v>
      </c>
      <c r="E204" s="165"/>
      <c r="F204" s="38"/>
      <c r="G204" s="31">
        <f>MIN(IFERROR(F204/E204,0),100%)</f>
        <v>0</v>
      </c>
      <c r="H204" s="20">
        <f>D204*G204</f>
        <v>0</v>
      </c>
      <c r="Q204" s="52"/>
      <c r="R204" s="44"/>
    </row>
    <row r="205" spans="1:18" s="29" customFormat="1">
      <c r="A205" s="543">
        <v>3.3</v>
      </c>
      <c r="B205" s="858" t="s">
        <v>161</v>
      </c>
      <c r="C205" s="859"/>
      <c r="D205" s="20">
        <f>VLOOKUP(A205,'Point Allocation'!$A$46:$J$55,MATCH(A7,'Point Allocation'!$A$46:$J$46,0),0)</f>
        <v>4</v>
      </c>
      <c r="E205" s="166"/>
      <c r="F205" s="537"/>
      <c r="G205" s="31">
        <f>MIN(IFERROR(F205/E205,0),100%)</f>
        <v>0</v>
      </c>
      <c r="H205" s="20">
        <f>D205*G205</f>
        <v>0</v>
      </c>
      <c r="Q205" s="52"/>
      <c r="R205" s="44"/>
    </row>
    <row r="206" spans="1:18" s="29" customFormat="1" ht="15.6">
      <c r="A206" s="592"/>
      <c r="B206" s="307"/>
      <c r="C206" s="305"/>
      <c r="D206" s="306" t="s">
        <v>6</v>
      </c>
      <c r="E206" s="283">
        <f>MAX(SUM(E199:E205),F206)</f>
        <v>0</v>
      </c>
      <c r="F206" s="283">
        <f>SUM(F199:F205)</f>
        <v>0</v>
      </c>
      <c r="G206" s="322">
        <f>IFERROR(MIN(F206/E206,100%),0)</f>
        <v>0</v>
      </c>
      <c r="H206" s="593">
        <f>IFERROR(SUM(H199:H205),0)</f>
        <v>0</v>
      </c>
      <c r="Q206" s="52"/>
      <c r="R206" s="44"/>
    </row>
    <row r="207" spans="1:18" s="29" customFormat="1" ht="15.6">
      <c r="A207" s="592"/>
      <c r="B207" s="320"/>
      <c r="C207" s="323"/>
      <c r="D207" s="324"/>
      <c r="E207" s="323"/>
      <c r="F207" s="323"/>
      <c r="G207" s="325"/>
      <c r="H207" s="317"/>
      <c r="Q207" s="52"/>
      <c r="R207" s="44"/>
    </row>
    <row r="208" spans="1:18" s="29" customFormat="1" ht="15.6">
      <c r="A208" s="850" t="s">
        <v>0</v>
      </c>
      <c r="B208" s="851"/>
      <c r="C208" s="860"/>
      <c r="D208" s="862" t="s">
        <v>4</v>
      </c>
      <c r="E208" s="862" t="s">
        <v>1</v>
      </c>
      <c r="F208" s="862"/>
      <c r="G208" s="881" t="s">
        <v>21</v>
      </c>
      <c r="H208" s="881" t="s">
        <v>62</v>
      </c>
      <c r="Q208" s="52"/>
      <c r="R208" s="44"/>
    </row>
    <row r="209" spans="1:18" s="29" customFormat="1" ht="30.75" customHeight="1">
      <c r="A209" s="852"/>
      <c r="B209" s="853"/>
      <c r="C209" s="861"/>
      <c r="D209" s="862"/>
      <c r="E209" s="545" t="s">
        <v>64</v>
      </c>
      <c r="F209" s="545" t="s">
        <v>65</v>
      </c>
      <c r="G209" s="881"/>
      <c r="H209" s="881"/>
      <c r="Q209" s="52"/>
      <c r="R209" s="44"/>
    </row>
    <row r="210" spans="1:18" s="29" customFormat="1" ht="15.6">
      <c r="A210" s="45" t="s">
        <v>253</v>
      </c>
      <c r="B210" s="45" t="s">
        <v>254</v>
      </c>
      <c r="C210" s="56"/>
      <c r="D210" s="56"/>
      <c r="E210" s="56"/>
      <c r="F210" s="57"/>
      <c r="G210" s="104"/>
      <c r="H210" s="624"/>
      <c r="Q210" s="52"/>
      <c r="R210" s="44"/>
    </row>
    <row r="211" spans="1:18" s="29" customFormat="1" ht="15.6">
      <c r="A211" s="118">
        <v>4</v>
      </c>
      <c r="B211" s="118" t="s">
        <v>307</v>
      </c>
      <c r="C211" s="116"/>
      <c r="D211" s="119"/>
      <c r="E211" s="120"/>
      <c r="F211" s="120"/>
      <c r="G211" s="121"/>
      <c r="H211" s="640"/>
      <c r="Q211" s="52"/>
      <c r="R211" s="44"/>
    </row>
    <row r="212" spans="1:18" s="29" customFormat="1">
      <c r="A212" s="541">
        <v>4.0999999999999996</v>
      </c>
      <c r="B212" s="822" t="s">
        <v>155</v>
      </c>
      <c r="C212" s="824"/>
      <c r="D212" s="5" t="s">
        <v>50</v>
      </c>
      <c r="E212" s="20" t="s">
        <v>49</v>
      </c>
      <c r="F212" s="20">
        <f>VLOOKUP(A212,'Point Allocation'!$A$46:$J$55,MATCH(A7,'Point Allocation'!$A$46:$J$46,0),0)</f>
        <v>1.5</v>
      </c>
      <c r="G212" s="553"/>
      <c r="H212" s="20">
        <f>IF(G212&gt;=80%,F212,0)</f>
        <v>0</v>
      </c>
      <c r="Q212" s="52"/>
      <c r="R212" s="44"/>
    </row>
    <row r="213" spans="1:18" s="29" customFormat="1">
      <c r="A213" s="541">
        <v>4.2</v>
      </c>
      <c r="B213" s="822" t="s">
        <v>152</v>
      </c>
      <c r="C213" s="824"/>
      <c r="D213" s="5" t="s">
        <v>50</v>
      </c>
      <c r="E213" s="20" t="s">
        <v>49</v>
      </c>
      <c r="F213" s="20">
        <f>VLOOKUP(A213,'Point Allocation'!$A$46:$J$55,MATCH(A7,'Point Allocation'!$A$46:$J$46,0),0)</f>
        <v>1.5</v>
      </c>
      <c r="G213" s="553"/>
      <c r="H213" s="20">
        <f>IF(G213&gt;=80%,F213,0)</f>
        <v>0</v>
      </c>
      <c r="Q213" s="52"/>
      <c r="R213" s="44"/>
    </row>
    <row r="214" spans="1:18" s="29" customFormat="1">
      <c r="A214" s="541">
        <v>4.3</v>
      </c>
      <c r="B214" s="822" t="s">
        <v>146</v>
      </c>
      <c r="C214" s="824"/>
      <c r="D214" s="5" t="s">
        <v>3</v>
      </c>
      <c r="E214" s="20" t="s">
        <v>49</v>
      </c>
      <c r="F214" s="20">
        <f>VLOOKUP(A214,'Point Allocation'!$A$46:$J$55,MATCH(A7,'Point Allocation'!$A$46:$J$46,0),0)</f>
        <v>1.5</v>
      </c>
      <c r="G214" s="553"/>
      <c r="H214" s="20">
        <f>IF(G214&gt;=80%,F214,0)</f>
        <v>0</v>
      </c>
      <c r="Q214" s="52"/>
      <c r="R214" s="44"/>
    </row>
    <row r="215" spans="1:18" s="29" customFormat="1">
      <c r="A215" s="542">
        <v>4.4000000000000004</v>
      </c>
      <c r="B215" s="848" t="s">
        <v>252</v>
      </c>
      <c r="C215" s="849"/>
      <c r="D215" s="5" t="s">
        <v>3</v>
      </c>
      <c r="E215" s="20" t="s">
        <v>49</v>
      </c>
      <c r="F215" s="20">
        <f>VLOOKUP(A215,'Point Allocation'!$A$46:$J$55,MATCH(A7,'Point Allocation'!$A$46:$J$46,0),0)</f>
        <v>1.5</v>
      </c>
      <c r="G215" s="553"/>
      <c r="H215" s="20">
        <f>IF(G215&gt;=80%,F215,0)</f>
        <v>0</v>
      </c>
      <c r="Q215" s="52"/>
      <c r="R215" s="44"/>
    </row>
    <row r="216" spans="1:18" s="29" customFormat="1" ht="15.6">
      <c r="A216" s="118">
        <v>5</v>
      </c>
      <c r="B216" s="118" t="s">
        <v>202</v>
      </c>
      <c r="C216" s="116"/>
      <c r="D216" s="122"/>
      <c r="E216" s="123"/>
      <c r="F216" s="123"/>
      <c r="G216" s="124"/>
      <c r="H216" s="641"/>
      <c r="Q216" s="52"/>
      <c r="R216" s="44"/>
    </row>
    <row r="217" spans="1:18" s="29" customFormat="1">
      <c r="A217" s="591">
        <v>5.0999999999999996</v>
      </c>
      <c r="B217" s="765"/>
      <c r="C217" s="847"/>
      <c r="D217" s="391"/>
      <c r="E217" s="537"/>
      <c r="F217" s="537"/>
      <c r="G217" s="553"/>
      <c r="H217" s="633">
        <f>IF(G217&gt;=80%,F217,IF(G217&lt;65%,0,E217))</f>
        <v>0</v>
      </c>
      <c r="Q217" s="52"/>
      <c r="R217" s="44"/>
    </row>
    <row r="218" spans="1:18" s="29" customFormat="1">
      <c r="A218" s="591">
        <v>5.2</v>
      </c>
      <c r="B218" s="765"/>
      <c r="C218" s="847"/>
      <c r="D218" s="391"/>
      <c r="E218" s="537"/>
      <c r="F218" s="537"/>
      <c r="G218" s="553"/>
      <c r="H218" s="633">
        <f>IF(G218&gt;=80%,F218,IF(G218&lt;65%,0,E218))</f>
        <v>0</v>
      </c>
      <c r="Q218" s="52"/>
      <c r="R218" s="44"/>
    </row>
    <row r="219" spans="1:18" s="29" customFormat="1">
      <c r="A219" s="591">
        <v>5.3</v>
      </c>
      <c r="B219" s="765"/>
      <c r="C219" s="847"/>
      <c r="D219" s="391"/>
      <c r="E219" s="537"/>
      <c r="F219" s="537"/>
      <c r="G219" s="553"/>
      <c r="H219" s="633">
        <f>IF(G219&gt;=80%,F219,IF(G219&lt;65%,0,E219))</f>
        <v>0</v>
      </c>
      <c r="Q219" s="52"/>
      <c r="R219" s="44"/>
    </row>
    <row r="220" spans="1:18" s="29" customFormat="1" ht="15.6">
      <c r="A220" s="592"/>
      <c r="B220" s="326"/>
      <c r="C220" s="326"/>
      <c r="D220" s="314"/>
      <c r="E220" s="314"/>
      <c r="F220" s="314"/>
      <c r="G220" s="312" t="s">
        <v>7</v>
      </c>
      <c r="H220" s="617">
        <f>IFERROR(SUM(H212:H215,H217:H219),0)</f>
        <v>0</v>
      </c>
      <c r="Q220" s="52"/>
      <c r="R220" s="44"/>
    </row>
    <row r="221" spans="1:18" s="29" customFormat="1">
      <c r="A221" s="592"/>
      <c r="B221" s="307"/>
      <c r="C221" s="305"/>
      <c r="D221" s="305"/>
      <c r="E221" s="305"/>
      <c r="F221" s="305"/>
      <c r="G221" s="314"/>
      <c r="H221" s="571"/>
      <c r="Q221" s="52"/>
      <c r="R221" s="44"/>
    </row>
    <row r="222" spans="1:18" s="29" customFormat="1" ht="15.6">
      <c r="A222" s="850" t="s">
        <v>0</v>
      </c>
      <c r="B222" s="851"/>
      <c r="C222" s="860"/>
      <c r="D222" s="881" t="s">
        <v>4</v>
      </c>
      <c r="E222" s="862" t="s">
        <v>1</v>
      </c>
      <c r="F222" s="862"/>
      <c r="G222" s="881" t="s">
        <v>21</v>
      </c>
      <c r="H222" s="881" t="s">
        <v>62</v>
      </c>
      <c r="Q222" s="52"/>
      <c r="R222" s="44"/>
    </row>
    <row r="223" spans="1:18" s="29" customFormat="1" ht="31.2">
      <c r="A223" s="852"/>
      <c r="B223" s="853"/>
      <c r="C223" s="861"/>
      <c r="D223" s="862"/>
      <c r="E223" s="545" t="s">
        <v>64</v>
      </c>
      <c r="F223" s="545" t="s">
        <v>65</v>
      </c>
      <c r="G223" s="881"/>
      <c r="H223" s="881"/>
      <c r="Q223" s="52"/>
      <c r="R223" s="44"/>
    </row>
    <row r="224" spans="1:18" s="29" customFormat="1" ht="15.6">
      <c r="A224" s="105" t="s">
        <v>255</v>
      </c>
      <c r="B224" s="105" t="s">
        <v>518</v>
      </c>
      <c r="C224" s="125"/>
      <c r="D224" s="126"/>
      <c r="E224" s="126"/>
      <c r="F224" s="127"/>
      <c r="G224" s="128"/>
      <c r="H224" s="127"/>
      <c r="Q224" s="52"/>
      <c r="R224" s="44"/>
    </row>
    <row r="225" spans="1:18" s="29" customFormat="1" ht="15.6">
      <c r="A225" s="625" t="s">
        <v>188</v>
      </c>
      <c r="B225" s="822" t="s">
        <v>256</v>
      </c>
      <c r="C225" s="824"/>
      <c r="D225" s="94" t="s">
        <v>2</v>
      </c>
      <c r="E225" s="94">
        <v>1</v>
      </c>
      <c r="F225" s="94">
        <v>2</v>
      </c>
      <c r="G225" s="65"/>
      <c r="H225" s="94">
        <f>IF(G225&gt;=80%,F225,IF(G225&lt;65%,0,E225))</f>
        <v>0</v>
      </c>
      <c r="J225" s="131"/>
      <c r="Q225" s="52"/>
      <c r="R225" s="44"/>
    </row>
    <row r="226" spans="1:18" s="29" customFormat="1">
      <c r="A226" s="575" t="s">
        <v>189</v>
      </c>
      <c r="B226" s="825" t="s">
        <v>619</v>
      </c>
      <c r="C226" s="827"/>
      <c r="D226" s="94" t="s">
        <v>50</v>
      </c>
      <c r="E226" s="94">
        <v>0.5</v>
      </c>
      <c r="F226" s="94">
        <v>1</v>
      </c>
      <c r="G226" s="65"/>
      <c r="H226" s="94">
        <f>IF(G226&gt;=80%,F226,IF(G226&lt;65%,0,E226))</f>
        <v>0</v>
      </c>
      <c r="Q226" s="52"/>
      <c r="R226" s="44"/>
    </row>
    <row r="227" spans="1:18" s="29" customFormat="1" ht="15.6">
      <c r="A227" s="592"/>
      <c r="B227" s="307"/>
      <c r="C227" s="305"/>
      <c r="D227" s="305"/>
      <c r="E227" s="305"/>
      <c r="F227" s="308"/>
      <c r="G227" s="312" t="s">
        <v>109</v>
      </c>
      <c r="H227" s="129">
        <f>IFERROR(SUM(H225:H226),0)</f>
        <v>0</v>
      </c>
      <c r="Q227" s="52"/>
      <c r="R227" s="44"/>
    </row>
    <row r="228" spans="1:18" s="29" customFormat="1">
      <c r="A228" s="592"/>
      <c r="B228" s="307"/>
      <c r="C228" s="305"/>
      <c r="D228" s="305"/>
      <c r="E228" s="305"/>
      <c r="F228" s="305"/>
      <c r="G228" s="314"/>
      <c r="H228" s="571"/>
      <c r="Q228" s="52"/>
      <c r="R228" s="44"/>
    </row>
    <row r="229" spans="1:18" s="29" customFormat="1" ht="15.6">
      <c r="A229" s="592"/>
      <c r="B229" s="307"/>
      <c r="C229" s="305"/>
      <c r="D229" s="305"/>
      <c r="E229" s="305"/>
      <c r="F229" s="305"/>
      <c r="G229" s="312" t="s">
        <v>110</v>
      </c>
      <c r="H229" s="129">
        <f>IFERROR(MIN(SUM(H206+H220+H227),G194),0)</f>
        <v>0</v>
      </c>
      <c r="Q229" s="52"/>
      <c r="R229" s="44"/>
    </row>
    <row r="230" spans="1:18" s="29" customFormat="1" ht="16.2" thickBot="1">
      <c r="A230" s="594"/>
      <c r="B230" s="361"/>
      <c r="C230" s="362"/>
      <c r="D230" s="362"/>
      <c r="E230" s="362"/>
      <c r="F230" s="362"/>
      <c r="G230" s="364"/>
      <c r="H230" s="606"/>
      <c r="Q230" s="52"/>
      <c r="R230" s="44"/>
    </row>
    <row r="231" spans="1:18" s="29" customFormat="1" ht="15.6">
      <c r="A231" s="642" t="s">
        <v>129</v>
      </c>
      <c r="B231" s="455"/>
      <c r="C231" s="455"/>
      <c r="D231" s="455"/>
      <c r="E231" s="455"/>
      <c r="F231" s="456" t="s">
        <v>42</v>
      </c>
      <c r="G231" s="457">
        <v>20</v>
      </c>
      <c r="H231" s="643" t="s">
        <v>41</v>
      </c>
      <c r="Q231" s="52"/>
      <c r="R231" s="44"/>
    </row>
    <row r="232" spans="1:18" s="29" customFormat="1" ht="15.6">
      <c r="A232" s="592"/>
      <c r="B232" s="329"/>
      <c r="C232" s="305"/>
      <c r="D232" s="305"/>
      <c r="E232" s="305"/>
      <c r="F232" s="305"/>
      <c r="G232" s="314"/>
      <c r="H232" s="571"/>
      <c r="Q232" s="52"/>
      <c r="R232" s="44"/>
    </row>
    <row r="233" spans="1:18" s="29" customFormat="1" ht="33" customHeight="1">
      <c r="A233" s="854" t="s">
        <v>0</v>
      </c>
      <c r="B233" s="855"/>
      <c r="C233" s="132"/>
      <c r="D233" s="132"/>
      <c r="E233" s="133" t="s">
        <v>4</v>
      </c>
      <c r="F233" s="133" t="s">
        <v>69</v>
      </c>
      <c r="G233" s="134" t="s">
        <v>21</v>
      </c>
      <c r="H233" s="644" t="s">
        <v>62</v>
      </c>
      <c r="Q233" s="52"/>
      <c r="R233" s="44"/>
    </row>
    <row r="234" spans="1:18" s="29" customFormat="1" ht="15.6">
      <c r="A234" s="105" t="s">
        <v>257</v>
      </c>
      <c r="B234" s="105" t="s">
        <v>258</v>
      </c>
      <c r="C234" s="106"/>
      <c r="D234" s="106"/>
      <c r="E234" s="106"/>
      <c r="F234" s="57"/>
      <c r="G234" s="135"/>
      <c r="H234" s="645"/>
      <c r="I234" s="130"/>
      <c r="Q234" s="52"/>
      <c r="R234" s="44"/>
    </row>
    <row r="235" spans="1:18" s="29" customFormat="1" ht="15.6">
      <c r="A235" s="591">
        <v>1.1000000000000001</v>
      </c>
      <c r="B235" s="816" t="s">
        <v>122</v>
      </c>
      <c r="C235" s="817"/>
      <c r="D235" s="818"/>
      <c r="E235" s="155"/>
      <c r="F235" s="136"/>
      <c r="G235" s="137"/>
      <c r="H235" s="547">
        <f t="shared" ref="H235:H240" si="5">F235*G235</f>
        <v>0</v>
      </c>
      <c r="Q235" s="52"/>
      <c r="R235" s="44"/>
    </row>
    <row r="236" spans="1:18" s="29" customFormat="1" ht="15.6">
      <c r="A236" s="589">
        <v>1.2</v>
      </c>
      <c r="B236" s="844" t="s">
        <v>123</v>
      </c>
      <c r="C236" s="845"/>
      <c r="D236" s="846"/>
      <c r="E236" s="155"/>
      <c r="F236" s="136"/>
      <c r="G236" s="137"/>
      <c r="H236" s="547">
        <f t="shared" si="5"/>
        <v>0</v>
      </c>
      <c r="Q236" s="52"/>
      <c r="R236" s="44"/>
    </row>
    <row r="237" spans="1:18" s="29" customFormat="1" ht="15.6">
      <c r="A237" s="591">
        <v>1.3</v>
      </c>
      <c r="B237" s="816" t="s">
        <v>114</v>
      </c>
      <c r="C237" s="817"/>
      <c r="D237" s="818"/>
      <c r="E237" s="155"/>
      <c r="F237" s="136"/>
      <c r="G237" s="137"/>
      <c r="H237" s="547">
        <f t="shared" si="5"/>
        <v>0</v>
      </c>
      <c r="Q237" s="52"/>
      <c r="R237" s="44"/>
    </row>
    <row r="238" spans="1:18" s="29" customFormat="1" ht="15.6">
      <c r="A238" s="591">
        <v>1.4</v>
      </c>
      <c r="B238" s="816" t="s">
        <v>282</v>
      </c>
      <c r="C238" s="817"/>
      <c r="D238" s="818"/>
      <c r="E238" s="155"/>
      <c r="F238" s="136"/>
      <c r="G238" s="137"/>
      <c r="H238" s="547">
        <f t="shared" si="5"/>
        <v>0</v>
      </c>
      <c r="Q238" s="52"/>
      <c r="R238" s="44"/>
    </row>
    <row r="239" spans="1:18" s="29" customFormat="1" ht="15.6">
      <c r="A239" s="591">
        <v>1.5</v>
      </c>
      <c r="B239" s="816"/>
      <c r="C239" s="817"/>
      <c r="D239" s="818"/>
      <c r="E239" s="155"/>
      <c r="F239" s="136"/>
      <c r="G239" s="137"/>
      <c r="H239" s="547">
        <f t="shared" si="5"/>
        <v>0</v>
      </c>
      <c r="Q239" s="52"/>
      <c r="R239" s="44"/>
    </row>
    <row r="240" spans="1:18" s="29" customFormat="1" ht="15.6">
      <c r="A240" s="591">
        <v>1.6</v>
      </c>
      <c r="B240" s="816"/>
      <c r="C240" s="817"/>
      <c r="D240" s="818"/>
      <c r="E240" s="155"/>
      <c r="F240" s="136"/>
      <c r="G240" s="137"/>
      <c r="H240" s="547">
        <f t="shared" si="5"/>
        <v>0</v>
      </c>
      <c r="Q240" s="52"/>
      <c r="R240" s="44"/>
    </row>
    <row r="241" spans="1:18" s="29" customFormat="1" ht="15.6">
      <c r="A241" s="105" t="s">
        <v>260</v>
      </c>
      <c r="B241" s="105" t="s">
        <v>259</v>
      </c>
      <c r="C241" s="106"/>
      <c r="D241" s="106"/>
      <c r="E241" s="106"/>
      <c r="F241" s="57"/>
      <c r="G241" s="135"/>
      <c r="H241" s="645"/>
      <c r="Q241" s="52"/>
      <c r="R241" s="44"/>
    </row>
    <row r="242" spans="1:18" s="29" customFormat="1" ht="30.6" customHeight="1">
      <c r="A242" s="620">
        <v>2.1</v>
      </c>
      <c r="B242" s="825" t="s">
        <v>620</v>
      </c>
      <c r="C242" s="842"/>
      <c r="D242" s="843"/>
      <c r="E242" s="148" t="s">
        <v>367</v>
      </c>
      <c r="F242" s="389">
        <v>2</v>
      </c>
      <c r="G242" s="390"/>
      <c r="H242" s="547">
        <f>IFERROR(VLOOKUP(E242,J243:K246,2,FALSE),0)</f>
        <v>0</v>
      </c>
      <c r="J242" s="29" t="s">
        <v>367</v>
      </c>
      <c r="K242" s="29">
        <v>0</v>
      </c>
      <c r="Q242" s="52"/>
      <c r="R242" s="44"/>
    </row>
    <row r="243" spans="1:18" s="29" customFormat="1" ht="15.6">
      <c r="A243" s="592"/>
      <c r="B243" s="304"/>
      <c r="C243" s="305"/>
      <c r="D243" s="305"/>
      <c r="E243" s="305"/>
      <c r="F243" s="305"/>
      <c r="G243" s="312" t="s">
        <v>130</v>
      </c>
      <c r="H243" s="138">
        <f>IFERROR(MIN(SUM(H235:H242),G231),0)</f>
        <v>0</v>
      </c>
      <c r="J243" s="29" t="s">
        <v>363</v>
      </c>
      <c r="K243" s="29">
        <v>2</v>
      </c>
      <c r="Q243" s="44"/>
      <c r="R243" s="44"/>
    </row>
    <row r="244" spans="1:18" s="29" customFormat="1">
      <c r="A244" s="592"/>
      <c r="B244" s="307"/>
      <c r="C244" s="305"/>
      <c r="D244" s="305"/>
      <c r="E244" s="305"/>
      <c r="F244" s="305"/>
      <c r="G244" s="314"/>
      <c r="H244" s="571"/>
      <c r="J244" s="29" t="s">
        <v>364</v>
      </c>
      <c r="K244" s="29">
        <v>2</v>
      </c>
      <c r="Q244" s="44"/>
      <c r="R244" s="44"/>
    </row>
    <row r="245" spans="1:18" s="29" customFormat="1" ht="15.6">
      <c r="A245" s="592"/>
      <c r="B245" s="307"/>
      <c r="C245" s="305"/>
      <c r="D245" s="305"/>
      <c r="E245" s="305"/>
      <c r="F245" s="305"/>
      <c r="G245" s="312" t="s">
        <v>68</v>
      </c>
      <c r="H245" s="617">
        <f>IFERROR(H89+H192+H229+H243,0)</f>
        <v>0</v>
      </c>
      <c r="J245" s="29" t="s">
        <v>365</v>
      </c>
      <c r="K245" s="29">
        <v>2</v>
      </c>
      <c r="Q245" s="44"/>
      <c r="R245" s="44"/>
    </row>
    <row r="246" spans="1:18" s="29" customFormat="1">
      <c r="A246" s="592"/>
      <c r="B246" s="307"/>
      <c r="C246" s="305"/>
      <c r="D246" s="305"/>
      <c r="E246" s="305"/>
      <c r="F246" s="305"/>
      <c r="G246" s="314"/>
      <c r="H246" s="571"/>
      <c r="J246" s="29" t="s">
        <v>366</v>
      </c>
      <c r="K246" s="29">
        <v>2</v>
      </c>
      <c r="Q246" s="52"/>
      <c r="R246" s="44"/>
    </row>
    <row r="247" spans="1:18" s="29" customFormat="1" ht="15.75" customHeight="1">
      <c r="A247" s="592"/>
      <c r="B247" s="327" t="s">
        <v>37</v>
      </c>
      <c r="C247" s="314"/>
      <c r="D247" s="809" t="s">
        <v>372</v>
      </c>
      <c r="E247" s="809"/>
      <c r="F247" s="809"/>
      <c r="G247" s="314"/>
      <c r="H247" s="646"/>
      <c r="Q247" s="52"/>
      <c r="R247" s="44"/>
    </row>
    <row r="248" spans="1:18" s="29" customFormat="1" ht="15.6">
      <c r="A248" s="592"/>
      <c r="B248" s="328"/>
      <c r="C248" s="314"/>
      <c r="D248" s="809"/>
      <c r="E248" s="809"/>
      <c r="F248" s="809"/>
      <c r="G248" s="314"/>
      <c r="H248" s="646"/>
      <c r="Q248" s="52"/>
      <c r="R248" s="44"/>
    </row>
    <row r="249" spans="1:18" s="29" customFormat="1" ht="15.6">
      <c r="A249" s="647" t="s">
        <v>261</v>
      </c>
      <c r="B249" s="328" t="s">
        <v>99</v>
      </c>
      <c r="C249" s="347">
        <f>IFERROR(SUM(G32+G35+G37+G38+G47+G50),0)</f>
        <v>0</v>
      </c>
      <c r="D249" s="314" t="s">
        <v>265</v>
      </c>
      <c r="E249" s="137"/>
      <c r="F249" s="314" t="s">
        <v>266</v>
      </c>
      <c r="G249" s="139">
        <f>MIN(IFERROR(SUM(C249+E249),0),100%)</f>
        <v>0</v>
      </c>
      <c r="H249" s="571"/>
      <c r="L249" s="52"/>
      <c r="M249" s="44"/>
    </row>
    <row r="250" spans="1:18" s="29" customFormat="1" ht="15.6">
      <c r="A250" s="647" t="s">
        <v>262</v>
      </c>
      <c r="B250" s="328" t="s">
        <v>100</v>
      </c>
      <c r="C250" s="347">
        <f>IFERROR(SUM(F19+G96+G98+G100+G103+G106+G107+G108+G109+G110),0)</f>
        <v>0</v>
      </c>
      <c r="D250" s="314" t="s">
        <v>265</v>
      </c>
      <c r="E250" s="137"/>
      <c r="F250" s="314" t="s">
        <v>266</v>
      </c>
      <c r="G250" s="139">
        <f>MIN(IFERROR(SUM(C250+E250),0),100%)</f>
        <v>0</v>
      </c>
      <c r="H250" s="571"/>
      <c r="L250" s="52"/>
      <c r="M250" s="44"/>
    </row>
    <row r="251" spans="1:18" s="29" customFormat="1" ht="15.6">
      <c r="A251" s="647" t="s">
        <v>263</v>
      </c>
      <c r="B251" s="328" t="s">
        <v>101</v>
      </c>
      <c r="C251" s="347">
        <f>IFERROR(G206,0)</f>
        <v>0</v>
      </c>
      <c r="D251" s="314" t="s">
        <v>265</v>
      </c>
      <c r="E251" s="137"/>
      <c r="F251" s="286" t="s">
        <v>266</v>
      </c>
      <c r="G251" s="139">
        <f>MIN(IFERROR(SUM(C251+E251),0),100%)</f>
        <v>0</v>
      </c>
      <c r="H251" s="562"/>
      <c r="I251" s="3"/>
      <c r="J251" s="3"/>
      <c r="K251" s="3"/>
      <c r="L251" s="52"/>
      <c r="M251" s="44"/>
    </row>
    <row r="252" spans="1:18" s="29" customFormat="1">
      <c r="A252" s="622"/>
      <c r="B252" s="320"/>
      <c r="C252" s="323"/>
      <c r="D252" s="323"/>
      <c r="E252" s="323"/>
      <c r="F252" s="323"/>
      <c r="G252" s="648"/>
      <c r="H252" s="649"/>
      <c r="J252" s="3"/>
      <c r="K252" s="3"/>
      <c r="L252" s="3"/>
      <c r="M252" s="3"/>
      <c r="N252" s="3"/>
      <c r="O252" s="3"/>
      <c r="P252" s="3"/>
      <c r="Q252" s="52"/>
      <c r="R252" s="44"/>
    </row>
    <row r="253" spans="1:18" s="29" customFormat="1">
      <c r="A253" s="161"/>
      <c r="B253" s="3"/>
      <c r="C253" s="3"/>
      <c r="D253" s="3"/>
      <c r="E253" s="3"/>
      <c r="F253" s="3"/>
      <c r="G253" s="10"/>
      <c r="H253" s="3"/>
      <c r="J253" s="3"/>
      <c r="K253" s="3"/>
      <c r="L253" s="3"/>
      <c r="M253" s="3"/>
      <c r="N253" s="3"/>
      <c r="O253" s="3"/>
      <c r="P253" s="3"/>
      <c r="Q253" s="52"/>
      <c r="R253" s="44"/>
    </row>
    <row r="254" spans="1:18" s="29" customFormat="1">
      <c r="A254" s="161"/>
      <c r="B254" s="3"/>
      <c r="C254" s="3"/>
      <c r="D254" s="3"/>
      <c r="E254" s="3"/>
      <c r="F254" s="3"/>
      <c r="G254" s="10"/>
      <c r="H254" s="3"/>
      <c r="J254" s="3"/>
      <c r="K254" s="3"/>
      <c r="L254" s="3"/>
      <c r="M254" s="3"/>
      <c r="N254" s="3"/>
      <c r="O254" s="3"/>
      <c r="P254" s="3"/>
      <c r="Q254" s="52"/>
      <c r="R254" s="44"/>
    </row>
    <row r="255" spans="1:18" s="29" customFormat="1">
      <c r="A255" s="161"/>
      <c r="B255" s="3"/>
      <c r="C255" s="3"/>
      <c r="D255" s="3"/>
      <c r="E255" s="3"/>
      <c r="F255" s="3"/>
      <c r="G255" s="10"/>
      <c r="H255" s="3"/>
      <c r="J255" s="3"/>
      <c r="K255" s="3"/>
      <c r="L255" s="3"/>
      <c r="M255" s="3"/>
      <c r="N255" s="3"/>
      <c r="O255" s="3"/>
      <c r="P255" s="3"/>
      <c r="Q255" s="52"/>
      <c r="R255" s="44"/>
    </row>
    <row r="256" spans="1:18" s="29" customFormat="1">
      <c r="A256" s="161"/>
      <c r="B256" s="3"/>
      <c r="C256" s="3"/>
      <c r="D256" s="3"/>
      <c r="E256" s="3"/>
      <c r="F256" s="3"/>
      <c r="G256" s="10"/>
      <c r="H256" s="3"/>
      <c r="J256" s="3"/>
      <c r="K256" s="3"/>
      <c r="L256" s="3"/>
      <c r="M256" s="3"/>
      <c r="N256" s="3"/>
      <c r="O256" s="3"/>
      <c r="P256" s="3"/>
      <c r="Q256" s="44"/>
      <c r="R256" s="44"/>
    </row>
    <row r="257" spans="1:18" s="29" customFormat="1">
      <c r="A257" s="161"/>
      <c r="B257" s="3"/>
      <c r="C257" s="3"/>
      <c r="D257" s="3"/>
      <c r="E257" s="3"/>
      <c r="F257" s="3"/>
      <c r="G257" s="10"/>
      <c r="H257" s="3"/>
      <c r="J257" s="3"/>
      <c r="K257" s="3"/>
      <c r="L257" s="3"/>
      <c r="M257" s="3"/>
      <c r="N257" s="3"/>
      <c r="O257" s="3"/>
      <c r="P257" s="3"/>
      <c r="Q257" s="44"/>
      <c r="R257" s="44"/>
    </row>
    <row r="258" spans="1:18" s="29" customFormat="1">
      <c r="A258" s="161"/>
      <c r="B258" s="3"/>
      <c r="C258" s="3"/>
      <c r="D258" s="3"/>
      <c r="E258" s="3"/>
      <c r="F258" s="3"/>
      <c r="G258" s="10"/>
      <c r="H258" s="3"/>
      <c r="J258" s="3"/>
      <c r="K258" s="3"/>
      <c r="L258" s="3"/>
      <c r="M258" s="3"/>
      <c r="N258" s="3"/>
      <c r="O258" s="3"/>
      <c r="P258" s="3"/>
      <c r="Q258" s="44"/>
      <c r="R258" s="44"/>
    </row>
    <row r="259" spans="1:18" s="29" customFormat="1">
      <c r="A259" s="161"/>
      <c r="B259" s="3"/>
      <c r="C259" s="3"/>
      <c r="D259" s="3"/>
      <c r="E259" s="3"/>
      <c r="F259" s="3"/>
      <c r="G259" s="10"/>
      <c r="H259" s="3"/>
      <c r="J259" s="3"/>
      <c r="K259" s="3"/>
      <c r="L259" s="3"/>
      <c r="M259" s="3"/>
      <c r="N259" s="3"/>
      <c r="O259" s="3"/>
      <c r="P259" s="3"/>
      <c r="Q259" s="44"/>
      <c r="R259" s="44"/>
    </row>
  </sheetData>
  <sheetProtection algorithmName="SHA-512" hashValue="AHJyZCFctkCUpbUJl1rtmF7zU4GuGQa+Ucool9obOHart75uOc1NJf7olZBi6YjpEm4Reyyf2AvYOybZoRULqQ==" saltValue="0CgsLtDC6YZHcxO635L8Zw==" spinCount="100000" sheet="1" selectLockedCells="1"/>
  <mergeCells count="236">
    <mergeCell ref="B138:C138"/>
    <mergeCell ref="B135:C135"/>
    <mergeCell ref="B134:C134"/>
    <mergeCell ref="B139:C139"/>
    <mergeCell ref="H174:H175"/>
    <mergeCell ref="B175:C175"/>
    <mergeCell ref="H176:H177"/>
    <mergeCell ref="B181:C181"/>
    <mergeCell ref="A184:B185"/>
    <mergeCell ref="C184:C185"/>
    <mergeCell ref="D184:D185"/>
    <mergeCell ref="E184:F184"/>
    <mergeCell ref="G184:G185"/>
    <mergeCell ref="H184:H185"/>
    <mergeCell ref="A176:A177"/>
    <mergeCell ref="B176:C176"/>
    <mergeCell ref="D176:D177"/>
    <mergeCell ref="E176:E177"/>
    <mergeCell ref="F176:F177"/>
    <mergeCell ref="G176:G177"/>
    <mergeCell ref="F174:F175"/>
    <mergeCell ref="G174:G175"/>
    <mergeCell ref="A160:A161"/>
    <mergeCell ref="B160:C161"/>
    <mergeCell ref="B16:C16"/>
    <mergeCell ref="B32:D32"/>
    <mergeCell ref="B53:D53"/>
    <mergeCell ref="B54:D54"/>
    <mergeCell ref="B65:C65"/>
    <mergeCell ref="B99:D99"/>
    <mergeCell ref="B109:D109"/>
    <mergeCell ref="E98:E99"/>
    <mergeCell ref="F98:F99"/>
    <mergeCell ref="B96:D96"/>
    <mergeCell ref="B47:D47"/>
    <mergeCell ref="B50:D50"/>
    <mergeCell ref="B49:D49"/>
    <mergeCell ref="B56:D56"/>
    <mergeCell ref="B57:D57"/>
    <mergeCell ref="E100:E101"/>
    <mergeCell ref="F100:F101"/>
    <mergeCell ref="B58:D58"/>
    <mergeCell ref="A61:B62"/>
    <mergeCell ref="D61:D62"/>
    <mergeCell ref="A103:A104"/>
    <mergeCell ref="E103:E104"/>
    <mergeCell ref="F103:F104"/>
    <mergeCell ref="A98:A99"/>
    <mergeCell ref="D69:D72"/>
    <mergeCell ref="B72:C72"/>
    <mergeCell ref="A4:B4"/>
    <mergeCell ref="D7:G7"/>
    <mergeCell ref="A7:B7"/>
    <mergeCell ref="B20:C20"/>
    <mergeCell ref="B21:C21"/>
    <mergeCell ref="B69:C69"/>
    <mergeCell ref="B44:D44"/>
    <mergeCell ref="B37:D37"/>
    <mergeCell ref="B68:C68"/>
    <mergeCell ref="B66:C66"/>
    <mergeCell ref="B22:C22"/>
    <mergeCell ref="D11:D12"/>
    <mergeCell ref="E11:E12"/>
    <mergeCell ref="F11:F12"/>
    <mergeCell ref="B14:C14"/>
    <mergeCell ref="B15:C15"/>
    <mergeCell ref="A11:B12"/>
    <mergeCell ref="B17:C17"/>
    <mergeCell ref="B19:C19"/>
    <mergeCell ref="B41:D41"/>
    <mergeCell ref="B42:D42"/>
    <mergeCell ref="B40:D40"/>
    <mergeCell ref="B23:C23"/>
    <mergeCell ref="B24:C24"/>
    <mergeCell ref="B25:C25"/>
    <mergeCell ref="B106:D106"/>
    <mergeCell ref="B82:C82"/>
    <mergeCell ref="B84:C84"/>
    <mergeCell ref="B85:C85"/>
    <mergeCell ref="B86:C86"/>
    <mergeCell ref="A100:A101"/>
    <mergeCell ref="B100:D100"/>
    <mergeCell ref="B35:D35"/>
    <mergeCell ref="A38:A39"/>
    <mergeCell ref="B38:D39"/>
    <mergeCell ref="B103:D103"/>
    <mergeCell ref="B104:D104"/>
    <mergeCell ref="B64:C64"/>
    <mergeCell ref="B74:C74"/>
    <mergeCell ref="B81:C81"/>
    <mergeCell ref="B70:C70"/>
    <mergeCell ref="B71:C71"/>
    <mergeCell ref="B73:C73"/>
    <mergeCell ref="B77:C77"/>
    <mergeCell ref="B79:C79"/>
    <mergeCell ref="B67:C67"/>
    <mergeCell ref="A32:A33"/>
    <mergeCell ref="E32:E33"/>
    <mergeCell ref="F32:F33"/>
    <mergeCell ref="G32:G33"/>
    <mergeCell ref="H32:H33"/>
    <mergeCell ref="B33:D33"/>
    <mergeCell ref="E61:F61"/>
    <mergeCell ref="G61:G62"/>
    <mergeCell ref="H61:H62"/>
    <mergeCell ref="E38:E39"/>
    <mergeCell ref="H38:H39"/>
    <mergeCell ref="E40:E45"/>
    <mergeCell ref="H40:H45"/>
    <mergeCell ref="B43:D43"/>
    <mergeCell ref="B48:D48"/>
    <mergeCell ref="B45:D45"/>
    <mergeCell ref="E74:F74"/>
    <mergeCell ref="B76:C76"/>
    <mergeCell ref="B78:C78"/>
    <mergeCell ref="F127:F128"/>
    <mergeCell ref="G127:G128"/>
    <mergeCell ref="H127:H128"/>
    <mergeCell ref="B128:C128"/>
    <mergeCell ref="B127:C127"/>
    <mergeCell ref="G98:G99"/>
    <mergeCell ref="H98:H99"/>
    <mergeCell ref="B101:D101"/>
    <mergeCell ref="G100:G101"/>
    <mergeCell ref="H100:H101"/>
    <mergeCell ref="G103:G104"/>
    <mergeCell ref="H103:H104"/>
    <mergeCell ref="B115:D115"/>
    <mergeCell ref="B117:D117"/>
    <mergeCell ref="B118:D118"/>
    <mergeCell ref="B119:D119"/>
    <mergeCell ref="B125:C125"/>
    <mergeCell ref="D127:D128"/>
    <mergeCell ref="B107:D107"/>
    <mergeCell ref="B98:D98"/>
    <mergeCell ref="B108:D108"/>
    <mergeCell ref="Q106:Q107"/>
    <mergeCell ref="A131:A132"/>
    <mergeCell ref="B131:C131"/>
    <mergeCell ref="D131:D132"/>
    <mergeCell ref="E131:E132"/>
    <mergeCell ref="F131:F132"/>
    <mergeCell ref="G131:G132"/>
    <mergeCell ref="H131:H132"/>
    <mergeCell ref="B132:C132"/>
    <mergeCell ref="B110:D110"/>
    <mergeCell ref="B114:D114"/>
    <mergeCell ref="B113:D113"/>
    <mergeCell ref="B129:C129"/>
    <mergeCell ref="A127:A128"/>
    <mergeCell ref="E127:E128"/>
    <mergeCell ref="E160:F160"/>
    <mergeCell ref="G160:G161"/>
    <mergeCell ref="H160:H161"/>
    <mergeCell ref="E161:F161"/>
    <mergeCell ref="B140:C140"/>
    <mergeCell ref="B141:C141"/>
    <mergeCell ref="B142:C142"/>
    <mergeCell ref="A145:B145"/>
    <mergeCell ref="F145:G145"/>
    <mergeCell ref="D147:D148"/>
    <mergeCell ref="E147:E148"/>
    <mergeCell ref="F147:G147"/>
    <mergeCell ref="F148:G148"/>
    <mergeCell ref="A151:B152"/>
    <mergeCell ref="C151:C152"/>
    <mergeCell ref="D151:D152"/>
    <mergeCell ref="E151:F151"/>
    <mergeCell ref="G151:G152"/>
    <mergeCell ref="H151:H152"/>
    <mergeCell ref="B155:C155"/>
    <mergeCell ref="B156:C156"/>
    <mergeCell ref="B157:C157"/>
    <mergeCell ref="B158:C158"/>
    <mergeCell ref="B159:C159"/>
    <mergeCell ref="A166:A167"/>
    <mergeCell ref="A196:B196"/>
    <mergeCell ref="B199:C199"/>
    <mergeCell ref="B201:C201"/>
    <mergeCell ref="A162:A165"/>
    <mergeCell ref="B162:C165"/>
    <mergeCell ref="E162:F162"/>
    <mergeCell ref="G162:G165"/>
    <mergeCell ref="H162:H165"/>
    <mergeCell ref="E163:F163"/>
    <mergeCell ref="E164:F164"/>
    <mergeCell ref="E165:F165"/>
    <mergeCell ref="E189:F189"/>
    <mergeCell ref="B187:C187"/>
    <mergeCell ref="B188:C188"/>
    <mergeCell ref="B189:C189"/>
    <mergeCell ref="D174:D175"/>
    <mergeCell ref="E174:E175"/>
    <mergeCell ref="B166:C167"/>
    <mergeCell ref="B171:C171"/>
    <mergeCell ref="B172:C172"/>
    <mergeCell ref="B177:C177"/>
    <mergeCell ref="B169:C169"/>
    <mergeCell ref="B170:C170"/>
    <mergeCell ref="B179:C179"/>
    <mergeCell ref="B180:C180"/>
    <mergeCell ref="A174:A175"/>
    <mergeCell ref="B174:C174"/>
    <mergeCell ref="G208:G209"/>
    <mergeCell ref="B203:C203"/>
    <mergeCell ref="B204:C204"/>
    <mergeCell ref="B205:C205"/>
    <mergeCell ref="H208:H209"/>
    <mergeCell ref="B212:C212"/>
    <mergeCell ref="B213:C213"/>
    <mergeCell ref="B214:C214"/>
    <mergeCell ref="B215:C215"/>
    <mergeCell ref="A208:B209"/>
    <mergeCell ref="C208:C209"/>
    <mergeCell ref="D208:D209"/>
    <mergeCell ref="E208:F208"/>
    <mergeCell ref="B218:C218"/>
    <mergeCell ref="B219:C219"/>
    <mergeCell ref="A222:B223"/>
    <mergeCell ref="C222:C223"/>
    <mergeCell ref="D222:D223"/>
    <mergeCell ref="E222:F222"/>
    <mergeCell ref="G222:G223"/>
    <mergeCell ref="H222:H223"/>
    <mergeCell ref="B217:C217"/>
    <mergeCell ref="B242:D242"/>
    <mergeCell ref="D247:F248"/>
    <mergeCell ref="B225:C225"/>
    <mergeCell ref="B226:C226"/>
    <mergeCell ref="A233:B233"/>
    <mergeCell ref="B235:D235"/>
    <mergeCell ref="B236:D236"/>
    <mergeCell ref="B237:D237"/>
    <mergeCell ref="B238:D238"/>
    <mergeCell ref="B239:D239"/>
    <mergeCell ref="B240:D240"/>
  </mergeCells>
  <dataValidations count="3">
    <dataValidation type="list" allowBlank="1" showInputMessage="1" showErrorMessage="1" sqref="A7" xr:uid="{07B7B32B-3152-47FD-8A27-BAA4F056DC63}">
      <formula1>$J$1:$J$7</formula1>
    </dataValidation>
    <dataValidation type="list" allowBlank="1" showInputMessage="1" showErrorMessage="1" sqref="E242" xr:uid="{2E4D7F10-EC24-4A1C-AB1C-25C2114FC64E}">
      <formula1>$J$242:$J$246</formula1>
    </dataValidation>
    <dataValidation type="list" allowBlank="1" showInputMessage="1" showErrorMessage="1" sqref="F148:G148" xr:uid="{C87AFECC-046F-4F40-AEFB-B9A52E7C8A58}">
      <formula1>$K$145:$P$145</formula1>
    </dataValidation>
  </dataValidations>
  <pageMargins left="0.25" right="0.25" top="0.75" bottom="0.75" header="0.3" footer="0.3"/>
  <pageSetup paperSize="9" scale="55" fitToHeight="4" orientation="portrait" r:id="rId1"/>
  <headerFooter>
    <oddFooter>&amp;F</oddFooter>
  </headerFooter>
  <rowBreaks count="3" manualBreakCount="3">
    <brk id="60" max="7" man="1"/>
    <brk id="121" max="7" man="1"/>
    <brk id="183"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A1:R259"/>
  <sheetViews>
    <sheetView zoomScale="80" zoomScaleNormal="80" zoomScaleSheetLayoutView="100" workbookViewId="0">
      <selection activeCell="A7" sqref="A7:B7"/>
    </sheetView>
  </sheetViews>
  <sheetFormatPr defaultColWidth="9.109375" defaultRowHeight="15"/>
  <cols>
    <col min="1" max="1" width="7" style="160"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29" style="3" hidden="1" customWidth="1"/>
    <col min="10" max="10" width="45.6640625" style="3" hidden="1" customWidth="1"/>
    <col min="11" max="15" width="9.109375" style="3" hidden="1" customWidth="1"/>
    <col min="16" max="16" width="9.6640625" style="3" hidden="1" customWidth="1"/>
    <col min="17" max="17" width="9.109375" style="3" customWidth="1"/>
    <col min="18" max="16384" width="9.109375" style="3"/>
  </cols>
  <sheetData>
    <row r="1" spans="1:15" ht="15.6">
      <c r="A1" s="558" t="s">
        <v>89</v>
      </c>
      <c r="B1" s="559"/>
      <c r="C1" s="559"/>
      <c r="D1" s="559"/>
      <c r="E1" s="559"/>
      <c r="F1" s="559"/>
      <c r="G1" s="559"/>
      <c r="H1" s="560"/>
      <c r="J1" s="3" t="s">
        <v>40</v>
      </c>
    </row>
    <row r="2" spans="1:15">
      <c r="A2" s="561"/>
      <c r="B2" s="264"/>
      <c r="C2" s="264"/>
      <c r="D2" s="264"/>
      <c r="E2" s="264"/>
      <c r="F2" s="264"/>
      <c r="G2" s="265"/>
      <c r="H2" s="562"/>
      <c r="I2" s="6"/>
      <c r="J2" s="6" t="s">
        <v>384</v>
      </c>
    </row>
    <row r="3" spans="1:15" ht="15.6">
      <c r="A3" s="563" t="s">
        <v>336</v>
      </c>
      <c r="B3" s="264"/>
      <c r="C3" s="264"/>
      <c r="D3" s="331" t="s">
        <v>134</v>
      </c>
      <c r="E3" s="331" t="s">
        <v>135</v>
      </c>
      <c r="F3" s="331" t="s">
        <v>136</v>
      </c>
      <c r="G3" s="289" t="s">
        <v>104</v>
      </c>
      <c r="H3" s="564" t="s">
        <v>62</v>
      </c>
      <c r="I3" s="6"/>
      <c r="J3" s="6" t="s">
        <v>44</v>
      </c>
    </row>
    <row r="4" spans="1:15" ht="15.6">
      <c r="A4" s="966">
        <f>Summary!A6</f>
        <v>0</v>
      </c>
      <c r="B4" s="967"/>
      <c r="C4" s="264"/>
      <c r="D4" s="74">
        <f>H89</f>
        <v>0</v>
      </c>
      <c r="E4" s="154">
        <f>H192</f>
        <v>0</v>
      </c>
      <c r="F4" s="129">
        <f>H229</f>
        <v>0</v>
      </c>
      <c r="G4" s="138">
        <f>H243</f>
        <v>0</v>
      </c>
      <c r="H4" s="565">
        <f>H245</f>
        <v>0</v>
      </c>
      <c r="I4" s="6"/>
      <c r="J4" s="6" t="s">
        <v>15</v>
      </c>
    </row>
    <row r="5" spans="1:15">
      <c r="A5" s="561"/>
      <c r="B5" s="264"/>
      <c r="C5" s="264"/>
      <c r="D5" s="264"/>
      <c r="E5" s="264"/>
      <c r="F5" s="264"/>
      <c r="G5" s="265"/>
      <c r="H5" s="562"/>
      <c r="I5" s="6"/>
      <c r="J5" s="6" t="s">
        <v>16</v>
      </c>
    </row>
    <row r="6" spans="1:15" s="4" customFormat="1" ht="15.6">
      <c r="A6" s="563" t="s">
        <v>90</v>
      </c>
      <c r="B6" s="296"/>
      <c r="C6" s="296"/>
      <c r="D6" s="297" t="s">
        <v>35</v>
      </c>
      <c r="E6" s="264"/>
      <c r="F6" s="264"/>
      <c r="G6" s="265"/>
      <c r="H6" s="562"/>
      <c r="I6" s="6"/>
      <c r="J6" s="6" t="s">
        <v>383</v>
      </c>
      <c r="K6" s="3"/>
      <c r="L6" s="3"/>
      <c r="M6" s="3"/>
    </row>
    <row r="7" spans="1:15" ht="15.75" customHeight="1">
      <c r="A7" s="976" t="s">
        <v>384</v>
      </c>
      <c r="B7" s="977"/>
      <c r="D7" s="761">
        <f>Summary!A85</f>
        <v>0</v>
      </c>
      <c r="E7" s="779"/>
      <c r="F7" s="779"/>
      <c r="G7" s="780"/>
      <c r="H7" s="566"/>
      <c r="I7" s="29"/>
      <c r="J7" s="29" t="s">
        <v>382</v>
      </c>
    </row>
    <row r="8" spans="1:15" ht="15.6" thickBot="1">
      <c r="A8" s="561"/>
      <c r="B8" s="298"/>
      <c r="C8" s="264"/>
      <c r="D8" s="264"/>
      <c r="E8" s="264"/>
      <c r="F8" s="264"/>
      <c r="G8" s="265"/>
      <c r="H8" s="562"/>
    </row>
    <row r="9" spans="1:15" ht="16.2" thickBot="1">
      <c r="A9" s="567" t="s">
        <v>125</v>
      </c>
      <c r="B9" s="140"/>
      <c r="C9" s="140"/>
      <c r="D9" s="140"/>
      <c r="E9" s="140"/>
      <c r="F9" s="141"/>
      <c r="G9" s="16"/>
      <c r="H9" s="568"/>
    </row>
    <row r="10" spans="1:15">
      <c r="A10" s="561"/>
      <c r="B10" s="299"/>
      <c r="C10" s="264"/>
      <c r="D10" s="264"/>
      <c r="E10" s="264"/>
      <c r="F10" s="264"/>
      <c r="G10" s="265"/>
      <c r="H10" s="562"/>
    </row>
    <row r="11" spans="1:15" ht="15.75" customHeight="1">
      <c r="A11" s="905" t="s">
        <v>0</v>
      </c>
      <c r="B11" s="906"/>
      <c r="C11" s="144"/>
      <c r="D11" s="883" t="s">
        <v>4</v>
      </c>
      <c r="E11" s="882" t="s">
        <v>80</v>
      </c>
      <c r="F11" s="882" t="s">
        <v>21</v>
      </c>
      <c r="G11" s="300"/>
      <c r="H11" s="569"/>
    </row>
    <row r="12" spans="1:15" ht="15.75" customHeight="1">
      <c r="A12" s="907"/>
      <c r="B12" s="908"/>
      <c r="C12" s="145"/>
      <c r="D12" s="884"/>
      <c r="E12" s="882"/>
      <c r="F12" s="882"/>
      <c r="G12" s="300"/>
      <c r="H12" s="569"/>
    </row>
    <row r="13" spans="1:15" s="29" customFormat="1" ht="15.6">
      <c r="A13" s="570" t="s">
        <v>127</v>
      </c>
      <c r="B13" s="167"/>
      <c r="C13" s="167"/>
      <c r="D13" s="167"/>
      <c r="E13" s="170"/>
      <c r="F13" s="170"/>
      <c r="G13" s="301"/>
      <c r="H13" s="571"/>
      <c r="N13" s="44"/>
      <c r="O13" s="44"/>
    </row>
    <row r="14" spans="1:15">
      <c r="A14" s="572">
        <v>1</v>
      </c>
      <c r="B14" s="826" t="s">
        <v>268</v>
      </c>
      <c r="C14" s="827"/>
      <c r="D14" s="511" t="s">
        <v>2</v>
      </c>
      <c r="E14" s="512" t="s">
        <v>49</v>
      </c>
      <c r="F14" s="30"/>
      <c r="G14" s="573" t="str">
        <f>IF(F14&lt;65%,"To comply with min. 65%"," ")</f>
        <v>To comply with min. 65%</v>
      </c>
      <c r="H14" s="574"/>
    </row>
    <row r="15" spans="1:15">
      <c r="A15" s="575">
        <v>2</v>
      </c>
      <c r="B15" s="826" t="s">
        <v>590</v>
      </c>
      <c r="C15" s="827"/>
      <c r="D15" s="513" t="s">
        <v>50</v>
      </c>
      <c r="E15" s="514" t="s">
        <v>49</v>
      </c>
      <c r="F15" s="553"/>
      <c r="G15" s="573" t="str">
        <f>IF(F15&lt;80%,"To comply with min. 80%"," ")</f>
        <v>To comply with min. 80%</v>
      </c>
      <c r="H15" s="562"/>
    </row>
    <row r="16" spans="1:15" ht="15" customHeight="1">
      <c r="A16" s="572">
        <v>3</v>
      </c>
      <c r="B16" s="826" t="s">
        <v>589</v>
      </c>
      <c r="C16" s="827"/>
      <c r="D16" s="513" t="s">
        <v>50</v>
      </c>
      <c r="E16" s="514" t="s">
        <v>49</v>
      </c>
      <c r="F16" s="553"/>
      <c r="G16" s="573" t="str">
        <f>IF(F16&lt;80%,"To comply with min. 80%"," ")</f>
        <v>To comply with min. 80%</v>
      </c>
      <c r="H16" s="569"/>
    </row>
    <row r="17" spans="1:18">
      <c r="A17" s="572">
        <v>4</v>
      </c>
      <c r="B17" s="826" t="s">
        <v>591</v>
      </c>
      <c r="C17" s="827"/>
      <c r="D17" s="515" t="s">
        <v>3</v>
      </c>
      <c r="E17" s="514" t="s">
        <v>49</v>
      </c>
      <c r="F17" s="553"/>
      <c r="G17" s="573" t="str">
        <f>IF(F17&lt;65%,"To comply with min. 65%"," ")</f>
        <v>To comply with min. 65%</v>
      </c>
      <c r="H17" s="569"/>
    </row>
    <row r="18" spans="1:18" s="29" customFormat="1" ht="15.6">
      <c r="A18" s="576" t="s">
        <v>126</v>
      </c>
      <c r="B18" s="167"/>
      <c r="C18" s="167"/>
      <c r="D18" s="167"/>
      <c r="E18" s="168"/>
      <c r="F18" s="169"/>
      <c r="G18" s="534"/>
      <c r="H18" s="571"/>
      <c r="J18" s="10"/>
      <c r="N18" s="44"/>
      <c r="O18" s="44"/>
    </row>
    <row r="19" spans="1:18" ht="32.25" customHeight="1">
      <c r="A19" s="577">
        <v>5</v>
      </c>
      <c r="B19" s="886" t="s">
        <v>269</v>
      </c>
      <c r="C19" s="887"/>
      <c r="D19" s="143" t="s">
        <v>3</v>
      </c>
      <c r="E19" s="537"/>
      <c r="F19" s="31">
        <f>IFERROR(E19/$F$120,0)</f>
        <v>0</v>
      </c>
      <c r="G19" s="573" t="str">
        <f>IF(OR($A$7=$J$2,$A$7=$J$3),IF(E19=0,"Please input wall length"," ")," ")</f>
        <v>Please input wall length</v>
      </c>
      <c r="H19" s="569"/>
    </row>
    <row r="20" spans="1:18">
      <c r="A20" s="577" t="s">
        <v>509</v>
      </c>
      <c r="B20" s="826" t="s">
        <v>270</v>
      </c>
      <c r="C20" s="827"/>
      <c r="D20" s="516" t="s">
        <v>50</v>
      </c>
      <c r="E20" s="514" t="s">
        <v>49</v>
      </c>
      <c r="F20" s="30"/>
      <c r="G20" s="573" t="str">
        <f>IF(OR($A$7=$J$2,$A$7=$J$3),IF(F20&lt;65%,"To comply with min. 65%"," ")," ")</f>
        <v>To comply with min. 65%</v>
      </c>
      <c r="H20" s="569"/>
    </row>
    <row r="21" spans="1:18">
      <c r="A21" s="577" t="s">
        <v>510</v>
      </c>
      <c r="B21" s="826" t="s">
        <v>592</v>
      </c>
      <c r="C21" s="827"/>
      <c r="D21" s="516" t="s">
        <v>50</v>
      </c>
      <c r="E21" s="514" t="s">
        <v>49</v>
      </c>
      <c r="F21" s="30"/>
      <c r="G21" s="573" t="str">
        <f>IF(OR($A$7=$J$2,$A$7=$J$3),IF(F21&lt;60%,"To comply with min. 60%"," ")," ")</f>
        <v>To comply with min. 60%</v>
      </c>
      <c r="H21" s="569"/>
    </row>
    <row r="22" spans="1:18">
      <c r="A22" s="577" t="s">
        <v>511</v>
      </c>
      <c r="B22" s="826" t="s">
        <v>593</v>
      </c>
      <c r="C22" s="827"/>
      <c r="D22" s="516" t="s">
        <v>50</v>
      </c>
      <c r="E22" s="514" t="s">
        <v>49</v>
      </c>
      <c r="F22" s="30"/>
      <c r="G22" s="573" t="str">
        <f>IF(OR($A$7=$J$2,$A$7=$J$3),IF(F22&lt;65%,"To comply with min. 65%"," ")," ")</f>
        <v>To comply with min. 65%</v>
      </c>
      <c r="H22" s="569"/>
    </row>
    <row r="23" spans="1:18">
      <c r="A23" s="577" t="s">
        <v>512</v>
      </c>
      <c r="B23" s="826" t="s">
        <v>594</v>
      </c>
      <c r="C23" s="827"/>
      <c r="D23" s="516" t="s">
        <v>50</v>
      </c>
      <c r="E23" s="514" t="s">
        <v>49</v>
      </c>
      <c r="F23" s="30"/>
      <c r="G23" s="573" t="str">
        <f>IF(OR($A$7=$J$2,$A$7=$J$3),IF(F23&lt;60%,"To comply with min. 60%"," ")," ")</f>
        <v>To comply with min. 60%</v>
      </c>
      <c r="H23" s="569"/>
    </row>
    <row r="24" spans="1:18">
      <c r="A24" s="577" t="s">
        <v>283</v>
      </c>
      <c r="B24" s="826" t="s">
        <v>595</v>
      </c>
      <c r="C24" s="827"/>
      <c r="D24" s="513" t="s">
        <v>50</v>
      </c>
      <c r="E24" s="514" t="s">
        <v>49</v>
      </c>
      <c r="F24" s="553"/>
      <c r="G24" s="573" t="str">
        <f>IF(OR($A$7=$J$2,$A$7=$J$3),IF(F24&lt;65%,"To comply with min. 65%"," ")," ")</f>
        <v>To comply with min. 65%</v>
      </c>
      <c r="H24" s="569"/>
    </row>
    <row r="25" spans="1:18">
      <c r="A25" s="577" t="s">
        <v>513</v>
      </c>
      <c r="B25" s="826" t="s">
        <v>596</v>
      </c>
      <c r="C25" s="827"/>
      <c r="D25" s="513" t="s">
        <v>50</v>
      </c>
      <c r="E25" s="514" t="s">
        <v>49</v>
      </c>
      <c r="F25" s="553"/>
      <c r="G25" s="573" t="str">
        <f>IF(OR($A$7=$J$2,$A$7=$J$3),IF(F25&lt;80%,"To comply with min. 80%"," ")," ")</f>
        <v>To comply with min. 80%</v>
      </c>
      <c r="H25" s="569"/>
    </row>
    <row r="26" spans="1:18">
      <c r="A26" s="561"/>
      <c r="B26" s="264"/>
      <c r="C26" s="264"/>
      <c r="D26" s="264"/>
      <c r="E26" s="264"/>
      <c r="F26" s="264"/>
      <c r="G26" s="265"/>
      <c r="H26" s="562"/>
      <c r="J26" s="6"/>
    </row>
    <row r="27" spans="1:18" ht="15.6">
      <c r="A27" s="578" t="s">
        <v>43</v>
      </c>
      <c r="B27" s="157"/>
      <c r="C27" s="157"/>
      <c r="D27" s="157"/>
      <c r="E27" s="157"/>
      <c r="F27" s="158" t="s">
        <v>42</v>
      </c>
      <c r="G27" s="159">
        <f>VLOOKUP($A$7,'Manpower allocation'!A4:D11,2,FALSE)*100</f>
        <v>45</v>
      </c>
      <c r="H27" s="579" t="s">
        <v>41</v>
      </c>
      <c r="I27" s="365">
        <f>VLOOKUP($A$7,'Manpower allocation'!A4:D11,2,FALSE)*100</f>
        <v>45</v>
      </c>
      <c r="J27" s="6"/>
    </row>
    <row r="28" spans="1:18" ht="15.6">
      <c r="A28" s="561"/>
      <c r="B28" s="302"/>
      <c r="C28" s="303"/>
      <c r="D28" s="264"/>
      <c r="E28" s="264"/>
      <c r="F28" s="264"/>
      <c r="G28" s="265"/>
      <c r="H28" s="562"/>
      <c r="J28" s="6"/>
    </row>
    <row r="29" spans="1:18" s="29" customFormat="1" ht="46.8">
      <c r="A29" s="580" t="s">
        <v>0</v>
      </c>
      <c r="B29" s="40"/>
      <c r="C29" s="40"/>
      <c r="D29" s="41"/>
      <c r="E29" s="42" t="s">
        <v>17</v>
      </c>
      <c r="F29" s="42" t="s">
        <v>113</v>
      </c>
      <c r="G29" s="42" t="s">
        <v>18</v>
      </c>
      <c r="H29" s="42" t="s">
        <v>52</v>
      </c>
      <c r="J29" s="43"/>
      <c r="Q29" s="44"/>
      <c r="R29" s="44"/>
    </row>
    <row r="30" spans="1:18" s="29" customFormat="1" ht="15.6">
      <c r="A30" s="581" t="s">
        <v>187</v>
      </c>
      <c r="B30" s="45" t="s">
        <v>203</v>
      </c>
      <c r="C30" s="46"/>
      <c r="D30" s="46"/>
      <c r="E30" s="47"/>
      <c r="F30" s="47"/>
      <c r="G30" s="47"/>
      <c r="H30" s="582"/>
      <c r="Q30" s="44"/>
      <c r="R30" s="44"/>
    </row>
    <row r="31" spans="1:18" s="29" customFormat="1" ht="15.6">
      <c r="A31" s="583">
        <v>1</v>
      </c>
      <c r="B31" s="39" t="s">
        <v>304</v>
      </c>
      <c r="C31" s="40"/>
      <c r="D31" s="48"/>
      <c r="E31" s="40"/>
      <c r="F31" s="49"/>
      <c r="G31" s="49"/>
      <c r="H31" s="584"/>
      <c r="Q31" s="44"/>
      <c r="R31" s="44"/>
    </row>
    <row r="32" spans="1:18" s="29" customFormat="1">
      <c r="A32" s="918">
        <v>1.1000000000000001</v>
      </c>
      <c r="B32" s="836" t="s">
        <v>271</v>
      </c>
      <c r="C32" s="885"/>
      <c r="D32" s="885"/>
      <c r="E32" s="811">
        <f>VLOOKUP(A32,'Point Allocation'!$A$5:$J$15,MATCH(A7,'Point Allocation'!$A$5:$J$5,0),0)</f>
        <v>45</v>
      </c>
      <c r="F32" s="812"/>
      <c r="G32" s="813">
        <f>IFERROR(F32/$F$59,0)</f>
        <v>0</v>
      </c>
      <c r="H32" s="811">
        <f>E32*G32</f>
        <v>0</v>
      </c>
      <c r="Q32" s="44"/>
      <c r="R32" s="44"/>
    </row>
    <row r="33" spans="1:18" s="29" customFormat="1" ht="15.6">
      <c r="A33" s="919"/>
      <c r="B33" s="810" t="s">
        <v>358</v>
      </c>
      <c r="C33" s="810"/>
      <c r="D33" s="810"/>
      <c r="E33" s="811"/>
      <c r="F33" s="812"/>
      <c r="G33" s="813">
        <f t="shared" ref="G33" si="0">IFERROR(F33/$F$59,0)</f>
        <v>0</v>
      </c>
      <c r="H33" s="811"/>
      <c r="Q33" s="44"/>
      <c r="R33" s="44"/>
    </row>
    <row r="34" spans="1:18" s="29" customFormat="1" ht="15.6">
      <c r="A34" s="583">
        <v>2</v>
      </c>
      <c r="B34" s="39" t="s">
        <v>305</v>
      </c>
      <c r="C34" s="50"/>
      <c r="D34" s="48"/>
      <c r="E34" s="51"/>
      <c r="F34" s="8"/>
      <c r="G34" s="22"/>
      <c r="H34" s="585"/>
      <c r="Q34" s="52"/>
      <c r="R34" s="44"/>
    </row>
    <row r="35" spans="1:18" s="29" customFormat="1">
      <c r="A35" s="586">
        <v>2.1</v>
      </c>
      <c r="B35" s="858" t="s">
        <v>192</v>
      </c>
      <c r="C35" s="859"/>
      <c r="D35" s="840"/>
      <c r="E35" s="20">
        <f>VLOOKUP(A35,'Point Allocation'!$A$5:$J$15,MATCH(A7,'Point Allocation'!$A$5:$J$5,0),0)</f>
        <v>42</v>
      </c>
      <c r="F35" s="537"/>
      <c r="G35" s="31">
        <f>IFERROR(F35/$F$59,0)</f>
        <v>0</v>
      </c>
      <c r="H35" s="20">
        <f>E35*G35</f>
        <v>0</v>
      </c>
      <c r="Q35" s="52"/>
      <c r="R35" s="44"/>
    </row>
    <row r="36" spans="1:18" s="29" customFormat="1" ht="15.6">
      <c r="A36" s="583">
        <v>3</v>
      </c>
      <c r="B36" s="39" t="s">
        <v>306</v>
      </c>
      <c r="C36" s="50"/>
      <c r="D36" s="48"/>
      <c r="E36" s="51"/>
      <c r="F36" s="8"/>
      <c r="G36" s="22"/>
      <c r="H36" s="585"/>
      <c r="Q36" s="52"/>
      <c r="R36" s="44"/>
    </row>
    <row r="37" spans="1:18" s="29" customFormat="1" ht="15" customHeight="1">
      <c r="A37" s="586">
        <v>3.1</v>
      </c>
      <c r="B37" s="858" t="s">
        <v>640</v>
      </c>
      <c r="C37" s="859"/>
      <c r="D37" s="840"/>
      <c r="E37" s="20">
        <f>VLOOKUP(A37,'Point Allocation'!$A$5:$J$15,MATCH(A7,'Point Allocation'!$A$5:$J$5,0),0)</f>
        <v>39</v>
      </c>
      <c r="F37" s="37"/>
      <c r="G37" s="31">
        <f>IFERROR(F37/$F$59,0)</f>
        <v>0</v>
      </c>
      <c r="H37" s="546">
        <f>E37*G37</f>
        <v>0</v>
      </c>
      <c r="Q37" s="52"/>
      <c r="R37" s="44"/>
    </row>
    <row r="38" spans="1:18" s="29" customFormat="1" ht="31.5" customHeight="1">
      <c r="A38" s="909">
        <v>3.2</v>
      </c>
      <c r="B38" s="863" t="s">
        <v>296</v>
      </c>
      <c r="C38" s="911"/>
      <c r="D38" s="864"/>
      <c r="E38" s="828">
        <f>VLOOKUP(A38,'Point Allocation'!$A$5:$J$15,MATCH(A7,'Point Allocation'!$A$5:$J$5,0),0)</f>
        <v>39</v>
      </c>
      <c r="F38" s="37"/>
      <c r="G38" s="31">
        <f>IFERROR(F38/$F$59,0)</f>
        <v>0</v>
      </c>
      <c r="H38" s="828">
        <f>IF(SUM(I40:I45)&gt;=4,E38*G38,0)</f>
        <v>0</v>
      </c>
      <c r="Q38" s="52"/>
      <c r="R38" s="44"/>
    </row>
    <row r="39" spans="1:18" s="29" customFormat="1" ht="46.95" customHeight="1">
      <c r="A39" s="910"/>
      <c r="B39" s="912"/>
      <c r="C39" s="913"/>
      <c r="D39" s="914"/>
      <c r="E39" s="829"/>
      <c r="F39" s="521" t="s">
        <v>601</v>
      </c>
      <c r="G39" s="53" t="s">
        <v>116</v>
      </c>
      <c r="H39" s="829"/>
      <c r="Q39" s="52"/>
      <c r="R39" s="44"/>
    </row>
    <row r="40" spans="1:18" s="29" customFormat="1" ht="112.2" customHeight="1">
      <c r="A40" s="587" t="s">
        <v>181</v>
      </c>
      <c r="B40" s="830" t="s">
        <v>323</v>
      </c>
      <c r="C40" s="831"/>
      <c r="D40" s="832"/>
      <c r="E40" s="900"/>
      <c r="F40" s="536" t="s">
        <v>609</v>
      </c>
      <c r="G40" s="552"/>
      <c r="H40" s="889"/>
      <c r="I40" s="54">
        <f t="shared" ref="I40:I45" si="1">IF(G40&gt;=65%,1,0)</f>
        <v>0</v>
      </c>
      <c r="Q40" s="52"/>
      <c r="R40" s="44"/>
    </row>
    <row r="41" spans="1:18" s="29" customFormat="1" ht="63" customHeight="1">
      <c r="A41" s="587" t="s">
        <v>182</v>
      </c>
      <c r="B41" s="833" t="s">
        <v>204</v>
      </c>
      <c r="C41" s="834"/>
      <c r="D41" s="835"/>
      <c r="E41" s="900"/>
      <c r="F41" s="483" t="s">
        <v>598</v>
      </c>
      <c r="G41" s="553"/>
      <c r="H41" s="889"/>
      <c r="I41" s="54">
        <f t="shared" si="1"/>
        <v>0</v>
      </c>
      <c r="Q41" s="52"/>
      <c r="R41" s="44"/>
    </row>
    <row r="42" spans="1:18" s="29" customFormat="1" ht="48.75" customHeight="1">
      <c r="A42" s="587" t="s">
        <v>190</v>
      </c>
      <c r="B42" s="833" t="s">
        <v>205</v>
      </c>
      <c r="C42" s="834"/>
      <c r="D42" s="835"/>
      <c r="E42" s="900"/>
      <c r="F42" s="483" t="s">
        <v>611</v>
      </c>
      <c r="G42" s="553"/>
      <c r="H42" s="889"/>
      <c r="I42" s="54">
        <f t="shared" si="1"/>
        <v>0</v>
      </c>
      <c r="Q42" s="52"/>
      <c r="R42" s="44"/>
    </row>
    <row r="43" spans="1:18" s="29" customFormat="1" ht="45">
      <c r="A43" s="587" t="s">
        <v>183</v>
      </c>
      <c r="B43" s="833" t="s">
        <v>206</v>
      </c>
      <c r="C43" s="834"/>
      <c r="D43" s="835"/>
      <c r="E43" s="900"/>
      <c r="F43" s="483" t="s">
        <v>597</v>
      </c>
      <c r="G43" s="553"/>
      <c r="H43" s="889"/>
      <c r="I43" s="54">
        <f t="shared" si="1"/>
        <v>0</v>
      </c>
      <c r="Q43" s="52"/>
      <c r="R43" s="44"/>
    </row>
    <row r="44" spans="1:18" s="29" customFormat="1" ht="63" customHeight="1">
      <c r="A44" s="587" t="s">
        <v>191</v>
      </c>
      <c r="B44" s="833" t="s">
        <v>207</v>
      </c>
      <c r="C44" s="834"/>
      <c r="D44" s="835"/>
      <c r="E44" s="900"/>
      <c r="F44" s="483" t="s">
        <v>599</v>
      </c>
      <c r="G44" s="553"/>
      <c r="H44" s="889"/>
      <c r="I44" s="54">
        <f t="shared" si="1"/>
        <v>0</v>
      </c>
      <c r="Q44" s="52"/>
      <c r="R44" s="44"/>
    </row>
    <row r="45" spans="1:18" s="29" customFormat="1" ht="31.5" customHeight="1">
      <c r="A45" s="587" t="s">
        <v>184</v>
      </c>
      <c r="B45" s="915" t="s">
        <v>610</v>
      </c>
      <c r="C45" s="916"/>
      <c r="D45" s="886"/>
      <c r="E45" s="901"/>
      <c r="F45" s="483" t="s">
        <v>600</v>
      </c>
      <c r="G45" s="553"/>
      <c r="H45" s="829"/>
      <c r="I45" s="54">
        <f t="shared" si="1"/>
        <v>0</v>
      </c>
      <c r="Q45" s="52"/>
      <c r="R45" s="44"/>
    </row>
    <row r="46" spans="1:18" s="29" customFormat="1" ht="15.6">
      <c r="A46" s="583" t="s">
        <v>185</v>
      </c>
      <c r="B46" s="39" t="s">
        <v>307</v>
      </c>
      <c r="C46" s="55"/>
      <c r="D46" s="48"/>
      <c r="E46" s="51"/>
      <c r="F46" s="36"/>
      <c r="G46" s="23"/>
      <c r="H46" s="588"/>
      <c r="Q46" s="52"/>
      <c r="R46" s="44"/>
    </row>
    <row r="47" spans="1:18" s="29" customFormat="1" ht="31.5" customHeight="1">
      <c r="A47" s="543">
        <v>4.0999999999999996</v>
      </c>
      <c r="B47" s="858" t="s">
        <v>602</v>
      </c>
      <c r="C47" s="859"/>
      <c r="D47" s="840"/>
      <c r="E47" s="20">
        <f>VLOOKUP(A47,'Point Allocation'!$A$5:$J$15,MATCH(A7,'Point Allocation'!$A$5:$J$5,0),0)</f>
        <v>35</v>
      </c>
      <c r="F47" s="537"/>
      <c r="G47" s="31">
        <f>IFERROR(F47/$F$59,0)</f>
        <v>0</v>
      </c>
      <c r="H47" s="20">
        <f>E47*G47</f>
        <v>0</v>
      </c>
      <c r="Q47" s="52"/>
      <c r="R47" s="44"/>
    </row>
    <row r="48" spans="1:18" s="29" customFormat="1">
      <c r="A48" s="589">
        <v>4.2</v>
      </c>
      <c r="B48" s="825" t="s">
        <v>313</v>
      </c>
      <c r="C48" s="826"/>
      <c r="D48" s="827"/>
      <c r="E48" s="20">
        <f>VLOOKUP(A48,'Point Allocation'!$A$5:$J$15,MATCH(A7,'Point Allocation'!$A$5:$J$5,0),0)</f>
        <v>35</v>
      </c>
      <c r="F48" s="537"/>
      <c r="G48" s="31">
        <f>IFERROR(F48/$F$59,0)</f>
        <v>0</v>
      </c>
      <c r="H48" s="20">
        <f>E48*G48</f>
        <v>0</v>
      </c>
      <c r="Q48" s="52"/>
      <c r="R48" s="44"/>
    </row>
    <row r="49" spans="1:18" s="29" customFormat="1">
      <c r="A49" s="589">
        <v>4.3</v>
      </c>
      <c r="B49" s="902" t="s">
        <v>311</v>
      </c>
      <c r="C49" s="903"/>
      <c r="D49" s="904"/>
      <c r="E49" s="20">
        <f>VLOOKUP(A49,'Point Allocation'!$A$5:$J$15,MATCH(A7,'Point Allocation'!$A$5:$J$5,0),0)</f>
        <v>28</v>
      </c>
      <c r="F49" s="537"/>
      <c r="G49" s="31">
        <f>IFERROR(F49/$F$59,0)</f>
        <v>0</v>
      </c>
      <c r="H49" s="20">
        <f>E49*G49</f>
        <v>0</v>
      </c>
      <c r="Q49" s="52"/>
      <c r="R49" s="44"/>
    </row>
    <row r="50" spans="1:18" s="29" customFormat="1">
      <c r="A50" s="543">
        <v>4.4000000000000004</v>
      </c>
      <c r="B50" s="858" t="s">
        <v>312</v>
      </c>
      <c r="C50" s="859"/>
      <c r="D50" s="840"/>
      <c r="E50" s="20">
        <f>VLOOKUP(A50,'Point Allocation'!$A$5:$J$15,MATCH(A7,'Point Allocation'!$A$5:$J$5,0),0)</f>
        <v>28</v>
      </c>
      <c r="F50" s="537"/>
      <c r="G50" s="31">
        <f>IFERROR(F50/$F$59,0)</f>
        <v>0</v>
      </c>
      <c r="H50" s="20">
        <f>E50*G50</f>
        <v>0</v>
      </c>
      <c r="Q50" s="52"/>
      <c r="R50" s="44"/>
    </row>
    <row r="51" spans="1:18" s="58" customFormat="1" ht="15.6">
      <c r="A51" s="581" t="s">
        <v>186</v>
      </c>
      <c r="B51" s="45" t="s">
        <v>200</v>
      </c>
      <c r="C51" s="56"/>
      <c r="D51" s="57"/>
      <c r="E51" s="7"/>
      <c r="F51" s="7"/>
      <c r="G51" s="24"/>
      <c r="H51" s="590"/>
      <c r="I51" s="29"/>
      <c r="J51" s="29"/>
      <c r="K51" s="29"/>
      <c r="L51" s="29"/>
      <c r="M51" s="29"/>
      <c r="Q51" s="59"/>
    </row>
    <row r="52" spans="1:18" s="58" customFormat="1" ht="15.6">
      <c r="A52" s="39">
        <v>5</v>
      </c>
      <c r="B52" s="39" t="s">
        <v>201</v>
      </c>
      <c r="C52" s="48"/>
      <c r="D52" s="48"/>
      <c r="E52" s="8"/>
      <c r="F52" s="8"/>
      <c r="G52" s="22"/>
      <c r="H52" s="588"/>
      <c r="I52" s="29"/>
      <c r="J52" s="29"/>
      <c r="K52" s="29"/>
      <c r="L52" s="29"/>
      <c r="M52" s="29"/>
      <c r="Q52" s="59"/>
    </row>
    <row r="53" spans="1:18" s="29" customFormat="1">
      <c r="A53" s="541">
        <v>5.0999999999999996</v>
      </c>
      <c r="B53" s="822" t="s">
        <v>193</v>
      </c>
      <c r="C53" s="823"/>
      <c r="D53" s="824"/>
      <c r="E53" s="20">
        <f>VLOOKUP(A53,'Point Allocation'!$A$5:$J$15,MATCH(A7,'Point Allocation'!$A$5:$J$5,0),0)</f>
        <v>22</v>
      </c>
      <c r="F53" s="537"/>
      <c r="G53" s="31">
        <f>IFERROR(F53/$F$59,0)</f>
        <v>0</v>
      </c>
      <c r="H53" s="20">
        <f>E53*G53</f>
        <v>0</v>
      </c>
      <c r="Q53" s="52"/>
      <c r="R53" s="44"/>
    </row>
    <row r="54" spans="1:18" s="29" customFormat="1">
      <c r="A54" s="541">
        <v>5.2</v>
      </c>
      <c r="B54" s="822" t="s">
        <v>142</v>
      </c>
      <c r="C54" s="823"/>
      <c r="D54" s="824"/>
      <c r="E54" s="20">
        <f>VLOOKUP(A54,'Point Allocation'!$A$5:$J$15,MATCH(A7,'Point Allocation'!$A$5:$J$5,0),0)</f>
        <v>10</v>
      </c>
      <c r="F54" s="537"/>
      <c r="G54" s="31">
        <f>IFERROR(F54/$F$59,0)</f>
        <v>0</v>
      </c>
      <c r="H54" s="20">
        <f>E54*G54</f>
        <v>0</v>
      </c>
      <c r="Q54" s="52"/>
      <c r="R54" s="44"/>
    </row>
    <row r="55" spans="1:18" s="29" customFormat="1" ht="15.6">
      <c r="A55" s="60">
        <v>6</v>
      </c>
      <c r="B55" s="60" t="s">
        <v>202</v>
      </c>
      <c r="C55" s="48"/>
      <c r="D55" s="48"/>
      <c r="E55" s="8"/>
      <c r="F55" s="8"/>
      <c r="G55" s="22"/>
      <c r="H55" s="588"/>
      <c r="Q55" s="52"/>
      <c r="R55" s="44"/>
    </row>
    <row r="56" spans="1:18" s="29" customFormat="1">
      <c r="A56" s="591">
        <v>6.1</v>
      </c>
      <c r="B56" s="762"/>
      <c r="C56" s="763"/>
      <c r="D56" s="803"/>
      <c r="E56" s="537"/>
      <c r="F56" s="537"/>
      <c r="G56" s="31">
        <f>IFERROR(F56/$F$59,0)</f>
        <v>0</v>
      </c>
      <c r="H56" s="20">
        <f>E56*G56</f>
        <v>0</v>
      </c>
      <c r="Q56" s="52"/>
      <c r="R56" s="44"/>
    </row>
    <row r="57" spans="1:18" s="29" customFormat="1">
      <c r="A57" s="591">
        <v>6.2</v>
      </c>
      <c r="B57" s="762"/>
      <c r="C57" s="763"/>
      <c r="D57" s="803"/>
      <c r="E57" s="537"/>
      <c r="F57" s="537"/>
      <c r="G57" s="31">
        <f>IFERROR(F57/$F$59,0)</f>
        <v>0</v>
      </c>
      <c r="H57" s="20">
        <f>E57*G57</f>
        <v>0</v>
      </c>
      <c r="Q57" s="52"/>
      <c r="R57" s="44"/>
    </row>
    <row r="58" spans="1:18" s="29" customFormat="1">
      <c r="A58" s="591">
        <v>6.3</v>
      </c>
      <c r="B58" s="762"/>
      <c r="C58" s="763"/>
      <c r="D58" s="803"/>
      <c r="E58" s="537"/>
      <c r="F58" s="537"/>
      <c r="G58" s="31">
        <f>IFERROR(F58/$F$59,0)</f>
        <v>0</v>
      </c>
      <c r="H58" s="20">
        <f>E58*G58</f>
        <v>0</v>
      </c>
      <c r="Q58" s="52"/>
      <c r="R58" s="44"/>
    </row>
    <row r="59" spans="1:18" s="29" customFormat="1" ht="15.6">
      <c r="A59" s="592"/>
      <c r="B59" s="304"/>
      <c r="C59" s="305"/>
      <c r="D59" s="305"/>
      <c r="E59" s="306" t="s">
        <v>60</v>
      </c>
      <c r="F59" s="26">
        <f>SUM(F32,F35,F37,F38,F47,F48,F49,F50,F53,F54,F56,F57,F58)</f>
        <v>0</v>
      </c>
      <c r="G59" s="25">
        <f>SUM(G32,G35:G35,G37:G38,G47:G50,G53:G54,G56:G58)</f>
        <v>0</v>
      </c>
      <c r="H59" s="593">
        <f>IFERROR(SUM(H32:H58),0)</f>
        <v>0</v>
      </c>
      <c r="M59" s="61"/>
      <c r="Q59" s="52"/>
      <c r="R59" s="44"/>
    </row>
    <row r="60" spans="1:18" s="29" customFormat="1" ht="15.6" thickBot="1">
      <c r="A60" s="594"/>
      <c r="B60" s="361"/>
      <c r="C60" s="362"/>
      <c r="D60" s="362"/>
      <c r="E60" s="362"/>
      <c r="F60" s="362"/>
      <c r="G60" s="354"/>
      <c r="H60" s="595"/>
      <c r="Q60" s="52"/>
      <c r="R60" s="44"/>
    </row>
    <row r="61" spans="1:18" s="29" customFormat="1" ht="15.6">
      <c r="A61" s="896" t="s">
        <v>0</v>
      </c>
      <c r="B61" s="897"/>
      <c r="C61" s="461"/>
      <c r="D61" s="892" t="s">
        <v>4</v>
      </c>
      <c r="E61" s="894" t="s">
        <v>1</v>
      </c>
      <c r="F61" s="895"/>
      <c r="G61" s="890" t="s">
        <v>21</v>
      </c>
      <c r="H61" s="892" t="s">
        <v>62</v>
      </c>
      <c r="Q61" s="52"/>
      <c r="R61" s="44"/>
    </row>
    <row r="62" spans="1:18" s="29" customFormat="1" ht="31.2">
      <c r="A62" s="898"/>
      <c r="B62" s="899"/>
      <c r="C62" s="62"/>
      <c r="D62" s="893"/>
      <c r="E62" s="42" t="s">
        <v>117</v>
      </c>
      <c r="F62" s="42" t="s">
        <v>118</v>
      </c>
      <c r="G62" s="891"/>
      <c r="H62" s="893"/>
      <c r="I62" s="63"/>
      <c r="Q62" s="52"/>
      <c r="R62" s="44"/>
    </row>
    <row r="63" spans="1:18" s="29" customFormat="1" ht="15.6">
      <c r="A63" s="45" t="s">
        <v>208</v>
      </c>
      <c r="B63" s="45" t="s">
        <v>139</v>
      </c>
      <c r="C63" s="57"/>
      <c r="D63" s="64"/>
      <c r="E63" s="47"/>
      <c r="F63" s="47"/>
      <c r="G63" s="47"/>
      <c r="H63" s="596"/>
      <c r="I63" s="61"/>
      <c r="J63" s="61"/>
      <c r="K63" s="61"/>
      <c r="L63" s="61"/>
      <c r="Q63" s="52"/>
      <c r="R63" s="44"/>
    </row>
    <row r="64" spans="1:18" s="29" customFormat="1" ht="15" customHeight="1">
      <c r="A64" s="597" t="s">
        <v>314</v>
      </c>
      <c r="B64" s="837" t="s">
        <v>647</v>
      </c>
      <c r="C64" s="838"/>
      <c r="D64" s="5" t="s">
        <v>50</v>
      </c>
      <c r="E64" s="9">
        <v>3</v>
      </c>
      <c r="F64" s="9">
        <v>4</v>
      </c>
      <c r="G64" s="30"/>
      <c r="H64" s="20">
        <f>IF(G64&gt;=80%,F64,IF(G64&lt;65%,0,E64))</f>
        <v>0</v>
      </c>
      <c r="Q64" s="52"/>
      <c r="R64" s="44"/>
    </row>
    <row r="65" spans="1:18" s="29" customFormat="1">
      <c r="A65" s="597" t="s">
        <v>315</v>
      </c>
      <c r="B65" s="837" t="s">
        <v>646</v>
      </c>
      <c r="C65" s="838"/>
      <c r="D65" s="5" t="s">
        <v>50</v>
      </c>
      <c r="E65" s="9">
        <v>3</v>
      </c>
      <c r="F65" s="9">
        <v>4</v>
      </c>
      <c r="G65" s="30"/>
      <c r="H65" s="20">
        <f>IF(G65&gt;=80%,F65,IF(G65&lt;65%,0,E65))</f>
        <v>0</v>
      </c>
      <c r="Q65" s="52"/>
      <c r="R65" s="44"/>
    </row>
    <row r="66" spans="1:18" s="29" customFormat="1">
      <c r="A66" s="598" t="s">
        <v>316</v>
      </c>
      <c r="B66" s="837" t="s">
        <v>641</v>
      </c>
      <c r="C66" s="838"/>
      <c r="D66" s="5" t="s">
        <v>50</v>
      </c>
      <c r="E66" s="9">
        <v>3</v>
      </c>
      <c r="F66" s="9">
        <v>4</v>
      </c>
      <c r="G66" s="30"/>
      <c r="H66" s="20">
        <f>IF(G66&gt;=80%,F66,IF(G66&lt;65%,0,E66))</f>
        <v>0</v>
      </c>
      <c r="Q66" s="52"/>
      <c r="R66" s="44"/>
    </row>
    <row r="67" spans="1:18" s="29" customFormat="1" ht="51" customHeight="1">
      <c r="A67" s="597">
        <v>7.2</v>
      </c>
      <c r="B67" s="841" t="s">
        <v>319</v>
      </c>
      <c r="C67" s="841"/>
      <c r="D67" s="385" t="s">
        <v>50</v>
      </c>
      <c r="E67" s="546">
        <v>2</v>
      </c>
      <c r="F67" s="546">
        <v>2.5</v>
      </c>
      <c r="G67" s="518"/>
      <c r="H67" s="546">
        <f>IF(H38&gt;0,0,IF(G67&gt;=80%,F67,IF(G67&lt;65%,0,E67)))</f>
        <v>0</v>
      </c>
      <c r="I67" s="11"/>
      <c r="J67" s="11"/>
      <c r="K67" s="11"/>
      <c r="Q67" s="52"/>
      <c r="R67" s="44"/>
    </row>
    <row r="68" spans="1:18" s="29" customFormat="1" ht="15" customHeight="1">
      <c r="A68" s="597">
        <v>7.3</v>
      </c>
      <c r="B68" s="858" t="s">
        <v>215</v>
      </c>
      <c r="C68" s="859"/>
      <c r="D68" s="353"/>
      <c r="E68" s="353"/>
      <c r="F68" s="353"/>
      <c r="G68" s="519"/>
      <c r="H68" s="599"/>
      <c r="I68" s="11"/>
      <c r="J68" s="11"/>
      <c r="K68" s="11"/>
      <c r="Q68" s="52"/>
      <c r="R68" s="44"/>
    </row>
    <row r="69" spans="1:18" s="29" customFormat="1" ht="32.25" customHeight="1">
      <c r="A69" s="598" t="s">
        <v>209</v>
      </c>
      <c r="B69" s="839" t="s">
        <v>216</v>
      </c>
      <c r="C69" s="840"/>
      <c r="D69" s="980" t="s">
        <v>50</v>
      </c>
      <c r="E69" s="279">
        <v>1</v>
      </c>
      <c r="F69" s="279">
        <v>1.5</v>
      </c>
      <c r="G69" s="553"/>
      <c r="H69" s="279">
        <f>IF(H32+H38&gt;0,0.5,IF(G69&gt;=80%,F69,IF(G69&lt;65%,0,E69)))</f>
        <v>0</v>
      </c>
      <c r="J69" s="11"/>
      <c r="K69" s="11"/>
      <c r="Q69" s="52"/>
      <c r="R69" s="44"/>
    </row>
    <row r="70" spans="1:18" s="29" customFormat="1" ht="47.25" customHeight="1">
      <c r="A70" s="598" t="s">
        <v>210</v>
      </c>
      <c r="B70" s="839" t="s">
        <v>217</v>
      </c>
      <c r="C70" s="840"/>
      <c r="D70" s="981"/>
      <c r="E70" s="279">
        <v>1</v>
      </c>
      <c r="F70" s="279">
        <v>1.5</v>
      </c>
      <c r="G70" s="553"/>
      <c r="H70" s="279">
        <f>IF(H32+H38&gt;0,0.5,IF(G70&gt;=80%,F70,IF(G70&lt;65%,0,E70)))</f>
        <v>0</v>
      </c>
      <c r="Q70" s="52"/>
      <c r="R70" s="44"/>
    </row>
    <row r="71" spans="1:18" s="29" customFormat="1">
      <c r="A71" s="598" t="s">
        <v>222</v>
      </c>
      <c r="B71" s="839" t="s">
        <v>218</v>
      </c>
      <c r="C71" s="840"/>
      <c r="D71" s="981"/>
      <c r="E71" s="279">
        <v>1</v>
      </c>
      <c r="F71" s="279">
        <v>1.5</v>
      </c>
      <c r="G71" s="553"/>
      <c r="H71" s="279">
        <f>IF(H32+H38&gt;0,0.5,IF(G71&gt;=80%,F71,IF(G71&lt;65%,0,E71)))</f>
        <v>0</v>
      </c>
      <c r="Q71" s="52"/>
      <c r="R71" s="44"/>
    </row>
    <row r="72" spans="1:18" s="29" customFormat="1" ht="46.5" customHeight="1">
      <c r="A72" s="598" t="s">
        <v>211</v>
      </c>
      <c r="B72" s="839" t="s">
        <v>219</v>
      </c>
      <c r="C72" s="840"/>
      <c r="D72" s="982"/>
      <c r="E72" s="279">
        <v>1</v>
      </c>
      <c r="F72" s="279">
        <v>1.5</v>
      </c>
      <c r="G72" s="553"/>
      <c r="H72" s="279">
        <f>IF(H32+H38&gt;0,0.5,IF(G72&gt;=80%,F72,IF(G72&lt;65%,0,E72)))</f>
        <v>0</v>
      </c>
      <c r="Q72" s="52"/>
      <c r="R72" s="44"/>
    </row>
    <row r="73" spans="1:18" s="29" customFormat="1">
      <c r="A73" s="597">
        <v>7.4</v>
      </c>
      <c r="B73" s="923" t="s">
        <v>393</v>
      </c>
      <c r="C73" s="923"/>
      <c r="D73" s="332" t="s">
        <v>2</v>
      </c>
      <c r="E73" s="279">
        <v>1</v>
      </c>
      <c r="F73" s="279">
        <v>1.5</v>
      </c>
      <c r="G73" s="553"/>
      <c r="H73" s="279">
        <f>IF(G73&gt;=80%,F73,IF(G73&lt;65%,0,E73))</f>
        <v>0</v>
      </c>
      <c r="Q73" s="52"/>
      <c r="R73" s="44"/>
    </row>
    <row r="74" spans="1:18" s="29" customFormat="1" ht="15" customHeight="1">
      <c r="A74" s="600">
        <v>7.5</v>
      </c>
      <c r="B74" s="928" t="s">
        <v>380</v>
      </c>
      <c r="C74" s="928"/>
      <c r="D74" s="490" t="s">
        <v>377</v>
      </c>
      <c r="E74" s="979">
        <v>2</v>
      </c>
      <c r="F74" s="979"/>
      <c r="G74" s="552"/>
      <c r="H74" s="557">
        <f>IF(G74&gt;=5%,E74,0)</f>
        <v>0</v>
      </c>
      <c r="Q74" s="52"/>
      <c r="R74" s="44"/>
    </row>
    <row r="75" spans="1:18" s="29" customFormat="1" ht="15.6">
      <c r="A75" s="66" t="s">
        <v>212</v>
      </c>
      <c r="B75" s="66" t="s">
        <v>517</v>
      </c>
      <c r="C75" s="67"/>
      <c r="D75" s="68"/>
      <c r="E75" s="69"/>
      <c r="F75" s="69"/>
      <c r="G75" s="69"/>
      <c r="H75" s="601"/>
      <c r="Q75" s="52"/>
      <c r="R75" s="44"/>
    </row>
    <row r="76" spans="1:18" s="29" customFormat="1">
      <c r="A76" s="597">
        <v>8.1</v>
      </c>
      <c r="B76" s="836" t="s">
        <v>220</v>
      </c>
      <c r="C76" s="836"/>
      <c r="D76" s="5" t="s">
        <v>50</v>
      </c>
      <c r="E76" s="20">
        <v>2</v>
      </c>
      <c r="F76" s="20">
        <v>2.5</v>
      </c>
      <c r="G76" s="553"/>
      <c r="H76" s="20">
        <f>IF(G76&gt;=80%,F76,IF(G76&lt;65%,0,E76))</f>
        <v>0</v>
      </c>
      <c r="I76" s="70"/>
      <c r="Q76" s="52"/>
      <c r="R76" s="44"/>
    </row>
    <row r="77" spans="1:18" s="29" customFormat="1">
      <c r="A77" s="597">
        <v>8.1999999999999993</v>
      </c>
      <c r="B77" s="836" t="s">
        <v>221</v>
      </c>
      <c r="C77" s="836"/>
      <c r="D77" s="5" t="s">
        <v>50</v>
      </c>
      <c r="E77" s="20">
        <v>2</v>
      </c>
      <c r="F77" s="20">
        <v>2.5</v>
      </c>
      <c r="G77" s="553"/>
      <c r="H77" s="20">
        <f>IF(G77&gt;=80%,F77,IF(G77&lt;65%,0,E77))</f>
        <v>0</v>
      </c>
      <c r="I77" s="11"/>
      <c r="J77" s="11"/>
      <c r="K77" s="11"/>
      <c r="Q77" s="52"/>
      <c r="R77" s="44"/>
    </row>
    <row r="78" spans="1:18" s="29" customFormat="1" ht="30.6" customHeight="1">
      <c r="A78" s="602">
        <v>8.3000000000000007</v>
      </c>
      <c r="B78" s="825" t="s">
        <v>607</v>
      </c>
      <c r="C78" s="827"/>
      <c r="D78" s="420" t="s">
        <v>50</v>
      </c>
      <c r="E78" s="434">
        <v>2</v>
      </c>
      <c r="F78" s="434">
        <v>2.5</v>
      </c>
      <c r="G78" s="553"/>
      <c r="H78" s="279">
        <f>IF(H76&gt;0,0,IF(G78&gt;=80%,F78,IF(G78&lt;65%,0,E78)))</f>
        <v>0</v>
      </c>
      <c r="I78" s="11"/>
      <c r="J78" s="11"/>
      <c r="K78" s="11"/>
      <c r="Q78" s="52"/>
      <c r="R78" s="44"/>
    </row>
    <row r="79" spans="1:18" s="29" customFormat="1">
      <c r="A79" s="602">
        <v>8.4</v>
      </c>
      <c r="B79" s="917" t="s">
        <v>138</v>
      </c>
      <c r="C79" s="843"/>
      <c r="D79" s="420" t="s">
        <v>2</v>
      </c>
      <c r="E79" s="434">
        <v>2</v>
      </c>
      <c r="F79" s="434">
        <v>2.5</v>
      </c>
      <c r="G79" s="30"/>
      <c r="H79" s="20">
        <f>IF(G79&gt;=80%,F79,IF(G79&lt;65%,0,E79))</f>
        <v>0</v>
      </c>
      <c r="Q79" s="52"/>
      <c r="R79" s="44"/>
    </row>
    <row r="80" spans="1:18" s="29" customFormat="1" ht="15.6">
      <c r="A80" s="66" t="s">
        <v>213</v>
      </c>
      <c r="B80" s="66" t="s">
        <v>518</v>
      </c>
      <c r="C80" s="67"/>
      <c r="D80" s="68"/>
      <c r="E80" s="69"/>
      <c r="F80" s="69"/>
      <c r="G80" s="69"/>
      <c r="H80" s="601"/>
      <c r="Q80" s="52"/>
      <c r="R80" s="44"/>
    </row>
    <row r="81" spans="1:18" s="29" customFormat="1" ht="31.5" customHeight="1">
      <c r="A81" s="602">
        <v>9.1</v>
      </c>
      <c r="B81" s="978" t="s">
        <v>514</v>
      </c>
      <c r="C81" s="978"/>
      <c r="D81" s="420" t="s">
        <v>50</v>
      </c>
      <c r="E81" s="434" t="s">
        <v>49</v>
      </c>
      <c r="F81" s="434">
        <v>2.5</v>
      </c>
      <c r="G81" s="517">
        <f>F21</f>
        <v>0</v>
      </c>
      <c r="H81" s="434">
        <f>IF(G81&gt;=80%,F81,0)</f>
        <v>0</v>
      </c>
      <c r="Q81" s="52"/>
      <c r="R81" s="44"/>
    </row>
    <row r="82" spans="1:18" s="29" customFormat="1" ht="31.5" customHeight="1">
      <c r="A82" s="602">
        <v>9.1999999999999993</v>
      </c>
      <c r="B82" s="825" t="s">
        <v>608</v>
      </c>
      <c r="C82" s="827"/>
      <c r="D82" s="420" t="s">
        <v>50</v>
      </c>
      <c r="E82" s="434">
        <v>2</v>
      </c>
      <c r="F82" s="434">
        <v>2.5</v>
      </c>
      <c r="G82" s="553"/>
      <c r="H82" s="279">
        <f>IF(G82&gt;=80%,F82,IF(G82&lt;65%,0,E82))</f>
        <v>0</v>
      </c>
      <c r="Q82" s="52"/>
      <c r="R82" s="44"/>
    </row>
    <row r="83" spans="1:18" s="29" customFormat="1" ht="15.6">
      <c r="A83" s="71" t="s">
        <v>214</v>
      </c>
      <c r="B83" s="71" t="s">
        <v>202</v>
      </c>
      <c r="C83" s="57"/>
      <c r="D83" s="57"/>
      <c r="E83" s="72"/>
      <c r="F83" s="72"/>
      <c r="G83" s="73"/>
      <c r="H83" s="603"/>
      <c r="Q83" s="52"/>
      <c r="R83" s="44"/>
    </row>
    <row r="84" spans="1:18" s="29" customFormat="1">
      <c r="A84" s="597">
        <v>10.1</v>
      </c>
      <c r="B84" s="776"/>
      <c r="C84" s="776"/>
      <c r="D84" s="520"/>
      <c r="E84" s="537"/>
      <c r="F84" s="537"/>
      <c r="G84" s="553"/>
      <c r="H84" s="20">
        <f>IF(G84&gt;=80%,F84,IF(G84&lt;65%,0,E84))</f>
        <v>0</v>
      </c>
      <c r="Q84" s="52"/>
      <c r="R84" s="44"/>
    </row>
    <row r="85" spans="1:18" s="29" customFormat="1">
      <c r="A85" s="597">
        <v>10.199999999999999</v>
      </c>
      <c r="B85" s="776"/>
      <c r="C85" s="776"/>
      <c r="D85" s="520"/>
      <c r="E85" s="537"/>
      <c r="F85" s="537"/>
      <c r="G85" s="553"/>
      <c r="H85" s="20">
        <f>IF(G85&gt;=80%,F85,IF(G85&lt;65%,0,E85))</f>
        <v>0</v>
      </c>
      <c r="Q85" s="52"/>
      <c r="R85" s="44"/>
    </row>
    <row r="86" spans="1:18" s="29" customFormat="1">
      <c r="A86" s="597">
        <v>10.3</v>
      </c>
      <c r="B86" s="776"/>
      <c r="C86" s="776"/>
      <c r="D86" s="520"/>
      <c r="E86" s="537"/>
      <c r="F86" s="537"/>
      <c r="G86" s="553"/>
      <c r="H86" s="20">
        <f>IF(G86&gt;=80%,F86,IF(G86&lt;65%,0,E86))</f>
        <v>0</v>
      </c>
      <c r="Q86" s="52"/>
      <c r="R86" s="44"/>
    </row>
    <row r="87" spans="1:18" s="29" customFormat="1" ht="15.6">
      <c r="A87" s="604"/>
      <c r="B87" s="307"/>
      <c r="C87" s="305"/>
      <c r="D87" s="305"/>
      <c r="E87" s="308"/>
      <c r="F87" s="309"/>
      <c r="G87" s="310" t="s">
        <v>375</v>
      </c>
      <c r="H87" s="605">
        <f>IFERROR((SUM(H64:H86)),0)</f>
        <v>0</v>
      </c>
      <c r="Q87" s="52"/>
      <c r="R87" s="44"/>
    </row>
    <row r="88" spans="1:18" s="29" customFormat="1">
      <c r="A88" s="592"/>
      <c r="B88" s="307"/>
      <c r="C88" s="305"/>
      <c r="D88" s="305"/>
      <c r="E88" s="305"/>
      <c r="F88" s="305"/>
      <c r="G88" s="311"/>
      <c r="H88" s="571"/>
      <c r="Q88" s="52"/>
      <c r="R88" s="44"/>
    </row>
    <row r="89" spans="1:18" s="29" customFormat="1" ht="15.6">
      <c r="A89" s="592"/>
      <c r="B89" s="307"/>
      <c r="C89" s="305"/>
      <c r="D89" s="305"/>
      <c r="E89" s="305"/>
      <c r="F89" s="305"/>
      <c r="G89" s="312" t="s">
        <v>128</v>
      </c>
      <c r="H89" s="74">
        <f>IFERROR(MIN(G27,H59+H87),0)</f>
        <v>0</v>
      </c>
      <c r="Q89" s="52"/>
      <c r="R89" s="44"/>
    </row>
    <row r="90" spans="1:18" s="29" customFormat="1" ht="16.2" thickBot="1">
      <c r="A90" s="594"/>
      <c r="B90" s="361"/>
      <c r="C90" s="362"/>
      <c r="D90" s="362"/>
      <c r="E90" s="362"/>
      <c r="F90" s="362"/>
      <c r="G90" s="364"/>
      <c r="H90" s="606"/>
      <c r="Q90" s="52"/>
      <c r="R90" s="44"/>
    </row>
    <row r="91" spans="1:18" s="29" customFormat="1" ht="15.6">
      <c r="A91" s="607" t="s">
        <v>51</v>
      </c>
      <c r="B91" s="358"/>
      <c r="C91" s="358"/>
      <c r="D91" s="358"/>
      <c r="E91" s="358"/>
      <c r="F91" s="359" t="s">
        <v>42</v>
      </c>
      <c r="G91" s="360">
        <f>VLOOKUP($A$7,'Manpower allocation'!A4:D11,3,FALSE)*100</f>
        <v>40</v>
      </c>
      <c r="H91" s="608" t="s">
        <v>41</v>
      </c>
      <c r="I91" s="75">
        <f>VLOOKUP($A$7,'Manpower allocation'!A4:D11,3,FALSE)*100</f>
        <v>40</v>
      </c>
      <c r="Q91" s="52"/>
      <c r="R91" s="44"/>
    </row>
    <row r="92" spans="1:18" s="29" customFormat="1" ht="15.6">
      <c r="A92" s="592"/>
      <c r="B92" s="313"/>
      <c r="C92" s="308"/>
      <c r="D92" s="305"/>
      <c r="E92" s="305"/>
      <c r="F92" s="305"/>
      <c r="G92" s="314"/>
      <c r="H92" s="571"/>
      <c r="Q92" s="52"/>
      <c r="R92" s="44"/>
    </row>
    <row r="93" spans="1:18" s="29" customFormat="1" ht="46.8">
      <c r="A93" s="609" t="s">
        <v>0</v>
      </c>
      <c r="B93" s="556"/>
      <c r="C93" s="156"/>
      <c r="D93" s="76"/>
      <c r="E93" s="77" t="s">
        <v>17</v>
      </c>
      <c r="F93" s="78" t="s">
        <v>80</v>
      </c>
      <c r="G93" s="78" t="s">
        <v>20</v>
      </c>
      <c r="H93" s="550" t="s">
        <v>52</v>
      </c>
      <c r="Q93" s="52"/>
      <c r="R93" s="44"/>
    </row>
    <row r="94" spans="1:18" s="29" customFormat="1" ht="15.6">
      <c r="A94" s="79" t="s">
        <v>280</v>
      </c>
      <c r="B94" s="79" t="s">
        <v>298</v>
      </c>
      <c r="C94" s="80"/>
      <c r="D94" s="80"/>
      <c r="E94" s="81"/>
      <c r="F94" s="81"/>
      <c r="G94" s="81"/>
      <c r="H94" s="610"/>
      <c r="Q94" s="52"/>
      <c r="R94" s="44"/>
    </row>
    <row r="95" spans="1:18" s="29" customFormat="1" ht="15.6">
      <c r="A95" s="82">
        <v>1</v>
      </c>
      <c r="B95" s="82" t="s">
        <v>304</v>
      </c>
      <c r="C95" s="83"/>
      <c r="D95" s="83"/>
      <c r="E95" s="84"/>
      <c r="F95" s="84"/>
      <c r="G95" s="84"/>
      <c r="H95" s="611"/>
      <c r="Q95" s="52"/>
      <c r="R95" s="44"/>
    </row>
    <row r="96" spans="1:18" s="29" customFormat="1">
      <c r="A96" s="597">
        <v>1.1000000000000001</v>
      </c>
      <c r="B96" s="858" t="s">
        <v>271</v>
      </c>
      <c r="C96" s="823"/>
      <c r="D96" s="824"/>
      <c r="E96" s="85">
        <f>VLOOKUP(A96,'Point Allocation'!$A$20:$J$41,MATCH(A7,'Point Allocation'!$A$20:$J$20,0),0)</f>
        <v>30</v>
      </c>
      <c r="F96" s="86"/>
      <c r="G96" s="87">
        <f>IFERROR(F96/$F$120,0)</f>
        <v>0</v>
      </c>
      <c r="H96" s="612">
        <f>E96*G96</f>
        <v>0</v>
      </c>
      <c r="Q96" s="44"/>
      <c r="R96" s="44"/>
    </row>
    <row r="97" spans="1:18" s="29" customFormat="1" ht="15.6">
      <c r="A97" s="88">
        <v>2</v>
      </c>
      <c r="B97" s="88" t="s">
        <v>305</v>
      </c>
      <c r="C97" s="89"/>
      <c r="D97" s="90"/>
      <c r="E97" s="90"/>
      <c r="F97" s="91"/>
      <c r="G97" s="92"/>
      <c r="H97" s="613"/>
      <c r="Q97" s="52"/>
      <c r="R97" s="44"/>
    </row>
    <row r="98" spans="1:18" s="29" customFormat="1">
      <c r="A98" s="814">
        <v>2.1</v>
      </c>
      <c r="B98" s="822" t="s">
        <v>196</v>
      </c>
      <c r="C98" s="823"/>
      <c r="D98" s="824"/>
      <c r="E98" s="819">
        <f>VLOOKUP(A98,'Point Allocation'!$A$20:$J$41,MATCH(A7,'Point Allocation'!$A$20:$J$20,0),0)</f>
        <v>28</v>
      </c>
      <c r="F98" s="820"/>
      <c r="G98" s="821">
        <f>IFERROR(F98/$F$120,0)</f>
        <v>0</v>
      </c>
      <c r="H98" s="819">
        <f>E98*G98</f>
        <v>0</v>
      </c>
      <c r="Q98" s="52"/>
      <c r="R98" s="44"/>
    </row>
    <row r="99" spans="1:18" s="29" customFormat="1" ht="15.6">
      <c r="A99" s="878"/>
      <c r="B99" s="816" t="s">
        <v>119</v>
      </c>
      <c r="C99" s="817"/>
      <c r="D99" s="818"/>
      <c r="E99" s="819"/>
      <c r="F99" s="820"/>
      <c r="G99" s="821"/>
      <c r="H99" s="819"/>
      <c r="Q99" s="52"/>
      <c r="R99" s="44"/>
    </row>
    <row r="100" spans="1:18" s="29" customFormat="1">
      <c r="A100" s="814">
        <v>2.2000000000000002</v>
      </c>
      <c r="B100" s="825" t="s">
        <v>606</v>
      </c>
      <c r="C100" s="826"/>
      <c r="D100" s="827"/>
      <c r="E100" s="819">
        <f>VLOOKUP(A100,'Point Allocation'!$A$20:$J$41,MATCH(A7,'Point Allocation'!$A$20:$J$20,0),0)</f>
        <v>28</v>
      </c>
      <c r="F100" s="820"/>
      <c r="G100" s="821">
        <f>IFERROR(F100/$F$120,0)</f>
        <v>0</v>
      </c>
      <c r="H100" s="819">
        <f>E100*G100</f>
        <v>0</v>
      </c>
      <c r="Q100" s="52"/>
      <c r="R100" s="44"/>
    </row>
    <row r="101" spans="1:18" s="29" customFormat="1" ht="15.6">
      <c r="A101" s="815"/>
      <c r="B101" s="816" t="s">
        <v>119</v>
      </c>
      <c r="C101" s="817"/>
      <c r="D101" s="818"/>
      <c r="E101" s="819"/>
      <c r="F101" s="820"/>
      <c r="G101" s="821"/>
      <c r="H101" s="819"/>
      <c r="Q101" s="52"/>
      <c r="R101" s="44"/>
    </row>
    <row r="102" spans="1:18" s="29" customFormat="1" ht="15.6">
      <c r="A102" s="82">
        <v>3</v>
      </c>
      <c r="B102" s="82" t="s">
        <v>306</v>
      </c>
      <c r="C102" s="89"/>
      <c r="D102" s="89"/>
      <c r="E102" s="91"/>
      <c r="F102" s="91"/>
      <c r="G102" s="92"/>
      <c r="H102" s="614"/>
      <c r="Q102" s="52"/>
      <c r="R102" s="44"/>
    </row>
    <row r="103" spans="1:18" s="29" customFormat="1">
      <c r="A103" s="814">
        <v>3.1</v>
      </c>
      <c r="B103" s="822" t="s">
        <v>197</v>
      </c>
      <c r="C103" s="823"/>
      <c r="D103" s="824"/>
      <c r="E103" s="819">
        <f>VLOOKUP(A103,'Point Allocation'!$A$20:$J$41,MATCH(A7,'Point Allocation'!$A$20:$J$20,0),0)</f>
        <v>27</v>
      </c>
      <c r="F103" s="820"/>
      <c r="G103" s="821">
        <f>IFERROR(F103/$F$120,0)</f>
        <v>0</v>
      </c>
      <c r="H103" s="819">
        <f>E103*G103</f>
        <v>0</v>
      </c>
      <c r="Q103" s="52"/>
      <c r="R103" s="44"/>
    </row>
    <row r="104" spans="1:18" s="29" customFormat="1" ht="15.6">
      <c r="A104" s="878"/>
      <c r="B104" s="816" t="s">
        <v>267</v>
      </c>
      <c r="C104" s="817"/>
      <c r="D104" s="818"/>
      <c r="E104" s="819"/>
      <c r="F104" s="820"/>
      <c r="G104" s="821"/>
      <c r="H104" s="819"/>
      <c r="Q104" s="52"/>
      <c r="R104" s="44"/>
    </row>
    <row r="105" spans="1:18" s="29" customFormat="1" ht="15.6">
      <c r="A105" s="82">
        <v>4</v>
      </c>
      <c r="B105" s="82" t="s">
        <v>307</v>
      </c>
      <c r="C105" s="89"/>
      <c r="D105" s="89"/>
      <c r="E105" s="91"/>
      <c r="F105" s="91"/>
      <c r="G105" s="92"/>
      <c r="H105" s="614"/>
      <c r="Q105" s="52"/>
      <c r="R105" s="44"/>
    </row>
    <row r="106" spans="1:18" s="29" customFormat="1" ht="30" customHeight="1">
      <c r="A106" s="598" t="s">
        <v>194</v>
      </c>
      <c r="B106" s="833" t="s">
        <v>273</v>
      </c>
      <c r="C106" s="834"/>
      <c r="D106" s="835"/>
      <c r="E106" s="93">
        <f>VLOOKUP(A106,'Point Allocation'!$A$20:$J$41,MATCH(A7,'Point Allocation'!$A$20:$J$20,0),0)</f>
        <v>25</v>
      </c>
      <c r="F106" s="538"/>
      <c r="G106" s="539">
        <f>IFERROR(F106/$F$120,0)</f>
        <v>0</v>
      </c>
      <c r="H106" s="94">
        <f>E106*G106</f>
        <v>0</v>
      </c>
      <c r="Q106" s="939"/>
      <c r="R106" s="44"/>
    </row>
    <row r="107" spans="1:18" s="29" customFormat="1">
      <c r="A107" s="598" t="s">
        <v>195</v>
      </c>
      <c r="B107" s="833" t="s">
        <v>274</v>
      </c>
      <c r="C107" s="834"/>
      <c r="D107" s="835"/>
      <c r="E107" s="93">
        <f>VLOOKUP(A107,'Point Allocation'!$A$20:$J$41,MATCH(A7,'Point Allocation'!$A$20:$J$20,0),0)</f>
        <v>25</v>
      </c>
      <c r="F107" s="538"/>
      <c r="G107" s="539">
        <f>IFERROR(F107/$F$120,0)</f>
        <v>0</v>
      </c>
      <c r="H107" s="94">
        <f>E107*G107</f>
        <v>0</v>
      </c>
      <c r="Q107" s="939"/>
      <c r="R107" s="44"/>
    </row>
    <row r="108" spans="1:18" s="29" customFormat="1">
      <c r="A108" s="597">
        <v>4.2</v>
      </c>
      <c r="B108" s="848" t="s">
        <v>198</v>
      </c>
      <c r="C108" s="924"/>
      <c r="D108" s="849"/>
      <c r="E108" s="93">
        <f>VLOOKUP(A108,'Point Allocation'!$A$20:$J$41,MATCH(A7,'Point Allocation'!$A$20:$J$20,0),0)</f>
        <v>25</v>
      </c>
      <c r="F108" s="538"/>
      <c r="G108" s="539">
        <f>IFERROR(F108/$F$120,0)</f>
        <v>0</v>
      </c>
      <c r="H108" s="94">
        <f>E108*G108</f>
        <v>0</v>
      </c>
      <c r="Q108" s="52"/>
      <c r="R108" s="44"/>
    </row>
    <row r="109" spans="1:18" s="29" customFormat="1">
      <c r="A109" s="597">
        <v>4.3</v>
      </c>
      <c r="B109" s="925" t="s">
        <v>150</v>
      </c>
      <c r="C109" s="926"/>
      <c r="D109" s="927"/>
      <c r="E109" s="93">
        <f>VLOOKUP(A109,'Point Allocation'!$A$20:$J$41,MATCH(A7,'Point Allocation'!$A$20:$J$20,0),0)</f>
        <v>25</v>
      </c>
      <c r="F109" s="538"/>
      <c r="G109" s="539">
        <f>IFERROR(F109/$F$120,0)</f>
        <v>0</v>
      </c>
      <c r="H109" s="174">
        <f>E109*G109</f>
        <v>0</v>
      </c>
      <c r="Q109" s="52"/>
      <c r="R109" s="44"/>
    </row>
    <row r="110" spans="1:18" s="29" customFormat="1">
      <c r="A110" s="597">
        <v>4.4000000000000004</v>
      </c>
      <c r="B110" s="925" t="s">
        <v>320</v>
      </c>
      <c r="C110" s="926"/>
      <c r="D110" s="927"/>
      <c r="E110" s="93">
        <f>VLOOKUP(A110,'Point Allocation'!$A$20:$J$41,MATCH(A7,'Point Allocation'!$A$20:$J$20,0),0)</f>
        <v>22</v>
      </c>
      <c r="F110" s="538"/>
      <c r="G110" s="539">
        <f>IFERROR(F110/$F$120,0)</f>
        <v>0</v>
      </c>
      <c r="H110" s="174">
        <f>E110*G110</f>
        <v>0</v>
      </c>
      <c r="Q110" s="52"/>
      <c r="R110" s="44"/>
    </row>
    <row r="111" spans="1:18" s="29" customFormat="1" ht="15.6">
      <c r="A111" s="95" t="s">
        <v>281</v>
      </c>
      <c r="B111" s="95" t="s">
        <v>223</v>
      </c>
      <c r="C111" s="96"/>
      <c r="D111" s="97"/>
      <c r="E111" s="98"/>
      <c r="F111" s="99"/>
      <c r="G111" s="100"/>
      <c r="H111" s="615"/>
      <c r="Q111" s="52"/>
      <c r="R111" s="44"/>
    </row>
    <row r="112" spans="1:18" s="29" customFormat="1" ht="15.6">
      <c r="A112" s="82">
        <v>5</v>
      </c>
      <c r="B112" s="82" t="s">
        <v>224</v>
      </c>
      <c r="C112" s="89"/>
      <c r="D112" s="89"/>
      <c r="E112" s="91"/>
      <c r="F112" s="91"/>
      <c r="G112" s="92"/>
      <c r="H112" s="614"/>
      <c r="Q112" s="52"/>
      <c r="R112" s="44"/>
    </row>
    <row r="113" spans="1:18" s="29" customFormat="1">
      <c r="A113" s="597">
        <v>5.0999999999999996</v>
      </c>
      <c r="B113" s="822" t="s">
        <v>199</v>
      </c>
      <c r="C113" s="823"/>
      <c r="D113" s="824"/>
      <c r="E113" s="101">
        <f>VLOOKUP(A113,'Point Allocation'!$A$20:$J$41,MATCH(A7,'Point Allocation'!$A$20:$J$20,0),0)</f>
        <v>16</v>
      </c>
      <c r="F113" s="147"/>
      <c r="G113" s="539">
        <f>IFERROR(F113/$F$120,0)</f>
        <v>0</v>
      </c>
      <c r="H113" s="547">
        <f>E113*G113</f>
        <v>0</v>
      </c>
      <c r="Q113" s="52"/>
      <c r="R113" s="44"/>
    </row>
    <row r="114" spans="1:18" s="29" customFormat="1">
      <c r="A114" s="597">
        <v>5.2</v>
      </c>
      <c r="B114" s="822" t="s">
        <v>321</v>
      </c>
      <c r="C114" s="823"/>
      <c r="D114" s="824"/>
      <c r="E114" s="101">
        <f>VLOOKUP(A114,'Point Allocation'!$A$20:$J$41,MATCH(A7,'Point Allocation'!$A$20:$J$20,0),0)</f>
        <v>5</v>
      </c>
      <c r="F114" s="86"/>
      <c r="G114" s="539">
        <f>IFERROR(F114/$F$120,0)</f>
        <v>0</v>
      </c>
      <c r="H114" s="547">
        <f>E114*G114</f>
        <v>0</v>
      </c>
      <c r="Q114" s="52"/>
      <c r="R114" s="44"/>
    </row>
    <row r="115" spans="1:18" s="29" customFormat="1">
      <c r="A115" s="597">
        <v>5.3</v>
      </c>
      <c r="B115" s="822" t="s">
        <v>322</v>
      </c>
      <c r="C115" s="823"/>
      <c r="D115" s="824"/>
      <c r="E115" s="101">
        <f>VLOOKUP(A115,'Point Allocation'!$A$20:$J$41,MATCH(A7,'Point Allocation'!$A$20:$J$20,0),0)</f>
        <v>0</v>
      </c>
      <c r="F115" s="146"/>
      <c r="G115" s="539">
        <f>IFERROR(F115/$F$120,0)</f>
        <v>0</v>
      </c>
      <c r="H115" s="616">
        <f>E115*G115</f>
        <v>0</v>
      </c>
      <c r="Q115" s="52"/>
      <c r="R115" s="44"/>
    </row>
    <row r="116" spans="1:18" s="29" customFormat="1" ht="15.6">
      <c r="A116" s="102">
        <v>6</v>
      </c>
      <c r="B116" s="102" t="s">
        <v>202</v>
      </c>
      <c r="C116" s="89"/>
      <c r="D116" s="89"/>
      <c r="E116" s="91"/>
      <c r="F116" s="91"/>
      <c r="G116" s="92"/>
      <c r="H116" s="614"/>
      <c r="Q116" s="52"/>
      <c r="R116" s="44"/>
    </row>
    <row r="117" spans="1:18" s="29" customFormat="1">
      <c r="A117" s="386">
        <v>6.1</v>
      </c>
      <c r="B117" s="765"/>
      <c r="C117" s="766"/>
      <c r="D117" s="847"/>
      <c r="E117" s="538"/>
      <c r="F117" s="538"/>
      <c r="G117" s="539">
        <f>IFERROR(F117/$F$120,0)</f>
        <v>0</v>
      </c>
      <c r="H117" s="616">
        <f>E117*G117</f>
        <v>0</v>
      </c>
      <c r="Q117" s="52"/>
      <c r="R117" s="44"/>
    </row>
    <row r="118" spans="1:18" s="29" customFormat="1">
      <c r="A118" s="386">
        <v>6.2</v>
      </c>
      <c r="B118" s="765"/>
      <c r="C118" s="766"/>
      <c r="D118" s="847"/>
      <c r="E118" s="538"/>
      <c r="F118" s="538"/>
      <c r="G118" s="539">
        <f>IFERROR(F118/$F$120,0)</f>
        <v>0</v>
      </c>
      <c r="H118" s="616">
        <f>E118*G118</f>
        <v>0</v>
      </c>
      <c r="Q118" s="52"/>
      <c r="R118" s="44"/>
    </row>
    <row r="119" spans="1:18" s="29" customFormat="1">
      <c r="A119" s="386">
        <v>6.3</v>
      </c>
      <c r="B119" s="920"/>
      <c r="C119" s="920"/>
      <c r="D119" s="920"/>
      <c r="E119" s="538"/>
      <c r="F119" s="538"/>
      <c r="G119" s="539">
        <f>IFERROR(F119/$F$120,0)</f>
        <v>0</v>
      </c>
      <c r="H119" s="616">
        <f>E119*G119</f>
        <v>0</v>
      </c>
      <c r="Q119" s="52"/>
      <c r="R119" s="44"/>
    </row>
    <row r="120" spans="1:18" s="29" customFormat="1" ht="15.6">
      <c r="A120" s="604"/>
      <c r="B120" s="307"/>
      <c r="C120" s="305"/>
      <c r="D120" s="305"/>
      <c r="E120" s="312" t="s">
        <v>61</v>
      </c>
      <c r="F120" s="315">
        <f>SUM(F96:F119)+E19</f>
        <v>0</v>
      </c>
      <c r="G120" s="316">
        <f>SUM(G96:G119)+F19</f>
        <v>0</v>
      </c>
      <c r="H120" s="617">
        <f>IFERROR(SUM(H96:H119),0)</f>
        <v>0</v>
      </c>
      <c r="Q120" s="52"/>
      <c r="R120" s="44"/>
    </row>
    <row r="121" spans="1:18" s="29" customFormat="1" ht="15.6" thickBot="1">
      <c r="A121" s="594"/>
      <c r="B121" s="361"/>
      <c r="C121" s="362"/>
      <c r="D121" s="362"/>
      <c r="E121" s="362"/>
      <c r="F121" s="362"/>
      <c r="G121" s="354"/>
      <c r="H121" s="595"/>
      <c r="Q121" s="52"/>
      <c r="R121" s="44"/>
    </row>
    <row r="122" spans="1:18" s="29" customFormat="1" ht="31.2">
      <c r="A122" s="618" t="s">
        <v>0</v>
      </c>
      <c r="B122" s="458"/>
      <c r="C122" s="458"/>
      <c r="D122" s="549" t="s">
        <v>17</v>
      </c>
      <c r="E122" s="459" t="s">
        <v>80</v>
      </c>
      <c r="F122" s="460" t="s">
        <v>301</v>
      </c>
      <c r="G122" s="460" t="s">
        <v>302</v>
      </c>
      <c r="H122" s="549" t="s">
        <v>52</v>
      </c>
      <c r="Q122" s="52"/>
      <c r="R122" s="44"/>
    </row>
    <row r="123" spans="1:18" s="29" customFormat="1" ht="15.6">
      <c r="A123" s="79" t="s">
        <v>225</v>
      </c>
      <c r="B123" s="79" t="s">
        <v>299</v>
      </c>
      <c r="C123" s="80"/>
      <c r="D123" s="81"/>
      <c r="E123" s="81"/>
      <c r="F123" s="81"/>
      <c r="G123" s="81"/>
      <c r="H123" s="610"/>
      <c r="Q123" s="52"/>
      <c r="R123" s="44"/>
    </row>
    <row r="124" spans="1:18" s="29" customFormat="1" ht="15.6">
      <c r="A124" s="82">
        <v>7</v>
      </c>
      <c r="B124" s="82" t="s">
        <v>304</v>
      </c>
      <c r="C124" s="83"/>
      <c r="D124" s="84"/>
      <c r="E124" s="84"/>
      <c r="F124" s="84"/>
      <c r="G124" s="84"/>
      <c r="H124" s="611"/>
      <c r="Q124" s="52"/>
      <c r="R124" s="44"/>
    </row>
    <row r="125" spans="1:18" s="29" customFormat="1" ht="15" customHeight="1">
      <c r="A125" s="543">
        <v>7.1</v>
      </c>
      <c r="B125" s="858" t="s">
        <v>271</v>
      </c>
      <c r="C125" s="840"/>
      <c r="D125" s="94">
        <f>VLOOKUP(A125,'Point Allocation'!$A$20:$J$41,MATCH(A7,'Point Allocation'!$A$20:$J$20,0),0)</f>
        <v>10</v>
      </c>
      <c r="E125" s="85">
        <f>F96</f>
        <v>0</v>
      </c>
      <c r="F125" s="85">
        <f>F32</f>
        <v>0</v>
      </c>
      <c r="G125" s="87">
        <f>IFERROR(SUM(E125:F125)/SUM($E$143:$F$143),0)</f>
        <v>0</v>
      </c>
      <c r="H125" s="612">
        <f>D125*G125</f>
        <v>0</v>
      </c>
      <c r="Q125" s="52"/>
      <c r="R125" s="44"/>
    </row>
    <row r="126" spans="1:18" s="29" customFormat="1" ht="15.6">
      <c r="A126" s="88">
        <v>8</v>
      </c>
      <c r="B126" s="88" t="s">
        <v>305</v>
      </c>
      <c r="C126" s="89"/>
      <c r="D126" s="90"/>
      <c r="E126" s="91"/>
      <c r="F126" s="91"/>
      <c r="G126" s="92"/>
      <c r="H126" s="613"/>
      <c r="Q126" s="52"/>
      <c r="R126" s="44"/>
    </row>
    <row r="127" spans="1:18" s="29" customFormat="1">
      <c r="A127" s="814">
        <v>8.1</v>
      </c>
      <c r="B127" s="822" t="s">
        <v>303</v>
      </c>
      <c r="C127" s="824"/>
      <c r="D127" s="921">
        <f>VLOOKUP(A127,'Point Allocation'!$A$20:$J$41,MATCH(A7,'Point Allocation'!$A$20:$J$20,0),0)</f>
        <v>8</v>
      </c>
      <c r="E127" s="945">
        <f>F98</f>
        <v>0</v>
      </c>
      <c r="F127" s="946"/>
      <c r="G127" s="983">
        <f>IFERROR(SUM(E127:F128)/SUM($E$143:$F$143),0)</f>
        <v>0</v>
      </c>
      <c r="H127" s="819">
        <f>D127*G127</f>
        <v>0</v>
      </c>
      <c r="Q127" s="52"/>
      <c r="R127" s="44"/>
    </row>
    <row r="128" spans="1:18" s="29" customFormat="1" ht="15.6">
      <c r="A128" s="815"/>
      <c r="B128" s="816" t="s">
        <v>119</v>
      </c>
      <c r="C128" s="818"/>
      <c r="D128" s="922"/>
      <c r="E128" s="945"/>
      <c r="F128" s="946"/>
      <c r="G128" s="984"/>
      <c r="H128" s="819"/>
      <c r="Q128" s="52"/>
      <c r="R128" s="44"/>
    </row>
    <row r="129" spans="1:18" s="29" customFormat="1">
      <c r="A129" s="543">
        <v>8.1999999999999993</v>
      </c>
      <c r="B129" s="825" t="s">
        <v>606</v>
      </c>
      <c r="C129" s="827"/>
      <c r="D129" s="94">
        <f>VLOOKUP(A129,'Point Allocation'!$A$20:$J$41,MATCH(A7,'Point Allocation'!$A$20:$J$20,0),0)</f>
        <v>8</v>
      </c>
      <c r="E129" s="174">
        <f>F100</f>
        <v>0</v>
      </c>
      <c r="F129" s="555"/>
      <c r="G129" s="87">
        <f>IFERROR(SUM(E129:F129)/SUM($E$143:$F$143),0)</f>
        <v>0</v>
      </c>
      <c r="H129" s="94">
        <f>D129*G129</f>
        <v>0</v>
      </c>
      <c r="Q129" s="52"/>
      <c r="R129" s="44"/>
    </row>
    <row r="130" spans="1:18" s="29" customFormat="1" ht="15.6">
      <c r="A130" s="82">
        <v>9</v>
      </c>
      <c r="B130" s="82" t="s">
        <v>306</v>
      </c>
      <c r="C130" s="89"/>
      <c r="D130" s="91"/>
      <c r="E130" s="91"/>
      <c r="F130" s="91"/>
      <c r="G130" s="92"/>
      <c r="H130" s="614"/>
      <c r="Q130" s="52"/>
      <c r="R130" s="44"/>
    </row>
    <row r="131" spans="1:18" s="29" customFormat="1">
      <c r="A131" s="814">
        <v>9.1</v>
      </c>
      <c r="B131" s="822" t="s">
        <v>339</v>
      </c>
      <c r="C131" s="824"/>
      <c r="D131" s="921">
        <f>VLOOKUP(A131,'Point Allocation'!$A$20:$J$41,MATCH(A7,'Point Allocation'!$A$20:$J$20,0),0)</f>
        <v>6</v>
      </c>
      <c r="E131" s="946"/>
      <c r="F131" s="946"/>
      <c r="G131" s="821">
        <f>IFERROR(SUM(E131:F132)/SUM($E$143:$F$143),0)</f>
        <v>0</v>
      </c>
      <c r="H131" s="819">
        <f>D131*G131</f>
        <v>0</v>
      </c>
      <c r="Q131" s="52"/>
      <c r="R131" s="44"/>
    </row>
    <row r="132" spans="1:18" s="29" customFormat="1" ht="15.6">
      <c r="A132" s="815"/>
      <c r="B132" s="816" t="s">
        <v>5</v>
      </c>
      <c r="C132" s="818"/>
      <c r="D132" s="922"/>
      <c r="E132" s="946"/>
      <c r="F132" s="946"/>
      <c r="G132" s="821"/>
      <c r="H132" s="819"/>
      <c r="Q132" s="52"/>
      <c r="R132" s="44"/>
    </row>
    <row r="133" spans="1:18" s="29" customFormat="1" ht="15.6">
      <c r="A133" s="82">
        <v>10</v>
      </c>
      <c r="B133" s="82" t="s">
        <v>308</v>
      </c>
      <c r="C133" s="89"/>
      <c r="D133" s="91"/>
      <c r="E133" s="91"/>
      <c r="F133" s="91"/>
      <c r="G133" s="92"/>
      <c r="H133" s="614"/>
      <c r="Q133" s="52"/>
      <c r="R133" s="44"/>
    </row>
    <row r="134" spans="1:18" s="29" customFormat="1" ht="15" customHeight="1">
      <c r="A134" s="541">
        <v>10.1</v>
      </c>
      <c r="B134" s="822" t="s">
        <v>340</v>
      </c>
      <c r="C134" s="824"/>
      <c r="D134" s="94">
        <f>VLOOKUP(A134,'Point Allocation'!$A$20:$J$41,MATCH(A7,'Point Allocation'!$A$20:$J$20,0),0)</f>
        <v>4</v>
      </c>
      <c r="E134" s="555"/>
      <c r="F134" s="555"/>
      <c r="G134" s="87">
        <f>IFERROR(SUM(E134:F134)/SUM($E$143:$F$143),0)</f>
        <v>0</v>
      </c>
      <c r="H134" s="94">
        <f>D134*G134</f>
        <v>0</v>
      </c>
      <c r="Q134" s="52"/>
      <c r="R134" s="44"/>
    </row>
    <row r="135" spans="1:18" s="29" customFormat="1" ht="32.25" customHeight="1">
      <c r="A135" s="589">
        <v>10.199999999999999</v>
      </c>
      <c r="B135" s="825" t="s">
        <v>318</v>
      </c>
      <c r="C135" s="827"/>
      <c r="D135" s="94">
        <f>VLOOKUP(A135,'Point Allocation'!$A$20:$J$41,MATCH(A7,'Point Allocation'!$A$20:$J$20,0),0)</f>
        <v>4</v>
      </c>
      <c r="E135" s="173"/>
      <c r="F135" s="555"/>
      <c r="G135" s="539">
        <f>IFERROR(SUM(E135:F135)/SUM($E$143:$F$143),0)</f>
        <v>0</v>
      </c>
      <c r="H135" s="94">
        <f>D135*G135</f>
        <v>0</v>
      </c>
      <c r="Q135" s="52"/>
      <c r="R135" s="44"/>
    </row>
    <row r="136" spans="1:18" s="29" customFormat="1" ht="15.6">
      <c r="A136" s="95" t="s">
        <v>226</v>
      </c>
      <c r="B136" s="95" t="s">
        <v>248</v>
      </c>
      <c r="C136" s="96"/>
      <c r="D136" s="98"/>
      <c r="E136" s="99"/>
      <c r="F136" s="99"/>
      <c r="G136" s="100"/>
      <c r="H136" s="615"/>
      <c r="Q136" s="52"/>
      <c r="R136" s="44"/>
    </row>
    <row r="137" spans="1:18" s="29" customFormat="1" ht="15.6">
      <c r="A137" s="82">
        <v>11</v>
      </c>
      <c r="B137" s="82" t="s">
        <v>249</v>
      </c>
      <c r="C137" s="89"/>
      <c r="D137" s="91"/>
      <c r="E137" s="91"/>
      <c r="F137" s="91"/>
      <c r="G137" s="92"/>
      <c r="H137" s="614"/>
      <c r="Q137" s="52"/>
      <c r="R137" s="44"/>
    </row>
    <row r="138" spans="1:18" s="29" customFormat="1">
      <c r="A138" s="541">
        <v>11.1</v>
      </c>
      <c r="B138" s="822" t="s">
        <v>642</v>
      </c>
      <c r="C138" s="824"/>
      <c r="D138" s="94">
        <f>VLOOKUP(A138,'Point Allocation'!$A$20:$J$41,MATCH(A7,'Point Allocation'!$A$20:$J$20,0),0)</f>
        <v>2</v>
      </c>
      <c r="E138" s="555"/>
      <c r="F138" s="555"/>
      <c r="G138" s="539">
        <f>IFERROR(SUM(E138:F138)/SUM($E$143:$F$143),0)</f>
        <v>0</v>
      </c>
      <c r="H138" s="94">
        <f t="shared" ref="H138:H142" si="2">D138*G138</f>
        <v>0</v>
      </c>
      <c r="Q138" s="52"/>
      <c r="R138" s="44"/>
    </row>
    <row r="139" spans="1:18" s="29" customFormat="1">
      <c r="A139" s="619">
        <v>11.2</v>
      </c>
      <c r="B139" s="848" t="s">
        <v>310</v>
      </c>
      <c r="C139" s="849"/>
      <c r="D139" s="174">
        <f>VLOOKUP(A138,'Point Allocation'!$A$20:$J$41,MATCH(A7,'Point Allocation'!$A$20:$J$20,0),0)</f>
        <v>2</v>
      </c>
      <c r="E139" s="555"/>
      <c r="F139" s="555"/>
      <c r="G139" s="539">
        <f>IFERROR(SUM(E139:F139)/SUM($E$143:$F$143),0)</f>
        <v>0</v>
      </c>
      <c r="H139" s="94">
        <f t="shared" si="2"/>
        <v>0</v>
      </c>
      <c r="Q139" s="52"/>
      <c r="R139" s="44"/>
    </row>
    <row r="140" spans="1:18" s="29" customFormat="1">
      <c r="A140" s="541">
        <v>11.3</v>
      </c>
      <c r="B140" s="848" t="s">
        <v>317</v>
      </c>
      <c r="C140" s="849"/>
      <c r="D140" s="94">
        <f>VLOOKUP(A140,'Point Allocation'!$A$20:$J$41,MATCH(A7,'Point Allocation'!$A$20:$J$20,0),0)</f>
        <v>0</v>
      </c>
      <c r="E140" s="555"/>
      <c r="F140" s="555"/>
      <c r="G140" s="539">
        <f>IFERROR(SUM(E140:F140)/SUM($E$143:$F$143),0)</f>
        <v>0</v>
      </c>
      <c r="H140" s="94">
        <f t="shared" si="2"/>
        <v>0</v>
      </c>
      <c r="Q140" s="52"/>
      <c r="R140" s="44"/>
    </row>
    <row r="141" spans="1:18" s="29" customFormat="1">
      <c r="A141" s="620">
        <v>11.4</v>
      </c>
      <c r="B141" s="968"/>
      <c r="C141" s="969"/>
      <c r="D141" s="538"/>
      <c r="E141" s="555"/>
      <c r="F141" s="555"/>
      <c r="G141" s="539">
        <f>IFERROR(SUM(E141:F141)/SUM($E$143:$F$143),0)</f>
        <v>0</v>
      </c>
      <c r="H141" s="94">
        <f t="shared" si="2"/>
        <v>0</v>
      </c>
      <c r="Q141" s="52"/>
      <c r="R141" s="44"/>
    </row>
    <row r="142" spans="1:18" s="29" customFormat="1">
      <c r="A142" s="620">
        <v>11.5</v>
      </c>
      <c r="B142" s="968"/>
      <c r="C142" s="969"/>
      <c r="D142" s="538"/>
      <c r="E142" s="555"/>
      <c r="F142" s="555"/>
      <c r="G142" s="539">
        <f>IFERROR(SUM(E142:F142)/SUM($E$143:$F$143),0)</f>
        <v>0</v>
      </c>
      <c r="H142" s="94">
        <f t="shared" si="2"/>
        <v>0</v>
      </c>
      <c r="Q142" s="52"/>
      <c r="R142" s="44"/>
    </row>
    <row r="143" spans="1:18" s="29" customFormat="1" ht="15.6">
      <c r="A143" s="592"/>
      <c r="B143" s="307"/>
      <c r="C143" s="305"/>
      <c r="D143" s="312" t="s">
        <v>131</v>
      </c>
      <c r="E143" s="315">
        <f>SUM(E125:E142)</f>
        <v>0</v>
      </c>
      <c r="F143" s="317">
        <f>SUM(F125:F142)</f>
        <v>0</v>
      </c>
      <c r="G143" s="318">
        <f>SUM(G125:G142)</f>
        <v>0</v>
      </c>
      <c r="H143" s="621">
        <f>IFERROR(SUM(H125:H142),0)</f>
        <v>0</v>
      </c>
      <c r="Q143" s="52"/>
      <c r="R143" s="44"/>
    </row>
    <row r="144" spans="1:18" s="29" customFormat="1">
      <c r="A144" s="622"/>
      <c r="B144" s="307"/>
      <c r="C144" s="305"/>
      <c r="D144" s="305"/>
      <c r="E144" s="305"/>
      <c r="F144" s="305"/>
      <c r="G144" s="314"/>
      <c r="H144" s="571"/>
      <c r="Q144" s="52"/>
      <c r="R144" s="44"/>
    </row>
    <row r="145" spans="1:18" s="29" customFormat="1" ht="46.8">
      <c r="A145" s="970" t="s">
        <v>0</v>
      </c>
      <c r="B145" s="971"/>
      <c r="C145" s="163"/>
      <c r="D145" s="550" t="s">
        <v>57</v>
      </c>
      <c r="E145" s="550" t="s">
        <v>58</v>
      </c>
      <c r="F145" s="956" t="s">
        <v>59</v>
      </c>
      <c r="G145" s="956"/>
      <c r="H145" s="623" t="s">
        <v>62</v>
      </c>
      <c r="J145" s="103" t="s">
        <v>71</v>
      </c>
      <c r="K145" s="103">
        <v>1</v>
      </c>
      <c r="L145" s="103">
        <v>2</v>
      </c>
      <c r="M145" s="103">
        <v>3</v>
      </c>
      <c r="N145" s="103">
        <v>4</v>
      </c>
      <c r="O145" s="103">
        <v>5</v>
      </c>
      <c r="P145" s="103">
        <v>6</v>
      </c>
      <c r="Q145" s="52"/>
      <c r="R145" s="44"/>
    </row>
    <row r="146" spans="1:18" s="29" customFormat="1" ht="15.6">
      <c r="A146" s="126" t="s">
        <v>227</v>
      </c>
      <c r="B146" s="126" t="s">
        <v>139</v>
      </c>
      <c r="C146" s="162"/>
      <c r="D146" s="56"/>
      <c r="E146" s="56"/>
      <c r="F146" s="57"/>
      <c r="G146" s="104"/>
      <c r="H146" s="624"/>
      <c r="J146" s="103" t="s">
        <v>73</v>
      </c>
      <c r="K146" s="103" t="s">
        <v>72</v>
      </c>
      <c r="L146" s="103">
        <v>1</v>
      </c>
      <c r="M146" s="103">
        <v>2</v>
      </c>
      <c r="N146" s="103">
        <v>3</v>
      </c>
      <c r="O146" s="103">
        <v>4</v>
      </c>
      <c r="P146" s="103">
        <v>4</v>
      </c>
      <c r="Q146" s="52"/>
      <c r="R146" s="44"/>
    </row>
    <row r="147" spans="1:18" s="29" customFormat="1">
      <c r="A147" s="625" t="s">
        <v>228</v>
      </c>
      <c r="B147" s="386" t="s">
        <v>394</v>
      </c>
      <c r="C147" s="164" t="s">
        <v>55</v>
      </c>
      <c r="D147" s="820"/>
      <c r="E147" s="820"/>
      <c r="F147" s="949" t="str">
        <f>IF(D147&gt;9,D147/E147," ")</f>
        <v xml:space="preserve"> </v>
      </c>
      <c r="G147" s="949"/>
      <c r="H147" s="94">
        <f>IF(D147="",0,IF(D147&lt;9,2,IF((D147/E147)=0,2,IF((D147/E147)&lt;10%,1.5,IF((D147/E147)&lt;15%,1,IF((D147/E147)&lt;20%,0.5,0))))))</f>
        <v>0</v>
      </c>
      <c r="J147" s="103" t="s">
        <v>74</v>
      </c>
      <c r="K147" s="103" t="s">
        <v>72</v>
      </c>
      <c r="L147" s="103">
        <v>5</v>
      </c>
      <c r="M147" s="103">
        <v>15</v>
      </c>
      <c r="N147" s="103">
        <v>25</v>
      </c>
      <c r="O147" s="103">
        <v>35</v>
      </c>
      <c r="P147" s="103">
        <v>35</v>
      </c>
      <c r="Q147" s="52"/>
      <c r="R147" s="44"/>
    </row>
    <row r="148" spans="1:18" s="29" customFormat="1">
      <c r="A148" s="625" t="s">
        <v>229</v>
      </c>
      <c r="B148" s="386" t="s">
        <v>395</v>
      </c>
      <c r="C148" s="164" t="s">
        <v>56</v>
      </c>
      <c r="D148" s="820"/>
      <c r="E148" s="820"/>
      <c r="F148" s="950"/>
      <c r="G148" s="950"/>
      <c r="H148" s="94">
        <f>IF(E147="",0,IF(E147&lt;15,HLOOKUP(F148,J145:P152,4,FALSE),IF(E147&lt;45,HLOOKUP(F148,J145:P152,5,FALSE),IF(E147&lt;90,HLOOKUP(F148,J145:P152,6,FALSE),IF(E147&lt;135,HLOOKUP(F148,J145:P152,7,FALSE),IF(E147&gt;=135,HLOOKUP(F148,J145:P152,8,FALSE),3))))))</f>
        <v>0</v>
      </c>
      <c r="I148" s="54"/>
      <c r="J148" s="103" t="s">
        <v>75</v>
      </c>
      <c r="K148" s="103">
        <v>3</v>
      </c>
      <c r="L148" s="103">
        <v>3</v>
      </c>
      <c r="M148" s="103">
        <v>3</v>
      </c>
      <c r="N148" s="103">
        <v>2.5</v>
      </c>
      <c r="O148" s="103">
        <v>1.5</v>
      </c>
      <c r="P148" s="103">
        <v>0</v>
      </c>
      <c r="Q148" s="52"/>
      <c r="R148" s="44"/>
    </row>
    <row r="149" spans="1:18" s="29" customFormat="1">
      <c r="A149" s="592"/>
      <c r="B149" s="307"/>
      <c r="C149" s="314"/>
      <c r="D149" s="319"/>
      <c r="E149" s="319"/>
      <c r="F149" s="319"/>
      <c r="G149" s="319"/>
      <c r="H149" s="626"/>
      <c r="I149" s="54"/>
      <c r="J149" s="103" t="s">
        <v>76</v>
      </c>
      <c r="K149" s="103">
        <v>3</v>
      </c>
      <c r="L149" s="103">
        <v>3</v>
      </c>
      <c r="M149" s="103">
        <v>2.5</v>
      </c>
      <c r="N149" s="103">
        <v>1.5</v>
      </c>
      <c r="O149" s="103">
        <v>1</v>
      </c>
      <c r="P149" s="103">
        <v>0</v>
      </c>
      <c r="Q149" s="52"/>
      <c r="R149" s="44"/>
    </row>
    <row r="150" spans="1:18" s="29" customFormat="1" ht="15.6">
      <c r="A150" s="592"/>
      <c r="B150" s="320"/>
      <c r="C150" s="314"/>
      <c r="D150" s="314"/>
      <c r="E150" s="314"/>
      <c r="F150" s="305"/>
      <c r="G150" s="321"/>
      <c r="H150" s="627"/>
      <c r="I150" s="54"/>
      <c r="J150" s="103" t="s">
        <v>77</v>
      </c>
      <c r="K150" s="103">
        <v>3</v>
      </c>
      <c r="L150" s="103">
        <v>2.5</v>
      </c>
      <c r="M150" s="103">
        <v>1.5</v>
      </c>
      <c r="N150" s="103">
        <v>1</v>
      </c>
      <c r="O150" s="103">
        <v>0</v>
      </c>
      <c r="P150" s="103">
        <v>0</v>
      </c>
      <c r="Q150" s="52"/>
      <c r="R150" s="44"/>
    </row>
    <row r="151" spans="1:18" s="29" customFormat="1" ht="15.75" customHeight="1">
      <c r="A151" s="972" t="s">
        <v>0</v>
      </c>
      <c r="B151" s="973"/>
      <c r="C151" s="888"/>
      <c r="D151" s="974" t="s">
        <v>4</v>
      </c>
      <c r="E151" s="951" t="s">
        <v>1</v>
      </c>
      <c r="F151" s="952"/>
      <c r="G151" s="953" t="s">
        <v>21</v>
      </c>
      <c r="H151" s="947" t="s">
        <v>62</v>
      </c>
      <c r="I151" s="54"/>
      <c r="J151" s="103" t="s">
        <v>78</v>
      </c>
      <c r="K151" s="103">
        <v>3</v>
      </c>
      <c r="L151" s="103">
        <v>1.5</v>
      </c>
      <c r="M151" s="103">
        <v>1</v>
      </c>
      <c r="N151" s="103">
        <v>0</v>
      </c>
      <c r="O151" s="103">
        <v>0</v>
      </c>
      <c r="P151" s="103">
        <v>0</v>
      </c>
      <c r="Q151" s="52"/>
      <c r="R151" s="44"/>
    </row>
    <row r="152" spans="1:18" s="29" customFormat="1" ht="30" customHeight="1">
      <c r="A152" s="867"/>
      <c r="B152" s="868"/>
      <c r="C152" s="870"/>
      <c r="D152" s="952"/>
      <c r="E152" s="550" t="s">
        <v>64</v>
      </c>
      <c r="F152" s="550" t="s">
        <v>65</v>
      </c>
      <c r="G152" s="954"/>
      <c r="H152" s="948"/>
      <c r="I152" s="54"/>
      <c r="J152" s="103" t="s">
        <v>79</v>
      </c>
      <c r="K152" s="103">
        <v>3</v>
      </c>
      <c r="L152" s="103">
        <v>1</v>
      </c>
      <c r="M152" s="103">
        <v>0</v>
      </c>
      <c r="N152" s="103">
        <v>0</v>
      </c>
      <c r="O152" s="103">
        <v>0</v>
      </c>
      <c r="P152" s="103">
        <v>0</v>
      </c>
      <c r="Q152" s="52"/>
      <c r="R152" s="44"/>
    </row>
    <row r="153" spans="1:18" s="29" customFormat="1" ht="15.6">
      <c r="A153" s="105" t="s">
        <v>230</v>
      </c>
      <c r="B153" s="105" t="s">
        <v>516</v>
      </c>
      <c r="C153" s="106"/>
      <c r="D153" s="106"/>
      <c r="E153" s="106"/>
      <c r="F153" s="110"/>
      <c r="G153" s="111"/>
      <c r="H153" s="628"/>
      <c r="J153" s="103" t="s">
        <v>73</v>
      </c>
      <c r="K153" s="103" t="s">
        <v>72</v>
      </c>
      <c r="L153" s="103">
        <v>1</v>
      </c>
      <c r="M153" s="103">
        <v>2</v>
      </c>
      <c r="N153" s="103">
        <v>3</v>
      </c>
      <c r="O153" s="103">
        <v>4</v>
      </c>
      <c r="P153" s="103">
        <v>4</v>
      </c>
      <c r="Q153" s="52"/>
      <c r="R153" s="44"/>
    </row>
    <row r="154" spans="1:18" s="29" customFormat="1" ht="15.6">
      <c r="A154" s="149" t="s">
        <v>231</v>
      </c>
      <c r="B154" s="149" t="s">
        <v>517</v>
      </c>
      <c r="C154" s="150"/>
      <c r="D154" s="151"/>
      <c r="E154" s="152"/>
      <c r="F154" s="152"/>
      <c r="G154" s="153"/>
      <c r="H154" s="629"/>
      <c r="I154" s="54"/>
      <c r="Q154" s="52"/>
      <c r="R154" s="44"/>
    </row>
    <row r="155" spans="1:18" s="29" customFormat="1">
      <c r="A155" s="630" t="s">
        <v>232</v>
      </c>
      <c r="B155" s="825" t="s">
        <v>612</v>
      </c>
      <c r="C155" s="827"/>
      <c r="D155" s="522" t="s">
        <v>50</v>
      </c>
      <c r="E155" s="523">
        <v>2</v>
      </c>
      <c r="F155" s="523">
        <v>3</v>
      </c>
      <c r="G155" s="27"/>
      <c r="H155" s="434">
        <f t="shared" ref="H155:H166" si="3">IF(G155&gt;=80%,F155,IF(G155&lt;65%,0,E155))</f>
        <v>0</v>
      </c>
      <c r="Q155" s="52"/>
      <c r="R155" s="44"/>
    </row>
    <row r="156" spans="1:18" s="29" customFormat="1">
      <c r="A156" s="630" t="s">
        <v>233</v>
      </c>
      <c r="B156" s="917" t="s">
        <v>613</v>
      </c>
      <c r="C156" s="843"/>
      <c r="D156" s="483" t="s">
        <v>50</v>
      </c>
      <c r="E156" s="434">
        <v>2</v>
      </c>
      <c r="F156" s="434">
        <v>3</v>
      </c>
      <c r="G156" s="553"/>
      <c r="H156" s="434">
        <f>IF(G156&gt;=80%,F156,IF(G156&lt;65%,0,E156))</f>
        <v>0</v>
      </c>
      <c r="Q156" s="52"/>
      <c r="R156" s="44"/>
    </row>
    <row r="157" spans="1:18" s="29" customFormat="1">
      <c r="A157" s="631" t="s">
        <v>234</v>
      </c>
      <c r="B157" s="917" t="s">
        <v>563</v>
      </c>
      <c r="C157" s="843"/>
      <c r="D157" s="524" t="s">
        <v>50</v>
      </c>
      <c r="E157" s="554">
        <v>2</v>
      </c>
      <c r="F157" s="434">
        <v>2.5</v>
      </c>
      <c r="G157" s="551"/>
      <c r="H157" s="434">
        <f t="shared" ref="H157" si="4">IF(G157&gt;=80%,F157,IF(G157&lt;65%,0,E157))</f>
        <v>0</v>
      </c>
      <c r="Q157" s="52"/>
      <c r="R157" s="44"/>
    </row>
    <row r="158" spans="1:18" s="29" customFormat="1">
      <c r="A158" s="631" t="s">
        <v>235</v>
      </c>
      <c r="B158" s="917" t="s">
        <v>623</v>
      </c>
      <c r="C158" s="843"/>
      <c r="D158" s="524" t="s">
        <v>50</v>
      </c>
      <c r="E158" s="554">
        <v>2</v>
      </c>
      <c r="F158" s="434">
        <v>2.5</v>
      </c>
      <c r="G158" s="551"/>
      <c r="H158" s="434">
        <f>IF(G158&gt;=80%,F158,IF(G158&lt;65%,0,E158))</f>
        <v>0</v>
      </c>
      <c r="Q158" s="52"/>
      <c r="R158" s="44"/>
    </row>
    <row r="159" spans="1:18" s="29" customFormat="1">
      <c r="A159" s="630" t="s">
        <v>371</v>
      </c>
      <c r="B159" s="875" t="s">
        <v>379</v>
      </c>
      <c r="C159" s="876"/>
      <c r="D159" s="530" t="s">
        <v>50</v>
      </c>
      <c r="E159" s="523">
        <v>2</v>
      </c>
      <c r="F159" s="523">
        <v>2.5</v>
      </c>
      <c r="G159" s="529"/>
      <c r="H159" s="434">
        <f>IF(G159&gt;=80%,F159,IF(G159&lt;65%,0,E159))</f>
        <v>0</v>
      </c>
      <c r="Q159" s="52"/>
      <c r="R159" s="44"/>
    </row>
    <row r="160" spans="1:18" s="29" customFormat="1" ht="30">
      <c r="A160" s="871" t="s">
        <v>519</v>
      </c>
      <c r="B160" s="873" t="s">
        <v>397</v>
      </c>
      <c r="C160" s="940"/>
      <c r="D160" s="524" t="s">
        <v>402</v>
      </c>
      <c r="E160" s="964">
        <v>2.5</v>
      </c>
      <c r="F160" s="965"/>
      <c r="G160" s="933"/>
      <c r="H160" s="931">
        <f>IF(G160&gt;=35,E161,IF(G160&gt;=30,E160,0))</f>
        <v>0</v>
      </c>
      <c r="Q160" s="52"/>
      <c r="R160" s="44"/>
    </row>
    <row r="161" spans="1:18" s="29" customFormat="1" ht="30">
      <c r="A161" s="872"/>
      <c r="B161" s="941"/>
      <c r="C161" s="942"/>
      <c r="D161" s="524" t="s">
        <v>396</v>
      </c>
      <c r="E161" s="964">
        <v>3</v>
      </c>
      <c r="F161" s="965"/>
      <c r="G161" s="934"/>
      <c r="H161" s="932"/>
      <c r="Q161" s="52"/>
      <c r="R161" s="44"/>
    </row>
    <row r="162" spans="1:18" s="29" customFormat="1" ht="31.5" customHeight="1">
      <c r="A162" s="871" t="s">
        <v>520</v>
      </c>
      <c r="B162" s="873" t="s">
        <v>398</v>
      </c>
      <c r="C162" s="874"/>
      <c r="D162" s="524" t="s">
        <v>333</v>
      </c>
      <c r="E162" s="962">
        <v>4</v>
      </c>
      <c r="F162" s="963"/>
      <c r="G162" s="933"/>
      <c r="H162" s="931">
        <f>IF(G162&gt;=80,E162,IF(G162&gt;=70,E163,IF(G162&gt;=60,E164,IF(G162&gt;=50,E165,0))))</f>
        <v>0</v>
      </c>
      <c r="Q162" s="52"/>
      <c r="R162" s="44"/>
    </row>
    <row r="163" spans="1:18" s="29" customFormat="1" ht="31.5" customHeight="1">
      <c r="A163" s="975"/>
      <c r="B163" s="929"/>
      <c r="C163" s="930"/>
      <c r="D163" s="524" t="s">
        <v>334</v>
      </c>
      <c r="E163" s="962">
        <v>3</v>
      </c>
      <c r="F163" s="963"/>
      <c r="G163" s="935"/>
      <c r="H163" s="936"/>
      <c r="Q163" s="52"/>
      <c r="R163" s="44"/>
    </row>
    <row r="164" spans="1:18" s="29" customFormat="1" ht="31.5" customHeight="1">
      <c r="A164" s="975"/>
      <c r="B164" s="929"/>
      <c r="C164" s="930"/>
      <c r="D164" s="524" t="s">
        <v>368</v>
      </c>
      <c r="E164" s="962">
        <v>2</v>
      </c>
      <c r="F164" s="963"/>
      <c r="G164" s="935"/>
      <c r="H164" s="936"/>
      <c r="Q164" s="52"/>
      <c r="R164" s="44"/>
    </row>
    <row r="165" spans="1:18" s="29" customFormat="1" ht="31.5" customHeight="1">
      <c r="A165" s="872"/>
      <c r="B165" s="875"/>
      <c r="C165" s="876"/>
      <c r="D165" s="524" t="s">
        <v>369</v>
      </c>
      <c r="E165" s="962">
        <v>1</v>
      </c>
      <c r="F165" s="963"/>
      <c r="G165" s="934"/>
      <c r="H165" s="932"/>
      <c r="Q165" s="52"/>
      <c r="R165" s="44"/>
    </row>
    <row r="166" spans="1:18" s="29" customFormat="1" ht="31.5" customHeight="1">
      <c r="A166" s="871" t="s">
        <v>643</v>
      </c>
      <c r="B166" s="873" t="s">
        <v>614</v>
      </c>
      <c r="C166" s="874"/>
      <c r="D166" s="524" t="s">
        <v>66</v>
      </c>
      <c r="E166" s="525">
        <v>3.5</v>
      </c>
      <c r="F166" s="525">
        <v>4</v>
      </c>
      <c r="G166" s="27"/>
      <c r="H166" s="434">
        <f t="shared" si="3"/>
        <v>0</v>
      </c>
      <c r="Q166" s="52"/>
      <c r="R166" s="44"/>
    </row>
    <row r="167" spans="1:18" s="29" customFormat="1" ht="30">
      <c r="A167" s="872"/>
      <c r="B167" s="875"/>
      <c r="C167" s="876"/>
      <c r="D167" s="524" t="s">
        <v>67</v>
      </c>
      <c r="E167" s="525" t="s">
        <v>49</v>
      </c>
      <c r="F167" s="525">
        <v>3</v>
      </c>
      <c r="G167" s="27"/>
      <c r="H167" s="434">
        <f>IF(G167&gt;=80%,F167,0)</f>
        <v>0</v>
      </c>
      <c r="Q167" s="52"/>
      <c r="R167" s="44"/>
    </row>
    <row r="168" spans="1:18" s="29" customFormat="1" ht="15.6">
      <c r="A168" s="82">
        <v>14</v>
      </c>
      <c r="B168" s="470" t="s">
        <v>515</v>
      </c>
      <c r="C168" s="89"/>
      <c r="D168" s="151"/>
      <c r="E168" s="152"/>
      <c r="F168" s="152"/>
      <c r="G168" s="153"/>
      <c r="H168" s="629"/>
      <c r="Q168" s="52"/>
      <c r="R168" s="44"/>
    </row>
    <row r="169" spans="1:18" s="29" customFormat="1" ht="31.95" customHeight="1">
      <c r="A169" s="630" t="s">
        <v>236</v>
      </c>
      <c r="B169" s="875" t="s">
        <v>648</v>
      </c>
      <c r="C169" s="876"/>
      <c r="D169" s="527" t="s">
        <v>50</v>
      </c>
      <c r="E169" s="528">
        <v>2</v>
      </c>
      <c r="F169" s="528">
        <v>2.5</v>
      </c>
      <c r="G169" s="529"/>
      <c r="H169" s="9">
        <f>IF(G169&gt;=80%,F169,IF(G169&lt;65%,0,E169))</f>
        <v>0</v>
      </c>
      <c r="Q169" s="52"/>
      <c r="R169" s="44"/>
    </row>
    <row r="170" spans="1:18" s="29" customFormat="1">
      <c r="A170" s="630" t="s">
        <v>237</v>
      </c>
      <c r="B170" s="875" t="s">
        <v>615</v>
      </c>
      <c r="C170" s="876"/>
      <c r="D170" s="530" t="s">
        <v>50</v>
      </c>
      <c r="E170" s="523" t="s">
        <v>49</v>
      </c>
      <c r="F170" s="523">
        <v>2.5</v>
      </c>
      <c r="G170" s="526">
        <f>F23</f>
        <v>0</v>
      </c>
      <c r="H170" s="434">
        <f>IF(G170&gt;=80%,F170,0)</f>
        <v>0</v>
      </c>
      <c r="Q170" s="52"/>
      <c r="R170" s="44"/>
    </row>
    <row r="171" spans="1:18" s="29" customFormat="1" ht="32.25" customHeight="1">
      <c r="A171" s="630" t="s">
        <v>378</v>
      </c>
      <c r="B171" s="875" t="s">
        <v>617</v>
      </c>
      <c r="C171" s="876"/>
      <c r="D171" s="530" t="s">
        <v>50</v>
      </c>
      <c r="E171" s="523">
        <v>2</v>
      </c>
      <c r="F171" s="523">
        <v>3</v>
      </c>
      <c r="G171" s="529"/>
      <c r="H171" s="434">
        <f>IF(G171&gt;=80%,F171,IF(G171&lt;65%,0,E171))</f>
        <v>0</v>
      </c>
      <c r="Q171" s="52"/>
      <c r="R171" s="44"/>
    </row>
    <row r="172" spans="1:18" s="29" customFormat="1" ht="30" customHeight="1">
      <c r="A172" s="632" t="s">
        <v>521</v>
      </c>
      <c r="B172" s="825" t="s">
        <v>616</v>
      </c>
      <c r="C172" s="827"/>
      <c r="D172" s="420" t="s">
        <v>50</v>
      </c>
      <c r="E172" s="434">
        <v>2</v>
      </c>
      <c r="F172" s="434">
        <v>2.5</v>
      </c>
      <c r="G172" s="30"/>
      <c r="H172" s="434">
        <f>IF(G172&gt;=80%,F172,IF(G172&lt;65%,0,E172))</f>
        <v>0</v>
      </c>
      <c r="Q172" s="52"/>
      <c r="R172" s="44"/>
    </row>
    <row r="173" spans="1:18" s="29" customFormat="1" ht="15.6">
      <c r="A173" s="82">
        <v>15</v>
      </c>
      <c r="B173" s="82" t="s">
        <v>259</v>
      </c>
      <c r="C173" s="89"/>
      <c r="D173" s="151"/>
      <c r="E173" s="152"/>
      <c r="F173" s="152"/>
      <c r="G173" s="153"/>
      <c r="H173" s="629"/>
      <c r="Q173" s="52"/>
      <c r="R173" s="44"/>
    </row>
    <row r="174" spans="1:18" s="29" customFormat="1">
      <c r="A174" s="877" t="s">
        <v>238</v>
      </c>
      <c r="B174" s="879" t="s">
        <v>275</v>
      </c>
      <c r="C174" s="880"/>
      <c r="D174" s="943" t="s">
        <v>50</v>
      </c>
      <c r="E174" s="828">
        <v>2.5</v>
      </c>
      <c r="F174" s="828">
        <v>4</v>
      </c>
      <c r="G174" s="957"/>
      <c r="H174" s="828">
        <f>IF(G174&gt;=80%,F174,IF(G174&lt;65%,0,E174))</f>
        <v>0</v>
      </c>
      <c r="Q174" s="52"/>
      <c r="R174" s="44"/>
    </row>
    <row r="175" spans="1:18" s="29" customFormat="1" ht="15.6">
      <c r="A175" s="878"/>
      <c r="B175" s="810" t="s">
        <v>276</v>
      </c>
      <c r="C175" s="810"/>
      <c r="D175" s="944"/>
      <c r="E175" s="829"/>
      <c r="F175" s="829"/>
      <c r="G175" s="958"/>
      <c r="H175" s="829"/>
      <c r="Q175" s="52"/>
      <c r="R175" s="44"/>
    </row>
    <row r="176" spans="1:18" s="29" customFormat="1">
      <c r="A176" s="877" t="s">
        <v>239</v>
      </c>
      <c r="B176" s="858" t="s">
        <v>137</v>
      </c>
      <c r="C176" s="840"/>
      <c r="D176" s="937" t="s">
        <v>50</v>
      </c>
      <c r="E176" s="938">
        <v>2.5</v>
      </c>
      <c r="F176" s="938">
        <v>4</v>
      </c>
      <c r="G176" s="961"/>
      <c r="H176" s="811">
        <f>IF(G176&gt;=80%,F176,IF(G176&lt;65%,0,E176))</f>
        <v>0</v>
      </c>
      <c r="Q176" s="52"/>
      <c r="R176" s="44"/>
    </row>
    <row r="177" spans="1:18" s="29" customFormat="1" ht="15.6">
      <c r="A177" s="878"/>
      <c r="B177" s="810" t="s">
        <v>119</v>
      </c>
      <c r="C177" s="810"/>
      <c r="D177" s="937"/>
      <c r="E177" s="938"/>
      <c r="F177" s="938"/>
      <c r="G177" s="961"/>
      <c r="H177" s="811"/>
      <c r="Q177" s="52"/>
      <c r="R177" s="44"/>
    </row>
    <row r="178" spans="1:18" s="29" customFormat="1" ht="15.6">
      <c r="A178" s="102">
        <v>16</v>
      </c>
      <c r="B178" s="102" t="s">
        <v>202</v>
      </c>
      <c r="C178" s="89"/>
      <c r="D178" s="89"/>
      <c r="E178" s="91"/>
      <c r="F178" s="91"/>
      <c r="G178" s="92"/>
      <c r="H178" s="614"/>
      <c r="Q178" s="59"/>
      <c r="R178" s="44"/>
    </row>
    <row r="179" spans="1:18" s="29" customFormat="1">
      <c r="A179" s="598" t="s">
        <v>241</v>
      </c>
      <c r="B179" s="765"/>
      <c r="C179" s="766"/>
      <c r="D179" s="107"/>
      <c r="E179" s="538"/>
      <c r="F179" s="538"/>
      <c r="G179" s="65"/>
      <c r="H179" s="633">
        <f>IF(G179&gt;=80%,F179,IF(G179&lt;65%,0,E179))</f>
        <v>0</v>
      </c>
      <c r="Q179" s="52"/>
      <c r="R179" s="44"/>
    </row>
    <row r="180" spans="1:18" s="29" customFormat="1">
      <c r="A180" s="598" t="s">
        <v>242</v>
      </c>
      <c r="B180" s="765"/>
      <c r="C180" s="766"/>
      <c r="D180" s="107"/>
      <c r="E180" s="538"/>
      <c r="F180" s="538"/>
      <c r="G180" s="65"/>
      <c r="H180" s="633">
        <f>IF(G180&gt;=80%,F180,IF(G180&lt;65%,0,E180))</f>
        <v>0</v>
      </c>
      <c r="Q180" s="52"/>
      <c r="R180" s="44"/>
    </row>
    <row r="181" spans="1:18" s="29" customFormat="1">
      <c r="A181" s="598" t="s">
        <v>243</v>
      </c>
      <c r="B181" s="765"/>
      <c r="C181" s="766"/>
      <c r="D181" s="107"/>
      <c r="E181" s="538"/>
      <c r="F181" s="538"/>
      <c r="G181" s="65"/>
      <c r="H181" s="633">
        <f>IF(G181&gt;=80%,F181,IF(G181&lt;65%,0,E181))</f>
        <v>0</v>
      </c>
      <c r="Q181" s="52"/>
      <c r="R181" s="44"/>
    </row>
    <row r="182" spans="1:18" s="29" customFormat="1" ht="15.6">
      <c r="A182" s="604"/>
      <c r="B182" s="307"/>
      <c r="C182" s="305"/>
      <c r="D182" s="305"/>
      <c r="E182" s="305"/>
      <c r="F182" s="309"/>
      <c r="G182" s="310" t="s">
        <v>376</v>
      </c>
      <c r="H182" s="634">
        <f>IFERROR((SUM(H147:H181)),0)</f>
        <v>0</v>
      </c>
      <c r="Q182" s="52"/>
      <c r="R182" s="44"/>
    </row>
    <row r="183" spans="1:18" s="29" customFormat="1" ht="15.6" thickBot="1">
      <c r="A183" s="594"/>
      <c r="B183" s="361"/>
      <c r="C183" s="362"/>
      <c r="D183" s="362"/>
      <c r="E183" s="362"/>
      <c r="F183" s="362"/>
      <c r="G183" s="354"/>
      <c r="H183" s="595"/>
      <c r="Q183" s="52"/>
      <c r="R183" s="44"/>
    </row>
    <row r="184" spans="1:18" s="29" customFormat="1" ht="30.75" customHeight="1">
      <c r="A184" s="865" t="s">
        <v>0</v>
      </c>
      <c r="B184" s="866"/>
      <c r="C184" s="869"/>
      <c r="D184" s="856" t="s">
        <v>4</v>
      </c>
      <c r="E184" s="959" t="s">
        <v>1</v>
      </c>
      <c r="F184" s="960"/>
      <c r="G184" s="955" t="s">
        <v>21</v>
      </c>
      <c r="H184" s="856" t="s">
        <v>62</v>
      </c>
      <c r="Q184" s="52"/>
      <c r="R184" s="44"/>
    </row>
    <row r="185" spans="1:18" s="29" customFormat="1" ht="15.6">
      <c r="A185" s="867"/>
      <c r="B185" s="868"/>
      <c r="C185" s="870"/>
      <c r="D185" s="857"/>
      <c r="E185" s="550" t="s">
        <v>120</v>
      </c>
      <c r="F185" s="550" t="s">
        <v>121</v>
      </c>
      <c r="G185" s="956"/>
      <c r="H185" s="857"/>
      <c r="Q185" s="52"/>
      <c r="R185" s="44"/>
    </row>
    <row r="186" spans="1:18" s="29" customFormat="1" ht="15.6">
      <c r="A186" s="126" t="s">
        <v>240</v>
      </c>
      <c r="B186" s="105" t="s">
        <v>244</v>
      </c>
      <c r="C186" s="106"/>
      <c r="D186" s="106"/>
      <c r="E186" s="106"/>
      <c r="F186" s="110"/>
      <c r="G186" s="111"/>
      <c r="H186" s="628"/>
      <c r="Q186" s="52"/>
      <c r="R186" s="44"/>
    </row>
    <row r="187" spans="1:18" s="29" customFormat="1">
      <c r="A187" s="625" t="s">
        <v>277</v>
      </c>
      <c r="B187" s="858" t="s">
        <v>245</v>
      </c>
      <c r="C187" s="859"/>
      <c r="D187" s="5" t="s">
        <v>50</v>
      </c>
      <c r="E187" s="20">
        <v>-1</v>
      </c>
      <c r="F187" s="20">
        <v>-2</v>
      </c>
      <c r="G187" s="28"/>
      <c r="H187" s="20">
        <f>IF(G187&gt;=30%,F187,IF(G187=0%,0,E187))</f>
        <v>0</v>
      </c>
      <c r="Q187" s="52"/>
      <c r="R187" s="44"/>
    </row>
    <row r="188" spans="1:18" s="29" customFormat="1">
      <c r="A188" s="625" t="s">
        <v>278</v>
      </c>
      <c r="B188" s="858" t="s">
        <v>246</v>
      </c>
      <c r="C188" s="859"/>
      <c r="D188" s="5" t="s">
        <v>50</v>
      </c>
      <c r="E188" s="20">
        <v>-1</v>
      </c>
      <c r="F188" s="20">
        <v>-1.5</v>
      </c>
      <c r="G188" s="28"/>
      <c r="H188" s="20">
        <f>IF(G188&gt;=30%,F188,IF(G188=0%,0,E188))</f>
        <v>0</v>
      </c>
      <c r="Q188" s="52"/>
      <c r="R188" s="44"/>
    </row>
    <row r="189" spans="1:18" s="29" customFormat="1">
      <c r="A189" s="625" t="s">
        <v>279</v>
      </c>
      <c r="B189" s="858" t="s">
        <v>247</v>
      </c>
      <c r="C189" s="859"/>
      <c r="D189" s="5" t="s">
        <v>50</v>
      </c>
      <c r="E189" s="811">
        <v>-1</v>
      </c>
      <c r="F189" s="811"/>
      <c r="G189" s="553"/>
      <c r="H189" s="20">
        <f>IF(G189&gt;0%,E189,0)</f>
        <v>0</v>
      </c>
      <c r="Q189" s="52"/>
      <c r="R189" s="44"/>
    </row>
    <row r="190" spans="1:18" s="29" customFormat="1" ht="15.6">
      <c r="A190" s="604"/>
      <c r="B190" s="307"/>
      <c r="C190" s="305"/>
      <c r="D190" s="305"/>
      <c r="E190" s="305"/>
      <c r="F190" s="309"/>
      <c r="G190" s="310" t="s">
        <v>133</v>
      </c>
      <c r="H190" s="634">
        <f>IFERROR(MAX(SUM(H187:H189),-4),0)</f>
        <v>0</v>
      </c>
      <c r="Q190" s="44"/>
      <c r="R190" s="44"/>
    </row>
    <row r="191" spans="1:18" s="29" customFormat="1">
      <c r="A191" s="592"/>
      <c r="B191" s="307"/>
      <c r="C191" s="305"/>
      <c r="D191" s="305"/>
      <c r="E191" s="305"/>
      <c r="F191" s="305"/>
      <c r="G191" s="314"/>
      <c r="H191" s="571"/>
      <c r="Q191" s="52"/>
      <c r="R191" s="44"/>
    </row>
    <row r="192" spans="1:18" s="29" customFormat="1" ht="15.6">
      <c r="A192" s="592"/>
      <c r="B192" s="307"/>
      <c r="C192" s="305"/>
      <c r="D192" s="305"/>
      <c r="E192" s="305"/>
      <c r="F192" s="305"/>
      <c r="G192" s="312" t="s">
        <v>132</v>
      </c>
      <c r="H192" s="154">
        <f>IFERROR(MIN(SUM(H120+H143+H182+H190),G91),0)</f>
        <v>0</v>
      </c>
      <c r="Q192" s="52"/>
      <c r="R192" s="44"/>
    </row>
    <row r="193" spans="1:18" s="29" customFormat="1" ht="16.2" thickBot="1">
      <c r="A193" s="594"/>
      <c r="B193" s="361"/>
      <c r="C193" s="362"/>
      <c r="D193" s="362"/>
      <c r="E193" s="362"/>
      <c r="F193" s="362"/>
      <c r="G193" s="363"/>
      <c r="H193" s="606"/>
      <c r="Q193" s="52"/>
      <c r="R193" s="44"/>
    </row>
    <row r="194" spans="1:18" s="29" customFormat="1" ht="15.6">
      <c r="A194" s="635" t="s">
        <v>63</v>
      </c>
      <c r="B194" s="355"/>
      <c r="C194" s="355"/>
      <c r="D194" s="355"/>
      <c r="E194" s="355"/>
      <c r="F194" s="356" t="s">
        <v>42</v>
      </c>
      <c r="G194" s="357">
        <f>VLOOKUP($A$7,'Manpower allocation'!A4:D11,4,FALSE)*100</f>
        <v>15</v>
      </c>
      <c r="H194" s="636" t="s">
        <v>41</v>
      </c>
      <c r="I194" s="108">
        <f>VLOOKUP($A$7,'Manpower allocation'!A4:D11,4,FALSE)*100</f>
        <v>15</v>
      </c>
      <c r="Q194" s="52"/>
      <c r="R194" s="44"/>
    </row>
    <row r="195" spans="1:18" s="29" customFormat="1" ht="15.6">
      <c r="A195" s="592"/>
      <c r="B195" s="313"/>
      <c r="C195" s="305"/>
      <c r="D195" s="305"/>
      <c r="E195" s="305"/>
      <c r="F195" s="305"/>
      <c r="G195" s="314"/>
      <c r="H195" s="571"/>
      <c r="Q195" s="52"/>
      <c r="R195" s="44"/>
    </row>
    <row r="196" spans="1:18" s="29" customFormat="1" ht="46.8">
      <c r="A196" s="850" t="s">
        <v>0</v>
      </c>
      <c r="B196" s="851"/>
      <c r="C196" s="109"/>
      <c r="D196" s="545" t="s">
        <v>17</v>
      </c>
      <c r="E196" s="545" t="s">
        <v>124</v>
      </c>
      <c r="F196" s="545" t="s">
        <v>108</v>
      </c>
      <c r="G196" s="545" t="s">
        <v>18</v>
      </c>
      <c r="H196" s="545" t="s">
        <v>62</v>
      </c>
      <c r="Q196" s="52"/>
      <c r="R196" s="44"/>
    </row>
    <row r="197" spans="1:18" s="29" customFormat="1" ht="15.6">
      <c r="A197" s="105" t="s">
        <v>250</v>
      </c>
      <c r="B197" s="531" t="s">
        <v>618</v>
      </c>
      <c r="C197" s="106"/>
      <c r="D197" s="106"/>
      <c r="E197" s="106"/>
      <c r="F197" s="110"/>
      <c r="G197" s="111"/>
      <c r="H197" s="628"/>
      <c r="Q197" s="52"/>
      <c r="R197" s="44"/>
    </row>
    <row r="198" spans="1:18" s="29" customFormat="1" ht="15.6">
      <c r="A198" s="112">
        <v>1</v>
      </c>
      <c r="B198" s="112" t="s">
        <v>304</v>
      </c>
      <c r="C198" s="113"/>
      <c r="D198" s="114"/>
      <c r="E198" s="114"/>
      <c r="F198" s="114"/>
      <c r="G198" s="114"/>
      <c r="H198" s="637"/>
      <c r="Q198" s="52"/>
      <c r="R198" s="44"/>
    </row>
    <row r="199" spans="1:18" s="29" customFormat="1">
      <c r="A199" s="541">
        <v>1.1000000000000001</v>
      </c>
      <c r="B199" s="822" t="s">
        <v>271</v>
      </c>
      <c r="C199" s="824"/>
      <c r="D199" s="20">
        <f>VLOOKUP(A199,'Point Allocation'!$A$46:$J$55,MATCH(A7,'Point Allocation'!$A$46:$J$46,0),0)</f>
        <v>15</v>
      </c>
      <c r="E199" s="38"/>
      <c r="F199" s="38"/>
      <c r="G199" s="31">
        <f>MIN(IFERROR(F199/E199,0),100%)</f>
        <v>0</v>
      </c>
      <c r="H199" s="20">
        <f>D199*G199</f>
        <v>0</v>
      </c>
      <c r="Q199" s="52"/>
      <c r="R199" s="44"/>
    </row>
    <row r="200" spans="1:18" s="29" customFormat="1" ht="15.6">
      <c r="A200" s="115">
        <v>2</v>
      </c>
      <c r="B200" s="115" t="s">
        <v>305</v>
      </c>
      <c r="C200" s="116"/>
      <c r="D200" s="32"/>
      <c r="E200" s="33"/>
      <c r="F200" s="33"/>
      <c r="G200" s="34"/>
      <c r="H200" s="638"/>
      <c r="Q200" s="52"/>
      <c r="R200" s="44"/>
    </row>
    <row r="201" spans="1:18" s="29" customFormat="1" ht="33" customHeight="1">
      <c r="A201" s="544">
        <v>2.1</v>
      </c>
      <c r="B201" s="863" t="s">
        <v>251</v>
      </c>
      <c r="C201" s="864"/>
      <c r="D201" s="20">
        <f>VLOOKUP(A201,'Point Allocation'!$A$46:$J$55,MATCH(A7,'Point Allocation'!$A$46:$J$46,0),0)</f>
        <v>12</v>
      </c>
      <c r="E201" s="38"/>
      <c r="F201" s="38"/>
      <c r="G201" s="31">
        <f>MIN(IFERROR(F201/E201,0),100%)</f>
        <v>0</v>
      </c>
      <c r="H201" s="20">
        <f>D201*G201</f>
        <v>0</v>
      </c>
      <c r="Q201" s="52"/>
      <c r="R201" s="44"/>
    </row>
    <row r="202" spans="1:18" s="29" customFormat="1" ht="15.6">
      <c r="A202" s="112">
        <v>3</v>
      </c>
      <c r="B202" s="112" t="s">
        <v>309</v>
      </c>
      <c r="C202" s="117"/>
      <c r="D202" s="35"/>
      <c r="E202" s="35"/>
      <c r="F202" s="35"/>
      <c r="G202" s="34"/>
      <c r="H202" s="639"/>
      <c r="Q202" s="52"/>
      <c r="R202" s="44"/>
    </row>
    <row r="203" spans="1:18" s="29" customFormat="1">
      <c r="A203" s="540">
        <v>3.1</v>
      </c>
      <c r="B203" s="837" t="s">
        <v>400</v>
      </c>
      <c r="C203" s="838"/>
      <c r="D203" s="20">
        <f>VLOOKUP(A203,'Point Allocation'!$A$46:$J$55,MATCH(A7,'Point Allocation'!$A$46:$J$46,0),0)</f>
        <v>4</v>
      </c>
      <c r="E203" s="38"/>
      <c r="F203" s="38"/>
      <c r="G203" s="31">
        <f>MIN(IFERROR(F203/E203,0),100%)</f>
        <v>0</v>
      </c>
      <c r="H203" s="20">
        <f>D203*G203</f>
        <v>0</v>
      </c>
      <c r="Q203" s="52"/>
      <c r="R203" s="44"/>
    </row>
    <row r="204" spans="1:18" s="29" customFormat="1">
      <c r="A204" s="540">
        <v>3.2</v>
      </c>
      <c r="B204" s="837" t="s">
        <v>401</v>
      </c>
      <c r="C204" s="838"/>
      <c r="D204" s="20">
        <f>VLOOKUP(A204,'Point Allocation'!$A$46:$J$55,MATCH(A7,'Point Allocation'!$A$46:$J$46,0),0)</f>
        <v>4</v>
      </c>
      <c r="E204" s="165"/>
      <c r="F204" s="38"/>
      <c r="G204" s="31">
        <f>MIN(IFERROR(F204/E204,0),100%)</f>
        <v>0</v>
      </c>
      <c r="H204" s="20">
        <f>D204*G204</f>
        <v>0</v>
      </c>
      <c r="Q204" s="52"/>
      <c r="R204" s="44"/>
    </row>
    <row r="205" spans="1:18" s="29" customFormat="1">
      <c r="A205" s="543">
        <v>3.3</v>
      </c>
      <c r="B205" s="858" t="s">
        <v>161</v>
      </c>
      <c r="C205" s="859"/>
      <c r="D205" s="20">
        <f>VLOOKUP(A205,'Point Allocation'!$A$46:$J$55,MATCH(A7,'Point Allocation'!$A$46:$J$46,0),0)</f>
        <v>4</v>
      </c>
      <c r="E205" s="166"/>
      <c r="F205" s="537"/>
      <c r="G205" s="31">
        <f>MIN(IFERROR(F205/E205,0),100%)</f>
        <v>0</v>
      </c>
      <c r="H205" s="20">
        <f>D205*G205</f>
        <v>0</v>
      </c>
      <c r="Q205" s="52"/>
      <c r="R205" s="44"/>
    </row>
    <row r="206" spans="1:18" s="29" customFormat="1" ht="15.6">
      <c r="A206" s="592"/>
      <c r="B206" s="307"/>
      <c r="C206" s="305"/>
      <c r="D206" s="306" t="s">
        <v>6</v>
      </c>
      <c r="E206" s="283">
        <f>MAX(SUM(E199:E205),F206)</f>
        <v>0</v>
      </c>
      <c r="F206" s="283">
        <f>SUM(F199:F205)</f>
        <v>0</v>
      </c>
      <c r="G206" s="322">
        <f>IFERROR(MIN(F206/E206,100%),0)</f>
        <v>0</v>
      </c>
      <c r="H206" s="593">
        <f>IFERROR(SUM(H199:H205),0)</f>
        <v>0</v>
      </c>
      <c r="Q206" s="52"/>
      <c r="R206" s="44"/>
    </row>
    <row r="207" spans="1:18" s="29" customFormat="1" ht="15.6">
      <c r="A207" s="592"/>
      <c r="B207" s="320"/>
      <c r="C207" s="323"/>
      <c r="D207" s="324"/>
      <c r="E207" s="323"/>
      <c r="F207" s="323"/>
      <c r="G207" s="325"/>
      <c r="H207" s="317"/>
      <c r="Q207" s="52"/>
      <c r="R207" s="44"/>
    </row>
    <row r="208" spans="1:18" s="29" customFormat="1" ht="15.6">
      <c r="A208" s="850" t="s">
        <v>0</v>
      </c>
      <c r="B208" s="851"/>
      <c r="C208" s="860"/>
      <c r="D208" s="862" t="s">
        <v>4</v>
      </c>
      <c r="E208" s="862" t="s">
        <v>1</v>
      </c>
      <c r="F208" s="862"/>
      <c r="G208" s="881" t="s">
        <v>21</v>
      </c>
      <c r="H208" s="881" t="s">
        <v>62</v>
      </c>
      <c r="Q208" s="52"/>
      <c r="R208" s="44"/>
    </row>
    <row r="209" spans="1:18" s="29" customFormat="1" ht="30.75" customHeight="1">
      <c r="A209" s="852"/>
      <c r="B209" s="853"/>
      <c r="C209" s="861"/>
      <c r="D209" s="862"/>
      <c r="E209" s="545" t="s">
        <v>64</v>
      </c>
      <c r="F209" s="545" t="s">
        <v>65</v>
      </c>
      <c r="G209" s="881"/>
      <c r="H209" s="881"/>
      <c r="Q209" s="52"/>
      <c r="R209" s="44"/>
    </row>
    <row r="210" spans="1:18" s="29" customFormat="1" ht="15.6">
      <c r="A210" s="45" t="s">
        <v>253</v>
      </c>
      <c r="B210" s="45" t="s">
        <v>254</v>
      </c>
      <c r="C210" s="56"/>
      <c r="D210" s="56"/>
      <c r="E210" s="56"/>
      <c r="F210" s="57"/>
      <c r="G210" s="104"/>
      <c r="H210" s="624"/>
      <c r="Q210" s="52"/>
      <c r="R210" s="44"/>
    </row>
    <row r="211" spans="1:18" s="29" customFormat="1" ht="15.6">
      <c r="A211" s="118">
        <v>4</v>
      </c>
      <c r="B211" s="118" t="s">
        <v>307</v>
      </c>
      <c r="C211" s="116"/>
      <c r="D211" s="119"/>
      <c r="E211" s="120"/>
      <c r="F211" s="120"/>
      <c r="G211" s="121"/>
      <c r="H211" s="640"/>
      <c r="Q211" s="52"/>
      <c r="R211" s="44"/>
    </row>
    <row r="212" spans="1:18" s="29" customFormat="1">
      <c r="A212" s="541">
        <v>4.0999999999999996</v>
      </c>
      <c r="B212" s="822" t="s">
        <v>155</v>
      </c>
      <c r="C212" s="824"/>
      <c r="D212" s="5" t="s">
        <v>50</v>
      </c>
      <c r="E212" s="20" t="s">
        <v>49</v>
      </c>
      <c r="F212" s="20">
        <f>VLOOKUP(A212,'Point Allocation'!$A$46:$J$55,MATCH(A7,'Point Allocation'!$A$46:$J$46,0),0)</f>
        <v>1.5</v>
      </c>
      <c r="G212" s="553"/>
      <c r="H212" s="20">
        <f>IF(G212&gt;=80%,F212,0)</f>
        <v>0</v>
      </c>
      <c r="Q212" s="52"/>
      <c r="R212" s="44"/>
    </row>
    <row r="213" spans="1:18" s="29" customFormat="1">
      <c r="A213" s="541">
        <v>4.2</v>
      </c>
      <c r="B213" s="822" t="s">
        <v>152</v>
      </c>
      <c r="C213" s="824"/>
      <c r="D213" s="5" t="s">
        <v>50</v>
      </c>
      <c r="E213" s="20" t="s">
        <v>49</v>
      </c>
      <c r="F213" s="20">
        <f>VLOOKUP(A213,'Point Allocation'!$A$46:$J$55,MATCH(A7,'Point Allocation'!$A$46:$J$46,0),0)</f>
        <v>1.5</v>
      </c>
      <c r="G213" s="553"/>
      <c r="H213" s="20">
        <f>IF(G213&gt;=80%,F213,0)</f>
        <v>0</v>
      </c>
      <c r="Q213" s="52"/>
      <c r="R213" s="44"/>
    </row>
    <row r="214" spans="1:18" s="29" customFormat="1">
      <c r="A214" s="541">
        <v>4.3</v>
      </c>
      <c r="B214" s="822" t="s">
        <v>146</v>
      </c>
      <c r="C214" s="824"/>
      <c r="D214" s="5" t="s">
        <v>3</v>
      </c>
      <c r="E214" s="20" t="s">
        <v>49</v>
      </c>
      <c r="F214" s="20">
        <f>VLOOKUP(A214,'Point Allocation'!$A$46:$J$55,MATCH(A7,'Point Allocation'!$A$46:$J$46,0),0)</f>
        <v>1.5</v>
      </c>
      <c r="G214" s="553"/>
      <c r="H214" s="20">
        <f>IF(G214&gt;=80%,F214,0)</f>
        <v>0</v>
      </c>
      <c r="Q214" s="52"/>
      <c r="R214" s="44"/>
    </row>
    <row r="215" spans="1:18" s="29" customFormat="1">
      <c r="A215" s="542">
        <v>4.4000000000000004</v>
      </c>
      <c r="B215" s="848" t="s">
        <v>252</v>
      </c>
      <c r="C215" s="849"/>
      <c r="D215" s="5" t="s">
        <v>3</v>
      </c>
      <c r="E215" s="20" t="s">
        <v>49</v>
      </c>
      <c r="F215" s="20">
        <f>VLOOKUP(A215,'Point Allocation'!$A$46:$J$55,MATCH(A7,'Point Allocation'!$A$46:$J$46,0),0)</f>
        <v>1.5</v>
      </c>
      <c r="G215" s="553"/>
      <c r="H215" s="20">
        <f>IF(G215&gt;=80%,F215,0)</f>
        <v>0</v>
      </c>
      <c r="Q215" s="52"/>
      <c r="R215" s="44"/>
    </row>
    <row r="216" spans="1:18" s="29" customFormat="1" ht="15.6">
      <c r="A216" s="118">
        <v>5</v>
      </c>
      <c r="B216" s="118" t="s">
        <v>202</v>
      </c>
      <c r="C216" s="116"/>
      <c r="D216" s="122"/>
      <c r="E216" s="123"/>
      <c r="F216" s="123"/>
      <c r="G216" s="124"/>
      <c r="H216" s="641"/>
      <c r="Q216" s="52"/>
      <c r="R216" s="44"/>
    </row>
    <row r="217" spans="1:18" s="29" customFormat="1">
      <c r="A217" s="591">
        <v>5.0999999999999996</v>
      </c>
      <c r="B217" s="765"/>
      <c r="C217" s="847"/>
      <c r="D217" s="391"/>
      <c r="E217" s="537"/>
      <c r="F217" s="537"/>
      <c r="G217" s="553"/>
      <c r="H217" s="633">
        <f>IF(G217&gt;=80%,F217,IF(G217&lt;65%,0,E217))</f>
        <v>0</v>
      </c>
      <c r="Q217" s="52"/>
      <c r="R217" s="44"/>
    </row>
    <row r="218" spans="1:18" s="29" customFormat="1">
      <c r="A218" s="591">
        <v>5.2</v>
      </c>
      <c r="B218" s="765"/>
      <c r="C218" s="847"/>
      <c r="D218" s="391"/>
      <c r="E218" s="537"/>
      <c r="F218" s="537"/>
      <c r="G218" s="553"/>
      <c r="H218" s="633">
        <f>IF(G218&gt;=80%,F218,IF(G218&lt;65%,0,E218))</f>
        <v>0</v>
      </c>
      <c r="Q218" s="52"/>
      <c r="R218" s="44"/>
    </row>
    <row r="219" spans="1:18" s="29" customFormat="1">
      <c r="A219" s="591">
        <v>5.3</v>
      </c>
      <c r="B219" s="765"/>
      <c r="C219" s="847"/>
      <c r="D219" s="391"/>
      <c r="E219" s="537"/>
      <c r="F219" s="537"/>
      <c r="G219" s="553"/>
      <c r="H219" s="633">
        <f>IF(G219&gt;=80%,F219,IF(G219&lt;65%,0,E219))</f>
        <v>0</v>
      </c>
      <c r="Q219" s="52"/>
      <c r="R219" s="44"/>
    </row>
    <row r="220" spans="1:18" s="29" customFormat="1" ht="15.6">
      <c r="A220" s="592"/>
      <c r="B220" s="326"/>
      <c r="C220" s="326"/>
      <c r="D220" s="314"/>
      <c r="E220" s="314"/>
      <c r="F220" s="314"/>
      <c r="G220" s="312" t="s">
        <v>7</v>
      </c>
      <c r="H220" s="617">
        <f>IFERROR(SUM(H212:H215,H217:H219),0)</f>
        <v>0</v>
      </c>
      <c r="Q220" s="52"/>
      <c r="R220" s="44"/>
    </row>
    <row r="221" spans="1:18" s="29" customFormat="1">
      <c r="A221" s="592"/>
      <c r="B221" s="307"/>
      <c r="C221" s="305"/>
      <c r="D221" s="305"/>
      <c r="E221" s="305"/>
      <c r="F221" s="305"/>
      <c r="G221" s="314"/>
      <c r="H221" s="571"/>
      <c r="Q221" s="52"/>
      <c r="R221" s="44"/>
    </row>
    <row r="222" spans="1:18" s="29" customFormat="1" ht="15.6">
      <c r="A222" s="850" t="s">
        <v>0</v>
      </c>
      <c r="B222" s="851"/>
      <c r="C222" s="860"/>
      <c r="D222" s="881" t="s">
        <v>4</v>
      </c>
      <c r="E222" s="862" t="s">
        <v>1</v>
      </c>
      <c r="F222" s="862"/>
      <c r="G222" s="881" t="s">
        <v>21</v>
      </c>
      <c r="H222" s="881" t="s">
        <v>62</v>
      </c>
      <c r="Q222" s="52"/>
      <c r="R222" s="44"/>
    </row>
    <row r="223" spans="1:18" s="29" customFormat="1" ht="31.2">
      <c r="A223" s="852"/>
      <c r="B223" s="853"/>
      <c r="C223" s="861"/>
      <c r="D223" s="862"/>
      <c r="E223" s="545" t="s">
        <v>64</v>
      </c>
      <c r="F223" s="545" t="s">
        <v>65</v>
      </c>
      <c r="G223" s="881"/>
      <c r="H223" s="881"/>
      <c r="Q223" s="52"/>
      <c r="R223" s="44"/>
    </row>
    <row r="224" spans="1:18" s="29" customFormat="1" ht="15.6">
      <c r="A224" s="105" t="s">
        <v>255</v>
      </c>
      <c r="B224" s="105" t="s">
        <v>518</v>
      </c>
      <c r="C224" s="125"/>
      <c r="D224" s="126"/>
      <c r="E224" s="126"/>
      <c r="F224" s="127"/>
      <c r="G224" s="128"/>
      <c r="H224" s="127"/>
      <c r="Q224" s="52"/>
      <c r="R224" s="44"/>
    </row>
    <row r="225" spans="1:18" s="29" customFormat="1" ht="15.6">
      <c r="A225" s="625" t="s">
        <v>188</v>
      </c>
      <c r="B225" s="822" t="s">
        <v>256</v>
      </c>
      <c r="C225" s="824"/>
      <c r="D225" s="94" t="s">
        <v>2</v>
      </c>
      <c r="E225" s="94">
        <v>1</v>
      </c>
      <c r="F225" s="94">
        <v>2</v>
      </c>
      <c r="G225" s="65"/>
      <c r="H225" s="94">
        <f>IF(G225&gt;=80%,F225,IF(G225&lt;65%,0,E225))</f>
        <v>0</v>
      </c>
      <c r="J225" s="131"/>
      <c r="Q225" s="52"/>
      <c r="R225" s="44"/>
    </row>
    <row r="226" spans="1:18" s="29" customFormat="1">
      <c r="A226" s="575" t="s">
        <v>189</v>
      </c>
      <c r="B226" s="825" t="s">
        <v>619</v>
      </c>
      <c r="C226" s="827"/>
      <c r="D226" s="94" t="s">
        <v>50</v>
      </c>
      <c r="E226" s="94">
        <v>0.5</v>
      </c>
      <c r="F226" s="94">
        <v>1</v>
      </c>
      <c r="G226" s="65"/>
      <c r="H226" s="94">
        <f>IF(G226&gt;=80%,F226,IF(G226&lt;65%,0,E226))</f>
        <v>0</v>
      </c>
      <c r="Q226" s="52"/>
      <c r="R226" s="44"/>
    </row>
    <row r="227" spans="1:18" s="29" customFormat="1" ht="15.6">
      <c r="A227" s="592"/>
      <c r="B227" s="307"/>
      <c r="C227" s="305"/>
      <c r="D227" s="305"/>
      <c r="E227" s="305"/>
      <c r="F227" s="308"/>
      <c r="G227" s="312" t="s">
        <v>109</v>
      </c>
      <c r="H227" s="129">
        <f>IFERROR(SUM(H225:H226),0)</f>
        <v>0</v>
      </c>
      <c r="Q227" s="52"/>
      <c r="R227" s="44"/>
    </row>
    <row r="228" spans="1:18" s="29" customFormat="1">
      <c r="A228" s="592"/>
      <c r="B228" s="307"/>
      <c r="C228" s="305"/>
      <c r="D228" s="305"/>
      <c r="E228" s="305"/>
      <c r="F228" s="305"/>
      <c r="G228" s="314"/>
      <c r="H228" s="571"/>
      <c r="Q228" s="52"/>
      <c r="R228" s="44"/>
    </row>
    <row r="229" spans="1:18" s="29" customFormat="1" ht="15.6">
      <c r="A229" s="592"/>
      <c r="B229" s="307"/>
      <c r="C229" s="305"/>
      <c r="D229" s="305"/>
      <c r="E229" s="305"/>
      <c r="F229" s="305"/>
      <c r="G229" s="312" t="s">
        <v>110</v>
      </c>
      <c r="H229" s="129">
        <f>IFERROR(MIN(SUM(H206+H220+H227),G194),0)</f>
        <v>0</v>
      </c>
      <c r="Q229" s="52"/>
      <c r="R229" s="44"/>
    </row>
    <row r="230" spans="1:18" s="29" customFormat="1" ht="16.2" thickBot="1">
      <c r="A230" s="594"/>
      <c r="B230" s="361"/>
      <c r="C230" s="362"/>
      <c r="D230" s="362"/>
      <c r="E230" s="362"/>
      <c r="F230" s="362"/>
      <c r="G230" s="364"/>
      <c r="H230" s="606"/>
      <c r="Q230" s="52"/>
      <c r="R230" s="44"/>
    </row>
    <row r="231" spans="1:18" s="29" customFormat="1" ht="15.6">
      <c r="A231" s="642" t="s">
        <v>129</v>
      </c>
      <c r="B231" s="455"/>
      <c r="C231" s="455"/>
      <c r="D231" s="455"/>
      <c r="E231" s="455"/>
      <c r="F231" s="456" t="s">
        <v>42</v>
      </c>
      <c r="G231" s="457">
        <v>20</v>
      </c>
      <c r="H231" s="643" t="s">
        <v>41</v>
      </c>
      <c r="Q231" s="52"/>
      <c r="R231" s="44"/>
    </row>
    <row r="232" spans="1:18" s="29" customFormat="1" ht="15.6">
      <c r="A232" s="592"/>
      <c r="B232" s="329"/>
      <c r="C232" s="305"/>
      <c r="D232" s="305"/>
      <c r="E232" s="305"/>
      <c r="F232" s="305"/>
      <c r="G232" s="314"/>
      <c r="H232" s="571"/>
      <c r="Q232" s="52"/>
      <c r="R232" s="44"/>
    </row>
    <row r="233" spans="1:18" s="29" customFormat="1" ht="33" customHeight="1">
      <c r="A233" s="854" t="s">
        <v>0</v>
      </c>
      <c r="B233" s="855"/>
      <c r="C233" s="132"/>
      <c r="D233" s="132"/>
      <c r="E233" s="133" t="s">
        <v>4</v>
      </c>
      <c r="F233" s="133" t="s">
        <v>69</v>
      </c>
      <c r="G233" s="134" t="s">
        <v>21</v>
      </c>
      <c r="H233" s="644" t="s">
        <v>62</v>
      </c>
      <c r="Q233" s="52"/>
      <c r="R233" s="44"/>
    </row>
    <row r="234" spans="1:18" s="29" customFormat="1" ht="15.6">
      <c r="A234" s="105" t="s">
        <v>257</v>
      </c>
      <c r="B234" s="105" t="s">
        <v>258</v>
      </c>
      <c r="C234" s="106"/>
      <c r="D234" s="106"/>
      <c r="E234" s="106"/>
      <c r="F234" s="57"/>
      <c r="G234" s="135"/>
      <c r="H234" s="645"/>
      <c r="I234" s="130"/>
      <c r="Q234" s="52"/>
      <c r="R234" s="44"/>
    </row>
    <row r="235" spans="1:18" s="29" customFormat="1" ht="15.6">
      <c r="A235" s="591">
        <v>1.1000000000000001</v>
      </c>
      <c r="B235" s="816" t="s">
        <v>122</v>
      </c>
      <c r="C235" s="817"/>
      <c r="D235" s="818"/>
      <c r="E235" s="155"/>
      <c r="F235" s="136"/>
      <c r="G235" s="137"/>
      <c r="H235" s="547">
        <f t="shared" ref="H235:H240" si="5">F235*G235</f>
        <v>0</v>
      </c>
      <c r="Q235" s="52"/>
      <c r="R235" s="44"/>
    </row>
    <row r="236" spans="1:18" s="29" customFormat="1" ht="15.6">
      <c r="A236" s="589">
        <v>1.2</v>
      </c>
      <c r="B236" s="844" t="s">
        <v>123</v>
      </c>
      <c r="C236" s="845"/>
      <c r="D236" s="846"/>
      <c r="E236" s="155"/>
      <c r="F236" s="136"/>
      <c r="G236" s="137"/>
      <c r="H236" s="547">
        <f t="shared" si="5"/>
        <v>0</v>
      </c>
      <c r="Q236" s="52"/>
      <c r="R236" s="44"/>
    </row>
    <row r="237" spans="1:18" s="29" customFormat="1" ht="15.6">
      <c r="A237" s="591">
        <v>1.3</v>
      </c>
      <c r="B237" s="816" t="s">
        <v>114</v>
      </c>
      <c r="C237" s="817"/>
      <c r="D237" s="818"/>
      <c r="E237" s="155"/>
      <c r="F237" s="136"/>
      <c r="G237" s="137"/>
      <c r="H237" s="547">
        <f t="shared" si="5"/>
        <v>0</v>
      </c>
      <c r="Q237" s="52"/>
      <c r="R237" s="44"/>
    </row>
    <row r="238" spans="1:18" s="29" customFormat="1" ht="15.6">
      <c r="A238" s="591">
        <v>1.4</v>
      </c>
      <c r="B238" s="816" t="s">
        <v>282</v>
      </c>
      <c r="C238" s="817"/>
      <c r="D238" s="818"/>
      <c r="E238" s="155"/>
      <c r="F238" s="136"/>
      <c r="G238" s="137"/>
      <c r="H238" s="547">
        <f t="shared" si="5"/>
        <v>0</v>
      </c>
      <c r="Q238" s="52"/>
      <c r="R238" s="44"/>
    </row>
    <row r="239" spans="1:18" s="29" customFormat="1" ht="15.6">
      <c r="A239" s="591">
        <v>1.5</v>
      </c>
      <c r="B239" s="816"/>
      <c r="C239" s="817"/>
      <c r="D239" s="818"/>
      <c r="E239" s="155"/>
      <c r="F239" s="136"/>
      <c r="G239" s="137"/>
      <c r="H239" s="547">
        <f t="shared" si="5"/>
        <v>0</v>
      </c>
      <c r="Q239" s="52"/>
      <c r="R239" s="44"/>
    </row>
    <row r="240" spans="1:18" s="29" customFormat="1" ht="15.6">
      <c r="A240" s="591">
        <v>1.6</v>
      </c>
      <c r="B240" s="816"/>
      <c r="C240" s="817"/>
      <c r="D240" s="818"/>
      <c r="E240" s="155"/>
      <c r="F240" s="136"/>
      <c r="G240" s="137"/>
      <c r="H240" s="547">
        <f t="shared" si="5"/>
        <v>0</v>
      </c>
      <c r="Q240" s="52"/>
      <c r="R240" s="44"/>
    </row>
    <row r="241" spans="1:18" s="29" customFormat="1" ht="15.6">
      <c r="A241" s="105" t="s">
        <v>260</v>
      </c>
      <c r="B241" s="105" t="s">
        <v>259</v>
      </c>
      <c r="C241" s="106"/>
      <c r="D241" s="106"/>
      <c r="E241" s="106"/>
      <c r="F241" s="57"/>
      <c r="G241" s="135"/>
      <c r="H241" s="645"/>
      <c r="Q241" s="52"/>
      <c r="R241" s="44"/>
    </row>
    <row r="242" spans="1:18" s="29" customFormat="1" ht="30.6" customHeight="1">
      <c r="A242" s="620">
        <v>2.1</v>
      </c>
      <c r="B242" s="825" t="s">
        <v>620</v>
      </c>
      <c r="C242" s="842"/>
      <c r="D242" s="843"/>
      <c r="E242" s="148" t="s">
        <v>367</v>
      </c>
      <c r="F242" s="389">
        <v>2</v>
      </c>
      <c r="G242" s="390"/>
      <c r="H242" s="547">
        <f>IFERROR(VLOOKUP(E242,J243:K246,2,FALSE),0)</f>
        <v>0</v>
      </c>
      <c r="J242" s="29" t="s">
        <v>367</v>
      </c>
      <c r="K242" s="29">
        <v>0</v>
      </c>
      <c r="Q242" s="52"/>
      <c r="R242" s="44"/>
    </row>
    <row r="243" spans="1:18" s="29" customFormat="1" ht="15.6">
      <c r="A243" s="592"/>
      <c r="B243" s="304"/>
      <c r="C243" s="305"/>
      <c r="D243" s="305"/>
      <c r="E243" s="305"/>
      <c r="F243" s="305"/>
      <c r="G243" s="312" t="s">
        <v>130</v>
      </c>
      <c r="H243" s="138">
        <f>IFERROR(MIN(SUM(H235:H242),G231),0)</f>
        <v>0</v>
      </c>
      <c r="J243" s="29" t="s">
        <v>363</v>
      </c>
      <c r="K243" s="29">
        <v>2</v>
      </c>
      <c r="Q243" s="44"/>
      <c r="R243" s="44"/>
    </row>
    <row r="244" spans="1:18" s="29" customFormat="1">
      <c r="A244" s="592"/>
      <c r="B244" s="307"/>
      <c r="C244" s="305"/>
      <c r="D244" s="305"/>
      <c r="E244" s="305"/>
      <c r="F244" s="305"/>
      <c r="G244" s="314"/>
      <c r="H244" s="571"/>
      <c r="J244" s="29" t="s">
        <v>364</v>
      </c>
      <c r="K244" s="29">
        <v>2</v>
      </c>
      <c r="Q244" s="44"/>
      <c r="R244" s="44"/>
    </row>
    <row r="245" spans="1:18" s="29" customFormat="1" ht="15.6">
      <c r="A245" s="592"/>
      <c r="B245" s="307"/>
      <c r="C245" s="305"/>
      <c r="D245" s="305"/>
      <c r="E245" s="305"/>
      <c r="F245" s="305"/>
      <c r="G245" s="312" t="s">
        <v>68</v>
      </c>
      <c r="H245" s="617">
        <f>IFERROR(H89+H192+H229+H243,0)</f>
        <v>0</v>
      </c>
      <c r="J245" s="29" t="s">
        <v>365</v>
      </c>
      <c r="K245" s="29">
        <v>2</v>
      </c>
      <c r="Q245" s="44"/>
      <c r="R245" s="44"/>
    </row>
    <row r="246" spans="1:18" s="29" customFormat="1">
      <c r="A246" s="592"/>
      <c r="B246" s="307"/>
      <c r="C246" s="305"/>
      <c r="D246" s="305"/>
      <c r="E246" s="305"/>
      <c r="F246" s="305"/>
      <c r="G246" s="314"/>
      <c r="H246" s="571"/>
      <c r="J246" s="29" t="s">
        <v>366</v>
      </c>
      <c r="K246" s="29">
        <v>2</v>
      </c>
      <c r="Q246" s="52"/>
      <c r="R246" s="44"/>
    </row>
    <row r="247" spans="1:18" s="29" customFormat="1" ht="15.75" customHeight="1">
      <c r="A247" s="592"/>
      <c r="B247" s="327" t="s">
        <v>37</v>
      </c>
      <c r="C247" s="314"/>
      <c r="D247" s="809" t="s">
        <v>372</v>
      </c>
      <c r="E247" s="809"/>
      <c r="F247" s="809"/>
      <c r="G247" s="314"/>
      <c r="H247" s="646"/>
      <c r="Q247" s="52"/>
      <c r="R247" s="44"/>
    </row>
    <row r="248" spans="1:18" s="29" customFormat="1" ht="15.6">
      <c r="A248" s="592"/>
      <c r="B248" s="328"/>
      <c r="C248" s="314"/>
      <c r="D248" s="809"/>
      <c r="E248" s="809"/>
      <c r="F248" s="809"/>
      <c r="G248" s="314"/>
      <c r="H248" s="646"/>
      <c r="Q248" s="52"/>
      <c r="R248" s="44"/>
    </row>
    <row r="249" spans="1:18" s="29" customFormat="1" ht="15.6">
      <c r="A249" s="647" t="s">
        <v>261</v>
      </c>
      <c r="B249" s="328" t="s">
        <v>99</v>
      </c>
      <c r="C249" s="347">
        <f>IFERROR(SUM(G32+G35+G37+G38+G47+G50),0)</f>
        <v>0</v>
      </c>
      <c r="D249" s="314" t="s">
        <v>265</v>
      </c>
      <c r="E249" s="137"/>
      <c r="F249" s="314" t="s">
        <v>266</v>
      </c>
      <c r="G249" s="139">
        <f>MIN(IFERROR(SUM(C249+E249),0),100%)</f>
        <v>0</v>
      </c>
      <c r="H249" s="571"/>
      <c r="L249" s="52"/>
      <c r="M249" s="44"/>
    </row>
    <row r="250" spans="1:18" s="29" customFormat="1" ht="15.6">
      <c r="A250" s="647" t="s">
        <v>262</v>
      </c>
      <c r="B250" s="328" t="s">
        <v>100</v>
      </c>
      <c r="C250" s="347">
        <f>IFERROR(SUM(F19+G96+G98+G100+G103+G106+G107+G108+G109+G110),0)</f>
        <v>0</v>
      </c>
      <c r="D250" s="314" t="s">
        <v>265</v>
      </c>
      <c r="E250" s="137"/>
      <c r="F250" s="314" t="s">
        <v>266</v>
      </c>
      <c r="G250" s="139">
        <f>MIN(IFERROR(SUM(C250+E250),0),100%)</f>
        <v>0</v>
      </c>
      <c r="H250" s="571"/>
      <c r="L250" s="52"/>
      <c r="M250" s="44"/>
    </row>
    <row r="251" spans="1:18" s="29" customFormat="1" ht="15.6">
      <c r="A251" s="647" t="s">
        <v>263</v>
      </c>
      <c r="B251" s="328" t="s">
        <v>101</v>
      </c>
      <c r="C251" s="347">
        <f>IFERROR(G206,0)</f>
        <v>0</v>
      </c>
      <c r="D251" s="314" t="s">
        <v>265</v>
      </c>
      <c r="E251" s="137"/>
      <c r="F251" s="286" t="s">
        <v>266</v>
      </c>
      <c r="G251" s="139">
        <f>MIN(IFERROR(SUM(C251+E251),0),100%)</f>
        <v>0</v>
      </c>
      <c r="H251" s="562"/>
      <c r="I251" s="3"/>
      <c r="J251" s="3"/>
      <c r="K251" s="3"/>
      <c r="L251" s="52"/>
      <c r="M251" s="44"/>
    </row>
    <row r="252" spans="1:18" s="29" customFormat="1">
      <c r="A252" s="622"/>
      <c r="B252" s="320"/>
      <c r="C252" s="323"/>
      <c r="D252" s="323"/>
      <c r="E252" s="323"/>
      <c r="F252" s="323"/>
      <c r="G252" s="648"/>
      <c r="H252" s="649"/>
      <c r="J252" s="3"/>
      <c r="K252" s="3"/>
      <c r="L252" s="3"/>
      <c r="M252" s="3"/>
      <c r="N252" s="3"/>
      <c r="O252" s="3"/>
      <c r="P252" s="3"/>
      <c r="Q252" s="52"/>
      <c r="R252" s="44"/>
    </row>
    <row r="253" spans="1:18" s="29" customFormat="1">
      <c r="A253" s="161"/>
      <c r="B253" s="3"/>
      <c r="C253" s="3"/>
      <c r="D253" s="3"/>
      <c r="E253" s="3"/>
      <c r="F253" s="3"/>
      <c r="G253" s="10"/>
      <c r="H253" s="3"/>
      <c r="J253" s="3"/>
      <c r="K253" s="3"/>
      <c r="L253" s="3"/>
      <c r="M253" s="3"/>
      <c r="N253" s="3"/>
      <c r="O253" s="3"/>
      <c r="P253" s="3"/>
      <c r="Q253" s="52"/>
      <c r="R253" s="44"/>
    </row>
    <row r="254" spans="1:18" s="29" customFormat="1">
      <c r="A254" s="161"/>
      <c r="B254" s="3"/>
      <c r="C254" s="3"/>
      <c r="D254" s="3"/>
      <c r="E254" s="3"/>
      <c r="F254" s="3"/>
      <c r="G254" s="10"/>
      <c r="H254" s="3"/>
      <c r="J254" s="3"/>
      <c r="K254" s="3"/>
      <c r="L254" s="3"/>
      <c r="M254" s="3"/>
      <c r="N254" s="3"/>
      <c r="O254" s="3"/>
      <c r="P254" s="3"/>
      <c r="Q254" s="52"/>
      <c r="R254" s="44"/>
    </row>
    <row r="255" spans="1:18" s="29" customFormat="1">
      <c r="A255" s="161"/>
      <c r="B255" s="3"/>
      <c r="C255" s="3"/>
      <c r="D255" s="3"/>
      <c r="E255" s="3"/>
      <c r="F255" s="3"/>
      <c r="G255" s="10"/>
      <c r="H255" s="3"/>
      <c r="J255" s="3"/>
      <c r="K255" s="3"/>
      <c r="L255" s="3"/>
      <c r="M255" s="3"/>
      <c r="N255" s="3"/>
      <c r="O255" s="3"/>
      <c r="P255" s="3"/>
      <c r="Q255" s="52"/>
      <c r="R255" s="44"/>
    </row>
    <row r="256" spans="1:18" s="29" customFormat="1">
      <c r="A256" s="161"/>
      <c r="B256" s="3"/>
      <c r="C256" s="3"/>
      <c r="D256" s="3"/>
      <c r="E256" s="3"/>
      <c r="F256" s="3"/>
      <c r="G256" s="10"/>
      <c r="H256" s="3"/>
      <c r="J256" s="3"/>
      <c r="K256" s="3"/>
      <c r="L256" s="3"/>
      <c r="M256" s="3"/>
      <c r="N256" s="3"/>
      <c r="O256" s="3"/>
      <c r="P256" s="3"/>
      <c r="Q256" s="44"/>
      <c r="R256" s="44"/>
    </row>
    <row r="257" spans="1:18" s="29" customFormat="1">
      <c r="A257" s="161"/>
      <c r="B257" s="3"/>
      <c r="C257" s="3"/>
      <c r="D257" s="3"/>
      <c r="E257" s="3"/>
      <c r="F257" s="3"/>
      <c r="G257" s="10"/>
      <c r="H257" s="3"/>
      <c r="J257" s="3"/>
      <c r="K257" s="3"/>
      <c r="L257" s="3"/>
      <c r="M257" s="3"/>
      <c r="N257" s="3"/>
      <c r="O257" s="3"/>
      <c r="P257" s="3"/>
      <c r="Q257" s="44"/>
      <c r="R257" s="44"/>
    </row>
    <row r="258" spans="1:18" s="29" customFormat="1">
      <c r="A258" s="161"/>
      <c r="B258" s="3"/>
      <c r="C258" s="3"/>
      <c r="D258" s="3"/>
      <c r="E258" s="3"/>
      <c r="F258" s="3"/>
      <c r="G258" s="10"/>
      <c r="H258" s="3"/>
      <c r="J258" s="3"/>
      <c r="K258" s="3"/>
      <c r="L258" s="3"/>
      <c r="M258" s="3"/>
      <c r="N258" s="3"/>
      <c r="O258" s="3"/>
      <c r="P258" s="3"/>
      <c r="Q258" s="44"/>
      <c r="R258" s="44"/>
    </row>
    <row r="259" spans="1:18" s="29" customFormat="1">
      <c r="A259" s="161"/>
      <c r="B259" s="3"/>
      <c r="C259" s="3"/>
      <c r="D259" s="3"/>
      <c r="E259" s="3"/>
      <c r="F259" s="3"/>
      <c r="G259" s="10"/>
      <c r="H259" s="3"/>
      <c r="J259" s="3"/>
      <c r="K259" s="3"/>
      <c r="L259" s="3"/>
      <c r="M259" s="3"/>
      <c r="N259" s="3"/>
      <c r="O259" s="3"/>
      <c r="P259" s="3"/>
      <c r="Q259" s="44"/>
      <c r="R259" s="44"/>
    </row>
  </sheetData>
  <sheetProtection algorithmName="SHA-512" hashValue="dDJrYy7aDb3pwUOeXdNcWTt4l6e/54tmLgR9lsQhwyA0qlFWsddz1ygwW5+GgBiipddo8Fu9xiuNAjPEhiIZgg==" saltValue="DB4w1ltMzcRpLPHrRuffOQ==" spinCount="100000" sheet="1" selectLockedCells="1"/>
  <mergeCells count="236">
    <mergeCell ref="B204:C204"/>
    <mergeCell ref="B205:C205"/>
    <mergeCell ref="B201:C201"/>
    <mergeCell ref="Q106:Q107"/>
    <mergeCell ref="A38:A39"/>
    <mergeCell ref="B38:D39"/>
    <mergeCell ref="B187:C187"/>
    <mergeCell ref="B188:C188"/>
    <mergeCell ref="B189:C189"/>
    <mergeCell ref="E189:F189"/>
    <mergeCell ref="A196:B196"/>
    <mergeCell ref="B199:C199"/>
    <mergeCell ref="B203:C203"/>
    <mergeCell ref="H61:H62"/>
    <mergeCell ref="E74:F74"/>
    <mergeCell ref="B76:C76"/>
    <mergeCell ref="B78:C78"/>
    <mergeCell ref="B82:C82"/>
    <mergeCell ref="E38:E39"/>
    <mergeCell ref="H38:H39"/>
    <mergeCell ref="E40:E45"/>
    <mergeCell ref="H40:H45"/>
    <mergeCell ref="B43:D43"/>
    <mergeCell ref="B74:C74"/>
    <mergeCell ref="B17:C17"/>
    <mergeCell ref="B19:C19"/>
    <mergeCell ref="B109:D109"/>
    <mergeCell ref="A4:B4"/>
    <mergeCell ref="A7:B7"/>
    <mergeCell ref="D7:G7"/>
    <mergeCell ref="D11:D12"/>
    <mergeCell ref="E11:E12"/>
    <mergeCell ref="F11:F12"/>
    <mergeCell ref="B14:C14"/>
    <mergeCell ref="B15:C15"/>
    <mergeCell ref="B16:C16"/>
    <mergeCell ref="A11:B12"/>
    <mergeCell ref="B20:C20"/>
    <mergeCell ref="B21:C21"/>
    <mergeCell ref="B37:D37"/>
    <mergeCell ref="B41:D41"/>
    <mergeCell ref="B22:C22"/>
    <mergeCell ref="F98:F99"/>
    <mergeCell ref="G98:G99"/>
    <mergeCell ref="B101:D101"/>
    <mergeCell ref="B35:D35"/>
    <mergeCell ref="D69:D72"/>
    <mergeCell ref="B72:C72"/>
    <mergeCell ref="B71:C71"/>
    <mergeCell ref="B73:C73"/>
    <mergeCell ref="B40:D40"/>
    <mergeCell ref="B53:D53"/>
    <mergeCell ref="B45:D45"/>
    <mergeCell ref="B44:D44"/>
    <mergeCell ref="B42:D42"/>
    <mergeCell ref="B47:D47"/>
    <mergeCell ref="B50:D50"/>
    <mergeCell ref="B48:D48"/>
    <mergeCell ref="B49:D49"/>
    <mergeCell ref="B56:D56"/>
    <mergeCell ref="B57:D57"/>
    <mergeCell ref="B58:D58"/>
    <mergeCell ref="B54:D54"/>
    <mergeCell ref="E61:F61"/>
    <mergeCell ref="G61:G62"/>
    <mergeCell ref="A103:A104"/>
    <mergeCell ref="E103:E104"/>
    <mergeCell ref="F103:F104"/>
    <mergeCell ref="G103:G104"/>
    <mergeCell ref="H103:H104"/>
    <mergeCell ref="B99:D99"/>
    <mergeCell ref="B81:C81"/>
    <mergeCell ref="B96:D96"/>
    <mergeCell ref="B67:C67"/>
    <mergeCell ref="B66:C66"/>
    <mergeCell ref="B77:C77"/>
    <mergeCell ref="B79:C79"/>
    <mergeCell ref="B64:C64"/>
    <mergeCell ref="B86:C86"/>
    <mergeCell ref="A61:B62"/>
    <mergeCell ref="D61:D62"/>
    <mergeCell ref="B84:C84"/>
    <mergeCell ref="B85:C85"/>
    <mergeCell ref="B68:C68"/>
    <mergeCell ref="B69:C69"/>
    <mergeCell ref="B65:C65"/>
    <mergeCell ref="B70:C70"/>
    <mergeCell ref="A151:B152"/>
    <mergeCell ref="C151:C152"/>
    <mergeCell ref="D151:D152"/>
    <mergeCell ref="E151:F151"/>
    <mergeCell ref="G151:G152"/>
    <mergeCell ref="H151:H152"/>
    <mergeCell ref="B110:D110"/>
    <mergeCell ref="B114:D114"/>
    <mergeCell ref="A98:A99"/>
    <mergeCell ref="B98:D98"/>
    <mergeCell ref="E98:E99"/>
    <mergeCell ref="B108:D108"/>
    <mergeCell ref="B103:D103"/>
    <mergeCell ref="B104:D104"/>
    <mergeCell ref="B106:D106"/>
    <mergeCell ref="B127:C127"/>
    <mergeCell ref="B113:D113"/>
    <mergeCell ref="B134:C134"/>
    <mergeCell ref="B129:C129"/>
    <mergeCell ref="B135:C135"/>
    <mergeCell ref="A127:A128"/>
    <mergeCell ref="D127:D128"/>
    <mergeCell ref="E127:E128"/>
    <mergeCell ref="A100:A101"/>
    <mergeCell ref="B155:C155"/>
    <mergeCell ref="B156:C156"/>
    <mergeCell ref="B157:C157"/>
    <mergeCell ref="B158:C158"/>
    <mergeCell ref="A160:A161"/>
    <mergeCell ref="B160:C161"/>
    <mergeCell ref="E160:F160"/>
    <mergeCell ref="G160:G161"/>
    <mergeCell ref="H160:H161"/>
    <mergeCell ref="E161:F161"/>
    <mergeCell ref="B23:C23"/>
    <mergeCell ref="B24:C24"/>
    <mergeCell ref="B25:C25"/>
    <mergeCell ref="A32:A33"/>
    <mergeCell ref="E32:E33"/>
    <mergeCell ref="F32:F33"/>
    <mergeCell ref="G32:G33"/>
    <mergeCell ref="H32:H33"/>
    <mergeCell ref="B33:D33"/>
    <mergeCell ref="B32:D32"/>
    <mergeCell ref="B107:D107"/>
    <mergeCell ref="B115:D115"/>
    <mergeCell ref="B117:D117"/>
    <mergeCell ref="B118:D118"/>
    <mergeCell ref="B119:D119"/>
    <mergeCell ref="B125:C125"/>
    <mergeCell ref="H98:H99"/>
    <mergeCell ref="B100:D100"/>
    <mergeCell ref="E100:E101"/>
    <mergeCell ref="F100:F101"/>
    <mergeCell ref="G100:G101"/>
    <mergeCell ref="H100:H101"/>
    <mergeCell ref="F127:F128"/>
    <mergeCell ref="G127:G128"/>
    <mergeCell ref="H127:H128"/>
    <mergeCell ref="B128:C128"/>
    <mergeCell ref="A131:A132"/>
    <mergeCell ref="B131:C131"/>
    <mergeCell ref="D131:D132"/>
    <mergeCell ref="E131:E132"/>
    <mergeCell ref="F131:F132"/>
    <mergeCell ref="G131:G132"/>
    <mergeCell ref="H131:H132"/>
    <mergeCell ref="B132:C132"/>
    <mergeCell ref="B138:C138"/>
    <mergeCell ref="B139:C139"/>
    <mergeCell ref="B140:C140"/>
    <mergeCell ref="B141:C141"/>
    <mergeCell ref="B142:C142"/>
    <mergeCell ref="A145:B145"/>
    <mergeCell ref="F145:G145"/>
    <mergeCell ref="D147:D148"/>
    <mergeCell ref="E147:E148"/>
    <mergeCell ref="F147:G147"/>
    <mergeCell ref="F148:G148"/>
    <mergeCell ref="G174:G175"/>
    <mergeCell ref="H174:H175"/>
    <mergeCell ref="B175:C175"/>
    <mergeCell ref="B171:C171"/>
    <mergeCell ref="B159:C159"/>
    <mergeCell ref="B172:C172"/>
    <mergeCell ref="A166:A167"/>
    <mergeCell ref="A162:A165"/>
    <mergeCell ref="B162:C165"/>
    <mergeCell ref="E162:F162"/>
    <mergeCell ref="G162:G165"/>
    <mergeCell ref="H162:H165"/>
    <mergeCell ref="B169:C169"/>
    <mergeCell ref="E163:F163"/>
    <mergeCell ref="E164:F164"/>
    <mergeCell ref="E165:F165"/>
    <mergeCell ref="B166:C167"/>
    <mergeCell ref="B170:C170"/>
    <mergeCell ref="A174:A175"/>
    <mergeCell ref="B174:C174"/>
    <mergeCell ref="D174:D175"/>
    <mergeCell ref="E174:E175"/>
    <mergeCell ref="F174:F175"/>
    <mergeCell ref="H176:H177"/>
    <mergeCell ref="B177:C177"/>
    <mergeCell ref="B181:C181"/>
    <mergeCell ref="A184:B185"/>
    <mergeCell ref="C184:C185"/>
    <mergeCell ref="D184:D185"/>
    <mergeCell ref="E184:F184"/>
    <mergeCell ref="G184:G185"/>
    <mergeCell ref="H184:H185"/>
    <mergeCell ref="B179:C179"/>
    <mergeCell ref="B180:C180"/>
    <mergeCell ref="A176:A177"/>
    <mergeCell ref="B176:C176"/>
    <mergeCell ref="D176:D177"/>
    <mergeCell ref="E176:E177"/>
    <mergeCell ref="F176:F177"/>
    <mergeCell ref="G176:G177"/>
    <mergeCell ref="A208:B209"/>
    <mergeCell ref="C208:C209"/>
    <mergeCell ref="D208:D209"/>
    <mergeCell ref="E208:F208"/>
    <mergeCell ref="G208:G209"/>
    <mergeCell ref="H208:H209"/>
    <mergeCell ref="B212:C212"/>
    <mergeCell ref="B213:C213"/>
    <mergeCell ref="B214:C214"/>
    <mergeCell ref="B215:C215"/>
    <mergeCell ref="B218:C218"/>
    <mergeCell ref="B219:C219"/>
    <mergeCell ref="A222:B223"/>
    <mergeCell ref="C222:C223"/>
    <mergeCell ref="D222:D223"/>
    <mergeCell ref="E222:F222"/>
    <mergeCell ref="G222:G223"/>
    <mergeCell ref="B217:C217"/>
    <mergeCell ref="B240:D240"/>
    <mergeCell ref="B242:D242"/>
    <mergeCell ref="D247:F248"/>
    <mergeCell ref="H222:H223"/>
    <mergeCell ref="B225:C225"/>
    <mergeCell ref="B226:C226"/>
    <mergeCell ref="A233:B233"/>
    <mergeCell ref="B235:D235"/>
    <mergeCell ref="B236:D236"/>
    <mergeCell ref="B237:D237"/>
    <mergeCell ref="B238:D238"/>
    <mergeCell ref="B239:D239"/>
  </mergeCells>
  <dataValidations count="3">
    <dataValidation type="list" allowBlank="1" showInputMessage="1" showErrorMessage="1" sqref="A7" xr:uid="{7D799677-5457-4004-918B-533996064AE0}">
      <formula1>$J$1:$J$7</formula1>
    </dataValidation>
    <dataValidation type="list" allowBlank="1" showInputMessage="1" showErrorMessage="1" sqref="E242" xr:uid="{929A4B33-7DD8-4098-BBBE-9EC6DFB897A4}">
      <formula1>$J$242:$J$246</formula1>
    </dataValidation>
    <dataValidation type="list" allowBlank="1" showInputMessage="1" showErrorMessage="1" sqref="F148:G148" xr:uid="{50ADFED6-E2EA-4590-9788-3A4AFB6A43F5}">
      <formula1>$K$145:$P$145</formula1>
    </dataValidation>
  </dataValidations>
  <pageMargins left="0.25" right="0.25" top="0.75" bottom="0.75" header="0.3" footer="0.3"/>
  <pageSetup paperSize="9" scale="55" fitToHeight="4" orientation="portrait" r:id="rId1"/>
  <headerFooter>
    <oddFooter>&amp;F</oddFooter>
  </headerFooter>
  <rowBreaks count="3" manualBreakCount="3">
    <brk id="60" max="7" man="1"/>
    <brk id="121" max="7" man="1"/>
    <brk id="183"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R259"/>
  <sheetViews>
    <sheetView zoomScale="80" zoomScaleNormal="80" zoomScaleSheetLayoutView="100" workbookViewId="0">
      <selection activeCell="A7" sqref="A7:B7"/>
    </sheetView>
  </sheetViews>
  <sheetFormatPr defaultColWidth="9.109375" defaultRowHeight="15"/>
  <cols>
    <col min="1" max="1" width="7" style="160"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29" style="3" hidden="1" customWidth="1"/>
    <col min="10" max="10" width="45.6640625" style="3" hidden="1" customWidth="1"/>
    <col min="11" max="15" width="9.109375" style="3" hidden="1" customWidth="1"/>
    <col min="16" max="16" width="9.6640625" style="3" hidden="1" customWidth="1"/>
    <col min="17" max="17" width="9.109375" style="3" customWidth="1"/>
    <col min="18" max="16384" width="9.109375" style="3"/>
  </cols>
  <sheetData>
    <row r="1" spans="1:15" ht="15.6">
      <c r="A1" s="558" t="s">
        <v>89</v>
      </c>
      <c r="B1" s="559"/>
      <c r="C1" s="559"/>
      <c r="D1" s="559"/>
      <c r="E1" s="559"/>
      <c r="F1" s="559"/>
      <c r="G1" s="559"/>
      <c r="H1" s="560"/>
      <c r="J1" s="3" t="s">
        <v>40</v>
      </c>
    </row>
    <row r="2" spans="1:15">
      <c r="A2" s="561"/>
      <c r="B2" s="264"/>
      <c r="C2" s="264"/>
      <c r="D2" s="264"/>
      <c r="E2" s="264"/>
      <c r="F2" s="264"/>
      <c r="G2" s="265"/>
      <c r="H2" s="562"/>
      <c r="I2" s="6"/>
      <c r="J2" s="6" t="s">
        <v>384</v>
      </c>
    </row>
    <row r="3" spans="1:15" ht="15.6">
      <c r="A3" s="563" t="s">
        <v>336</v>
      </c>
      <c r="B3" s="264"/>
      <c r="C3" s="264"/>
      <c r="D3" s="331" t="s">
        <v>134</v>
      </c>
      <c r="E3" s="331" t="s">
        <v>135</v>
      </c>
      <c r="F3" s="331" t="s">
        <v>136</v>
      </c>
      <c r="G3" s="289" t="s">
        <v>104</v>
      </c>
      <c r="H3" s="564" t="s">
        <v>62</v>
      </c>
      <c r="I3" s="6"/>
      <c r="J3" s="6" t="s">
        <v>44</v>
      </c>
    </row>
    <row r="4" spans="1:15" ht="15.6">
      <c r="A4" s="966">
        <f>Summary!A6</f>
        <v>0</v>
      </c>
      <c r="B4" s="967"/>
      <c r="C4" s="264"/>
      <c r="D4" s="74">
        <f>H89</f>
        <v>0</v>
      </c>
      <c r="E4" s="154">
        <f>H192</f>
        <v>0</v>
      </c>
      <c r="F4" s="129">
        <f>H229</f>
        <v>0</v>
      </c>
      <c r="G4" s="138">
        <f>H243</f>
        <v>0</v>
      </c>
      <c r="H4" s="565">
        <f>H245</f>
        <v>0</v>
      </c>
      <c r="I4" s="6"/>
      <c r="J4" s="6" t="s">
        <v>15</v>
      </c>
    </row>
    <row r="5" spans="1:15">
      <c r="A5" s="561"/>
      <c r="B5" s="264"/>
      <c r="C5" s="264"/>
      <c r="D5" s="264"/>
      <c r="E5" s="264"/>
      <c r="F5" s="264"/>
      <c r="G5" s="265"/>
      <c r="H5" s="562"/>
      <c r="I5" s="6"/>
      <c r="J5" s="6" t="s">
        <v>16</v>
      </c>
    </row>
    <row r="6" spans="1:15" s="4" customFormat="1" ht="15.6">
      <c r="A6" s="563" t="s">
        <v>90</v>
      </c>
      <c r="B6" s="296"/>
      <c r="C6" s="296"/>
      <c r="D6" s="297" t="s">
        <v>35</v>
      </c>
      <c r="E6" s="264"/>
      <c r="F6" s="264"/>
      <c r="G6" s="265"/>
      <c r="H6" s="562"/>
      <c r="I6" s="6"/>
      <c r="J6" s="6" t="s">
        <v>383</v>
      </c>
      <c r="K6" s="3"/>
      <c r="L6" s="3"/>
      <c r="M6" s="3"/>
    </row>
    <row r="7" spans="1:15" ht="15.75" customHeight="1">
      <c r="A7" s="976" t="s">
        <v>384</v>
      </c>
      <c r="B7" s="977"/>
      <c r="D7" s="761">
        <f>Summary!A86</f>
        <v>0</v>
      </c>
      <c r="E7" s="779"/>
      <c r="F7" s="779"/>
      <c r="G7" s="780"/>
      <c r="H7" s="566"/>
      <c r="I7" s="29"/>
      <c r="J7" s="29" t="s">
        <v>382</v>
      </c>
    </row>
    <row r="8" spans="1:15" ht="15.6" thickBot="1">
      <c r="A8" s="561"/>
      <c r="B8" s="298"/>
      <c r="C8" s="264"/>
      <c r="D8" s="264"/>
      <c r="E8" s="264"/>
      <c r="F8" s="264"/>
      <c r="G8" s="265"/>
      <c r="H8" s="562"/>
    </row>
    <row r="9" spans="1:15" ht="16.2" thickBot="1">
      <c r="A9" s="567" t="s">
        <v>125</v>
      </c>
      <c r="B9" s="140"/>
      <c r="C9" s="140"/>
      <c r="D9" s="140"/>
      <c r="E9" s="140"/>
      <c r="F9" s="141"/>
      <c r="G9" s="16"/>
      <c r="H9" s="568"/>
    </row>
    <row r="10" spans="1:15">
      <c r="A10" s="561"/>
      <c r="B10" s="299"/>
      <c r="C10" s="264"/>
      <c r="D10" s="264"/>
      <c r="E10" s="264"/>
      <c r="F10" s="264"/>
      <c r="G10" s="265"/>
      <c r="H10" s="562"/>
    </row>
    <row r="11" spans="1:15" ht="15.75" customHeight="1">
      <c r="A11" s="905" t="s">
        <v>0</v>
      </c>
      <c r="B11" s="906"/>
      <c r="C11" s="144"/>
      <c r="D11" s="883" t="s">
        <v>4</v>
      </c>
      <c r="E11" s="882" t="s">
        <v>80</v>
      </c>
      <c r="F11" s="882" t="s">
        <v>21</v>
      </c>
      <c r="G11" s="300"/>
      <c r="H11" s="569"/>
    </row>
    <row r="12" spans="1:15" ht="15.75" customHeight="1">
      <c r="A12" s="907"/>
      <c r="B12" s="908"/>
      <c r="C12" s="145"/>
      <c r="D12" s="884"/>
      <c r="E12" s="882"/>
      <c r="F12" s="882"/>
      <c r="G12" s="300"/>
      <c r="H12" s="569"/>
    </row>
    <row r="13" spans="1:15" s="29" customFormat="1" ht="15.6">
      <c r="A13" s="570" t="s">
        <v>127</v>
      </c>
      <c r="B13" s="167"/>
      <c r="C13" s="167"/>
      <c r="D13" s="167"/>
      <c r="E13" s="170"/>
      <c r="F13" s="170"/>
      <c r="G13" s="301"/>
      <c r="H13" s="571"/>
      <c r="N13" s="44"/>
      <c r="O13" s="44"/>
    </row>
    <row r="14" spans="1:15">
      <c r="A14" s="572">
        <v>1</v>
      </c>
      <c r="B14" s="826" t="s">
        <v>268</v>
      </c>
      <c r="C14" s="827"/>
      <c r="D14" s="511" t="s">
        <v>2</v>
      </c>
      <c r="E14" s="512" t="s">
        <v>49</v>
      </c>
      <c r="F14" s="30"/>
      <c r="G14" s="573" t="str">
        <f>IF(F14&lt;65%,"To comply with min. 65%"," ")</f>
        <v>To comply with min. 65%</v>
      </c>
      <c r="H14" s="574"/>
    </row>
    <row r="15" spans="1:15">
      <c r="A15" s="575">
        <v>2</v>
      </c>
      <c r="B15" s="826" t="s">
        <v>590</v>
      </c>
      <c r="C15" s="827"/>
      <c r="D15" s="513" t="s">
        <v>50</v>
      </c>
      <c r="E15" s="514" t="s">
        <v>49</v>
      </c>
      <c r="F15" s="553"/>
      <c r="G15" s="573" t="str">
        <f>IF(F15&lt;80%,"To comply with min. 80%"," ")</f>
        <v>To comply with min. 80%</v>
      </c>
      <c r="H15" s="562"/>
    </row>
    <row r="16" spans="1:15" ht="15" customHeight="1">
      <c r="A16" s="572">
        <v>3</v>
      </c>
      <c r="B16" s="826" t="s">
        <v>589</v>
      </c>
      <c r="C16" s="827"/>
      <c r="D16" s="513" t="s">
        <v>50</v>
      </c>
      <c r="E16" s="514" t="s">
        <v>49</v>
      </c>
      <c r="F16" s="553"/>
      <c r="G16" s="573" t="str">
        <f>IF(F16&lt;80%,"To comply with min. 80%"," ")</f>
        <v>To comply with min. 80%</v>
      </c>
      <c r="H16" s="569"/>
    </row>
    <row r="17" spans="1:18">
      <c r="A17" s="572">
        <v>4</v>
      </c>
      <c r="B17" s="826" t="s">
        <v>591</v>
      </c>
      <c r="C17" s="827"/>
      <c r="D17" s="515" t="s">
        <v>3</v>
      </c>
      <c r="E17" s="514" t="s">
        <v>49</v>
      </c>
      <c r="F17" s="553"/>
      <c r="G17" s="573" t="str">
        <f>IF(F17&lt;65%,"To comply with min. 65%"," ")</f>
        <v>To comply with min. 65%</v>
      </c>
      <c r="H17" s="569"/>
    </row>
    <row r="18" spans="1:18" s="29" customFormat="1" ht="15.6">
      <c r="A18" s="576" t="s">
        <v>126</v>
      </c>
      <c r="B18" s="167"/>
      <c r="C18" s="167"/>
      <c r="D18" s="167"/>
      <c r="E18" s="168"/>
      <c r="F18" s="169"/>
      <c r="G18" s="534"/>
      <c r="H18" s="571"/>
      <c r="J18" s="10"/>
      <c r="N18" s="44"/>
      <c r="O18" s="44"/>
    </row>
    <row r="19" spans="1:18" ht="32.25" customHeight="1">
      <c r="A19" s="577">
        <v>5</v>
      </c>
      <c r="B19" s="886" t="s">
        <v>269</v>
      </c>
      <c r="C19" s="887"/>
      <c r="D19" s="143" t="s">
        <v>3</v>
      </c>
      <c r="E19" s="537"/>
      <c r="F19" s="31">
        <f>IFERROR(E19/$F$120,0)</f>
        <v>0</v>
      </c>
      <c r="G19" s="573" t="str">
        <f>IF(OR($A$7=$J$2,$A$7=$J$3),IF(E19=0,"Please input wall length"," ")," ")</f>
        <v>Please input wall length</v>
      </c>
      <c r="H19" s="569"/>
    </row>
    <row r="20" spans="1:18">
      <c r="A20" s="577" t="s">
        <v>509</v>
      </c>
      <c r="B20" s="826" t="s">
        <v>270</v>
      </c>
      <c r="C20" s="827"/>
      <c r="D20" s="516" t="s">
        <v>50</v>
      </c>
      <c r="E20" s="514" t="s">
        <v>49</v>
      </c>
      <c r="F20" s="30"/>
      <c r="G20" s="573" t="str">
        <f>IF(OR($A$7=$J$2,$A$7=$J$3),IF(F20&lt;65%,"To comply with min. 65%"," ")," ")</f>
        <v>To comply with min. 65%</v>
      </c>
      <c r="H20" s="569"/>
    </row>
    <row r="21" spans="1:18">
      <c r="A21" s="577" t="s">
        <v>510</v>
      </c>
      <c r="B21" s="826" t="s">
        <v>592</v>
      </c>
      <c r="C21" s="827"/>
      <c r="D21" s="516" t="s">
        <v>50</v>
      </c>
      <c r="E21" s="514" t="s">
        <v>49</v>
      </c>
      <c r="F21" s="30"/>
      <c r="G21" s="573" t="str">
        <f>IF(OR($A$7=$J$2,$A$7=$J$3),IF(F21&lt;60%,"To comply with min. 60%"," ")," ")</f>
        <v>To comply with min. 60%</v>
      </c>
      <c r="H21" s="569"/>
    </row>
    <row r="22" spans="1:18">
      <c r="A22" s="577" t="s">
        <v>511</v>
      </c>
      <c r="B22" s="826" t="s">
        <v>593</v>
      </c>
      <c r="C22" s="827"/>
      <c r="D22" s="516" t="s">
        <v>50</v>
      </c>
      <c r="E22" s="514" t="s">
        <v>49</v>
      </c>
      <c r="F22" s="30"/>
      <c r="G22" s="573" t="str">
        <f>IF(OR($A$7=$J$2,$A$7=$J$3),IF(F22&lt;65%,"To comply with min. 65%"," ")," ")</f>
        <v>To comply with min. 65%</v>
      </c>
      <c r="H22" s="569"/>
    </row>
    <row r="23" spans="1:18">
      <c r="A23" s="577" t="s">
        <v>512</v>
      </c>
      <c r="B23" s="826" t="s">
        <v>594</v>
      </c>
      <c r="C23" s="827"/>
      <c r="D23" s="516" t="s">
        <v>50</v>
      </c>
      <c r="E23" s="514" t="s">
        <v>49</v>
      </c>
      <c r="F23" s="30"/>
      <c r="G23" s="573" t="str">
        <f>IF(OR($A$7=$J$2,$A$7=$J$3),IF(F23&lt;60%,"To comply with min. 60%"," ")," ")</f>
        <v>To comply with min. 60%</v>
      </c>
      <c r="H23" s="569"/>
    </row>
    <row r="24" spans="1:18">
      <c r="A24" s="577" t="s">
        <v>283</v>
      </c>
      <c r="B24" s="826" t="s">
        <v>595</v>
      </c>
      <c r="C24" s="827"/>
      <c r="D24" s="513" t="s">
        <v>50</v>
      </c>
      <c r="E24" s="514" t="s">
        <v>49</v>
      </c>
      <c r="F24" s="553"/>
      <c r="G24" s="573" t="str">
        <f>IF(OR($A$7=$J$2,$A$7=$J$3),IF(F24&lt;65%,"To comply with min. 65%"," ")," ")</f>
        <v>To comply with min. 65%</v>
      </c>
      <c r="H24" s="569"/>
    </row>
    <row r="25" spans="1:18">
      <c r="A25" s="577" t="s">
        <v>513</v>
      </c>
      <c r="B25" s="826" t="s">
        <v>596</v>
      </c>
      <c r="C25" s="827"/>
      <c r="D25" s="513" t="s">
        <v>50</v>
      </c>
      <c r="E25" s="514" t="s">
        <v>49</v>
      </c>
      <c r="F25" s="553"/>
      <c r="G25" s="573" t="str">
        <f>IF(OR($A$7=$J$2,$A$7=$J$3),IF(F25&lt;80%,"To comply with min. 80%"," ")," ")</f>
        <v>To comply with min. 80%</v>
      </c>
      <c r="H25" s="569"/>
    </row>
    <row r="26" spans="1:18">
      <c r="A26" s="561"/>
      <c r="B26" s="264"/>
      <c r="C26" s="264"/>
      <c r="D26" s="264"/>
      <c r="E26" s="264"/>
      <c r="F26" s="264"/>
      <c r="G26" s="265"/>
      <c r="H26" s="562"/>
      <c r="J26" s="6"/>
    </row>
    <row r="27" spans="1:18" ht="15.6">
      <c r="A27" s="578" t="s">
        <v>43</v>
      </c>
      <c r="B27" s="157"/>
      <c r="C27" s="157"/>
      <c r="D27" s="157"/>
      <c r="E27" s="157"/>
      <c r="F27" s="158" t="s">
        <v>42</v>
      </c>
      <c r="G27" s="159">
        <f>VLOOKUP($A$7,'Manpower allocation'!A4:D11,2,FALSE)*100</f>
        <v>45</v>
      </c>
      <c r="H27" s="579" t="s">
        <v>41</v>
      </c>
      <c r="I27" s="365">
        <f>VLOOKUP($A$7,'Manpower allocation'!A4:D11,2,FALSE)*100</f>
        <v>45</v>
      </c>
      <c r="J27" s="6"/>
    </row>
    <row r="28" spans="1:18" ht="15.6">
      <c r="A28" s="561"/>
      <c r="B28" s="302"/>
      <c r="C28" s="303"/>
      <c r="D28" s="264"/>
      <c r="E28" s="264"/>
      <c r="F28" s="264"/>
      <c r="G28" s="265"/>
      <c r="H28" s="562"/>
      <c r="J28" s="6"/>
    </row>
    <row r="29" spans="1:18" s="29" customFormat="1" ht="46.8">
      <c r="A29" s="580" t="s">
        <v>0</v>
      </c>
      <c r="B29" s="40"/>
      <c r="C29" s="40"/>
      <c r="D29" s="41"/>
      <c r="E29" s="42" t="s">
        <v>17</v>
      </c>
      <c r="F29" s="42" t="s">
        <v>113</v>
      </c>
      <c r="G29" s="42" t="s">
        <v>18</v>
      </c>
      <c r="H29" s="42" t="s">
        <v>52</v>
      </c>
      <c r="J29" s="43"/>
      <c r="Q29" s="44"/>
      <c r="R29" s="44"/>
    </row>
    <row r="30" spans="1:18" s="29" customFormat="1" ht="15.6">
      <c r="A30" s="581" t="s">
        <v>187</v>
      </c>
      <c r="B30" s="45" t="s">
        <v>203</v>
      </c>
      <c r="C30" s="46"/>
      <c r="D30" s="46"/>
      <c r="E30" s="47"/>
      <c r="F30" s="47"/>
      <c r="G30" s="47"/>
      <c r="H30" s="582"/>
      <c r="Q30" s="44"/>
      <c r="R30" s="44"/>
    </row>
    <row r="31" spans="1:18" s="29" customFormat="1" ht="15.6">
      <c r="A31" s="583">
        <v>1</v>
      </c>
      <c r="B31" s="39" t="s">
        <v>304</v>
      </c>
      <c r="C31" s="40"/>
      <c r="D31" s="48"/>
      <c r="E31" s="40"/>
      <c r="F31" s="49"/>
      <c r="G31" s="49"/>
      <c r="H31" s="584"/>
      <c r="Q31" s="44"/>
      <c r="R31" s="44"/>
    </row>
    <row r="32" spans="1:18" s="29" customFormat="1">
      <c r="A32" s="918">
        <v>1.1000000000000001</v>
      </c>
      <c r="B32" s="836" t="s">
        <v>271</v>
      </c>
      <c r="C32" s="885"/>
      <c r="D32" s="885"/>
      <c r="E32" s="811">
        <f>VLOOKUP(A32,'Point Allocation'!$A$5:$J$15,MATCH(A7,'Point Allocation'!$A$5:$J$5,0),0)</f>
        <v>45</v>
      </c>
      <c r="F32" s="812"/>
      <c r="G32" s="813">
        <f>IFERROR(F32/$F$59,0)</f>
        <v>0</v>
      </c>
      <c r="H32" s="811">
        <f>E32*G32</f>
        <v>0</v>
      </c>
      <c r="Q32" s="44"/>
      <c r="R32" s="44"/>
    </row>
    <row r="33" spans="1:18" s="29" customFormat="1" ht="15.6">
      <c r="A33" s="919"/>
      <c r="B33" s="810" t="s">
        <v>358</v>
      </c>
      <c r="C33" s="810"/>
      <c r="D33" s="810"/>
      <c r="E33" s="811"/>
      <c r="F33" s="812"/>
      <c r="G33" s="813">
        <f t="shared" ref="G33" si="0">IFERROR(F33/$F$59,0)</f>
        <v>0</v>
      </c>
      <c r="H33" s="811"/>
      <c r="Q33" s="44"/>
      <c r="R33" s="44"/>
    </row>
    <row r="34" spans="1:18" s="29" customFormat="1" ht="15.6">
      <c r="A34" s="583">
        <v>2</v>
      </c>
      <c r="B34" s="39" t="s">
        <v>305</v>
      </c>
      <c r="C34" s="50"/>
      <c r="D34" s="48"/>
      <c r="E34" s="51"/>
      <c r="F34" s="8"/>
      <c r="G34" s="22"/>
      <c r="H34" s="585"/>
      <c r="Q34" s="52"/>
      <c r="R34" s="44"/>
    </row>
    <row r="35" spans="1:18" s="29" customFormat="1">
      <c r="A35" s="586">
        <v>2.1</v>
      </c>
      <c r="B35" s="858" t="s">
        <v>192</v>
      </c>
      <c r="C35" s="859"/>
      <c r="D35" s="840"/>
      <c r="E35" s="20">
        <f>VLOOKUP(A35,'Point Allocation'!$A$5:$J$15,MATCH(A7,'Point Allocation'!$A$5:$J$5,0),0)</f>
        <v>42</v>
      </c>
      <c r="F35" s="537"/>
      <c r="G35" s="31">
        <f>IFERROR(F35/$F$59,0)</f>
        <v>0</v>
      </c>
      <c r="H35" s="20">
        <f>E35*G35</f>
        <v>0</v>
      </c>
      <c r="Q35" s="52"/>
      <c r="R35" s="44"/>
    </row>
    <row r="36" spans="1:18" s="29" customFormat="1" ht="15.6">
      <c r="A36" s="583">
        <v>3</v>
      </c>
      <c r="B36" s="39" t="s">
        <v>306</v>
      </c>
      <c r="C36" s="50"/>
      <c r="D36" s="48"/>
      <c r="E36" s="51"/>
      <c r="F36" s="8"/>
      <c r="G36" s="22"/>
      <c r="H36" s="585"/>
      <c r="Q36" s="52"/>
      <c r="R36" s="44"/>
    </row>
    <row r="37" spans="1:18" s="29" customFormat="1" ht="15" customHeight="1">
      <c r="A37" s="586">
        <v>3.1</v>
      </c>
      <c r="B37" s="858" t="s">
        <v>640</v>
      </c>
      <c r="C37" s="859"/>
      <c r="D37" s="840"/>
      <c r="E37" s="20">
        <f>VLOOKUP(A37,'Point Allocation'!$A$5:$J$15,MATCH(A7,'Point Allocation'!$A$5:$J$5,0),0)</f>
        <v>39</v>
      </c>
      <c r="F37" s="37"/>
      <c r="G37" s="31">
        <f>IFERROR(F37/$F$59,0)</f>
        <v>0</v>
      </c>
      <c r="H37" s="546">
        <f>E37*G37</f>
        <v>0</v>
      </c>
      <c r="Q37" s="52"/>
      <c r="R37" s="44"/>
    </row>
    <row r="38" spans="1:18" s="29" customFormat="1" ht="31.5" customHeight="1">
      <c r="A38" s="909">
        <v>3.2</v>
      </c>
      <c r="B38" s="863" t="s">
        <v>296</v>
      </c>
      <c r="C38" s="911"/>
      <c r="D38" s="864"/>
      <c r="E38" s="828">
        <f>VLOOKUP(A38,'Point Allocation'!$A$5:$J$15,MATCH(A7,'Point Allocation'!$A$5:$J$5,0),0)</f>
        <v>39</v>
      </c>
      <c r="F38" s="37"/>
      <c r="G38" s="31">
        <f>IFERROR(F38/$F$59,0)</f>
        <v>0</v>
      </c>
      <c r="H38" s="828">
        <f>IF(SUM(I40:I45)&gt;=4,E38*G38,0)</f>
        <v>0</v>
      </c>
      <c r="Q38" s="52"/>
      <c r="R38" s="44"/>
    </row>
    <row r="39" spans="1:18" s="29" customFormat="1" ht="46.95" customHeight="1">
      <c r="A39" s="910"/>
      <c r="B39" s="912"/>
      <c r="C39" s="913"/>
      <c r="D39" s="914"/>
      <c r="E39" s="829"/>
      <c r="F39" s="521" t="s">
        <v>601</v>
      </c>
      <c r="G39" s="53" t="s">
        <v>116</v>
      </c>
      <c r="H39" s="829"/>
      <c r="Q39" s="52"/>
      <c r="R39" s="44"/>
    </row>
    <row r="40" spans="1:18" s="29" customFormat="1" ht="112.2" customHeight="1">
      <c r="A40" s="587" t="s">
        <v>181</v>
      </c>
      <c r="B40" s="830" t="s">
        <v>323</v>
      </c>
      <c r="C40" s="831"/>
      <c r="D40" s="832"/>
      <c r="E40" s="900"/>
      <c r="F40" s="536" t="s">
        <v>609</v>
      </c>
      <c r="G40" s="552"/>
      <c r="H40" s="889"/>
      <c r="I40" s="54">
        <f t="shared" ref="I40:I45" si="1">IF(G40&gt;=65%,1,0)</f>
        <v>0</v>
      </c>
      <c r="Q40" s="52"/>
      <c r="R40" s="44"/>
    </row>
    <row r="41" spans="1:18" s="29" customFormat="1" ht="63" customHeight="1">
      <c r="A41" s="587" t="s">
        <v>182</v>
      </c>
      <c r="B41" s="833" t="s">
        <v>204</v>
      </c>
      <c r="C41" s="834"/>
      <c r="D41" s="835"/>
      <c r="E41" s="900"/>
      <c r="F41" s="483" t="s">
        <v>598</v>
      </c>
      <c r="G41" s="553"/>
      <c r="H41" s="889"/>
      <c r="I41" s="54">
        <f t="shared" si="1"/>
        <v>0</v>
      </c>
      <c r="Q41" s="52"/>
      <c r="R41" s="44"/>
    </row>
    <row r="42" spans="1:18" s="29" customFormat="1" ht="48.75" customHeight="1">
      <c r="A42" s="587" t="s">
        <v>190</v>
      </c>
      <c r="B42" s="833" t="s">
        <v>205</v>
      </c>
      <c r="C42" s="834"/>
      <c r="D42" s="835"/>
      <c r="E42" s="900"/>
      <c r="F42" s="483" t="s">
        <v>611</v>
      </c>
      <c r="G42" s="553"/>
      <c r="H42" s="889"/>
      <c r="I42" s="54">
        <f t="shared" si="1"/>
        <v>0</v>
      </c>
      <c r="Q42" s="52"/>
      <c r="R42" s="44"/>
    </row>
    <row r="43" spans="1:18" s="29" customFormat="1" ht="45">
      <c r="A43" s="587" t="s">
        <v>183</v>
      </c>
      <c r="B43" s="833" t="s">
        <v>206</v>
      </c>
      <c r="C43" s="834"/>
      <c r="D43" s="835"/>
      <c r="E43" s="900"/>
      <c r="F43" s="483" t="s">
        <v>597</v>
      </c>
      <c r="G43" s="553"/>
      <c r="H43" s="889"/>
      <c r="I43" s="54">
        <f t="shared" si="1"/>
        <v>0</v>
      </c>
      <c r="Q43" s="52"/>
      <c r="R43" s="44"/>
    </row>
    <row r="44" spans="1:18" s="29" customFormat="1" ht="63" customHeight="1">
      <c r="A44" s="587" t="s">
        <v>191</v>
      </c>
      <c r="B44" s="833" t="s">
        <v>207</v>
      </c>
      <c r="C44" s="834"/>
      <c r="D44" s="835"/>
      <c r="E44" s="900"/>
      <c r="F44" s="483" t="s">
        <v>599</v>
      </c>
      <c r="G44" s="553"/>
      <c r="H44" s="889"/>
      <c r="I44" s="54">
        <f t="shared" si="1"/>
        <v>0</v>
      </c>
      <c r="Q44" s="52"/>
      <c r="R44" s="44"/>
    </row>
    <row r="45" spans="1:18" s="29" customFormat="1" ht="31.5" customHeight="1">
      <c r="A45" s="587" t="s">
        <v>184</v>
      </c>
      <c r="B45" s="915" t="s">
        <v>610</v>
      </c>
      <c r="C45" s="916"/>
      <c r="D45" s="886"/>
      <c r="E45" s="901"/>
      <c r="F45" s="483" t="s">
        <v>600</v>
      </c>
      <c r="G45" s="553"/>
      <c r="H45" s="829"/>
      <c r="I45" s="54">
        <f t="shared" si="1"/>
        <v>0</v>
      </c>
      <c r="Q45" s="52"/>
      <c r="R45" s="44"/>
    </row>
    <row r="46" spans="1:18" s="29" customFormat="1" ht="15.6">
      <c r="A46" s="583" t="s">
        <v>185</v>
      </c>
      <c r="B46" s="39" t="s">
        <v>307</v>
      </c>
      <c r="C46" s="55"/>
      <c r="D46" s="48"/>
      <c r="E46" s="51"/>
      <c r="F46" s="36"/>
      <c r="G46" s="23"/>
      <c r="H46" s="588"/>
      <c r="Q46" s="52"/>
      <c r="R46" s="44"/>
    </row>
    <row r="47" spans="1:18" s="29" customFormat="1" ht="31.5" customHeight="1">
      <c r="A47" s="543">
        <v>4.0999999999999996</v>
      </c>
      <c r="B47" s="858" t="s">
        <v>602</v>
      </c>
      <c r="C47" s="859"/>
      <c r="D47" s="840"/>
      <c r="E47" s="20">
        <f>VLOOKUP(A47,'Point Allocation'!$A$5:$J$15,MATCH(A7,'Point Allocation'!$A$5:$J$5,0),0)</f>
        <v>35</v>
      </c>
      <c r="F47" s="537"/>
      <c r="G47" s="31">
        <f>IFERROR(F47/$F$59,0)</f>
        <v>0</v>
      </c>
      <c r="H47" s="20">
        <f>E47*G47</f>
        <v>0</v>
      </c>
      <c r="Q47" s="52"/>
      <c r="R47" s="44"/>
    </row>
    <row r="48" spans="1:18" s="29" customFormat="1">
      <c r="A48" s="589">
        <v>4.2</v>
      </c>
      <c r="B48" s="825" t="s">
        <v>313</v>
      </c>
      <c r="C48" s="826"/>
      <c r="D48" s="827"/>
      <c r="E48" s="20">
        <f>VLOOKUP(A48,'Point Allocation'!$A$5:$J$15,MATCH(A7,'Point Allocation'!$A$5:$J$5,0),0)</f>
        <v>35</v>
      </c>
      <c r="F48" s="537"/>
      <c r="G48" s="31">
        <f>IFERROR(F48/$F$59,0)</f>
        <v>0</v>
      </c>
      <c r="H48" s="20">
        <f>E48*G48</f>
        <v>0</v>
      </c>
      <c r="Q48" s="52"/>
      <c r="R48" s="44"/>
    </row>
    <row r="49" spans="1:18" s="29" customFormat="1">
      <c r="A49" s="589">
        <v>4.3</v>
      </c>
      <c r="B49" s="902" t="s">
        <v>311</v>
      </c>
      <c r="C49" s="903"/>
      <c r="D49" s="904"/>
      <c r="E49" s="20">
        <f>VLOOKUP(A49,'Point Allocation'!$A$5:$J$15,MATCH(A7,'Point Allocation'!$A$5:$J$5,0),0)</f>
        <v>28</v>
      </c>
      <c r="F49" s="537"/>
      <c r="G49" s="31">
        <f>IFERROR(F49/$F$59,0)</f>
        <v>0</v>
      </c>
      <c r="H49" s="20">
        <f>E49*G49</f>
        <v>0</v>
      </c>
      <c r="Q49" s="52"/>
      <c r="R49" s="44"/>
    </row>
    <row r="50" spans="1:18" s="29" customFormat="1">
      <c r="A50" s="543">
        <v>4.4000000000000004</v>
      </c>
      <c r="B50" s="858" t="s">
        <v>312</v>
      </c>
      <c r="C50" s="859"/>
      <c r="D50" s="840"/>
      <c r="E50" s="20">
        <f>VLOOKUP(A50,'Point Allocation'!$A$5:$J$15,MATCH(A7,'Point Allocation'!$A$5:$J$5,0),0)</f>
        <v>28</v>
      </c>
      <c r="F50" s="537"/>
      <c r="G50" s="31">
        <f>IFERROR(F50/$F$59,0)</f>
        <v>0</v>
      </c>
      <c r="H50" s="20">
        <f>E50*G50</f>
        <v>0</v>
      </c>
      <c r="Q50" s="52"/>
      <c r="R50" s="44"/>
    </row>
    <row r="51" spans="1:18" s="58" customFormat="1" ht="15.6">
      <c r="A51" s="581" t="s">
        <v>186</v>
      </c>
      <c r="B51" s="45" t="s">
        <v>200</v>
      </c>
      <c r="C51" s="56"/>
      <c r="D51" s="57"/>
      <c r="E51" s="7"/>
      <c r="F51" s="7"/>
      <c r="G51" s="24"/>
      <c r="H51" s="590"/>
      <c r="I51" s="29"/>
      <c r="J51" s="29"/>
      <c r="K51" s="29"/>
      <c r="L51" s="29"/>
      <c r="M51" s="29"/>
      <c r="Q51" s="59"/>
    </row>
    <row r="52" spans="1:18" s="58" customFormat="1" ht="15.6">
      <c r="A52" s="39">
        <v>5</v>
      </c>
      <c r="B52" s="39" t="s">
        <v>201</v>
      </c>
      <c r="C52" s="48"/>
      <c r="D52" s="48"/>
      <c r="E52" s="8"/>
      <c r="F52" s="8"/>
      <c r="G52" s="22"/>
      <c r="H52" s="588"/>
      <c r="I52" s="29"/>
      <c r="J52" s="29"/>
      <c r="K52" s="29"/>
      <c r="L52" s="29"/>
      <c r="M52" s="29"/>
      <c r="Q52" s="59"/>
    </row>
    <row r="53" spans="1:18" s="29" customFormat="1">
      <c r="A53" s="541">
        <v>5.0999999999999996</v>
      </c>
      <c r="B53" s="822" t="s">
        <v>193</v>
      </c>
      <c r="C53" s="823"/>
      <c r="D53" s="824"/>
      <c r="E53" s="20">
        <f>VLOOKUP(A53,'Point Allocation'!$A$5:$J$15,MATCH(A7,'Point Allocation'!$A$5:$J$5,0),0)</f>
        <v>22</v>
      </c>
      <c r="F53" s="537"/>
      <c r="G53" s="31">
        <f>IFERROR(F53/$F$59,0)</f>
        <v>0</v>
      </c>
      <c r="H53" s="20">
        <f>E53*G53</f>
        <v>0</v>
      </c>
      <c r="Q53" s="52"/>
      <c r="R53" s="44"/>
    </row>
    <row r="54" spans="1:18" s="29" customFormat="1">
      <c r="A54" s="541">
        <v>5.2</v>
      </c>
      <c r="B54" s="822" t="s">
        <v>142</v>
      </c>
      <c r="C54" s="823"/>
      <c r="D54" s="824"/>
      <c r="E54" s="20">
        <f>VLOOKUP(A54,'Point Allocation'!$A$5:$J$15,MATCH(A7,'Point Allocation'!$A$5:$J$5,0),0)</f>
        <v>10</v>
      </c>
      <c r="F54" s="537"/>
      <c r="G54" s="31">
        <f>IFERROR(F54/$F$59,0)</f>
        <v>0</v>
      </c>
      <c r="H54" s="20">
        <f>E54*G54</f>
        <v>0</v>
      </c>
      <c r="Q54" s="52"/>
      <c r="R54" s="44"/>
    </row>
    <row r="55" spans="1:18" s="29" customFormat="1" ht="15.6">
      <c r="A55" s="60">
        <v>6</v>
      </c>
      <c r="B55" s="60" t="s">
        <v>202</v>
      </c>
      <c r="C55" s="48"/>
      <c r="D55" s="48"/>
      <c r="E55" s="8"/>
      <c r="F55" s="8"/>
      <c r="G55" s="22"/>
      <c r="H55" s="588"/>
      <c r="Q55" s="52"/>
      <c r="R55" s="44"/>
    </row>
    <row r="56" spans="1:18" s="29" customFormat="1">
      <c r="A56" s="591">
        <v>6.1</v>
      </c>
      <c r="B56" s="762"/>
      <c r="C56" s="763"/>
      <c r="D56" s="803"/>
      <c r="E56" s="537"/>
      <c r="F56" s="537"/>
      <c r="G56" s="31">
        <f>IFERROR(F56/$F$59,0)</f>
        <v>0</v>
      </c>
      <c r="H56" s="20">
        <f>E56*G56</f>
        <v>0</v>
      </c>
      <c r="Q56" s="52"/>
      <c r="R56" s="44"/>
    </row>
    <row r="57" spans="1:18" s="29" customFormat="1">
      <c r="A57" s="591">
        <v>6.2</v>
      </c>
      <c r="B57" s="762"/>
      <c r="C57" s="763"/>
      <c r="D57" s="803"/>
      <c r="E57" s="537"/>
      <c r="F57" s="537"/>
      <c r="G57" s="31">
        <f>IFERROR(F57/$F$59,0)</f>
        <v>0</v>
      </c>
      <c r="H57" s="20">
        <f>E57*G57</f>
        <v>0</v>
      </c>
      <c r="Q57" s="52"/>
      <c r="R57" s="44"/>
    </row>
    <row r="58" spans="1:18" s="29" customFormat="1">
      <c r="A58" s="591">
        <v>6.3</v>
      </c>
      <c r="B58" s="762"/>
      <c r="C58" s="763"/>
      <c r="D58" s="803"/>
      <c r="E58" s="537"/>
      <c r="F58" s="537"/>
      <c r="G58" s="31">
        <f>IFERROR(F58/$F$59,0)</f>
        <v>0</v>
      </c>
      <c r="H58" s="20">
        <f>E58*G58</f>
        <v>0</v>
      </c>
      <c r="Q58" s="52"/>
      <c r="R58" s="44"/>
    </row>
    <row r="59" spans="1:18" s="29" customFormat="1" ht="15.6">
      <c r="A59" s="592"/>
      <c r="B59" s="304"/>
      <c r="C59" s="305"/>
      <c r="D59" s="305"/>
      <c r="E59" s="306" t="s">
        <v>60</v>
      </c>
      <c r="F59" s="26">
        <f>SUM(F32,F35,F37,F38,F47,F48,F49,F50,F53,F54,F56,F57,F58)</f>
        <v>0</v>
      </c>
      <c r="G59" s="25">
        <f>SUM(G32,G35:G35,G37:G38,G47:G50,G53:G54,G56:G58)</f>
        <v>0</v>
      </c>
      <c r="H59" s="593">
        <f>IFERROR(SUM(H32:H58),0)</f>
        <v>0</v>
      </c>
      <c r="M59" s="61"/>
      <c r="Q59" s="52"/>
      <c r="R59" s="44"/>
    </row>
    <row r="60" spans="1:18" s="29" customFormat="1" ht="15.6" thickBot="1">
      <c r="A60" s="594"/>
      <c r="B60" s="361"/>
      <c r="C60" s="362"/>
      <c r="D60" s="362"/>
      <c r="E60" s="362"/>
      <c r="F60" s="362"/>
      <c r="G60" s="354"/>
      <c r="H60" s="595"/>
      <c r="Q60" s="52"/>
      <c r="R60" s="44"/>
    </row>
    <row r="61" spans="1:18" s="29" customFormat="1" ht="15.6">
      <c r="A61" s="896" t="s">
        <v>0</v>
      </c>
      <c r="B61" s="897"/>
      <c r="C61" s="461"/>
      <c r="D61" s="892" t="s">
        <v>4</v>
      </c>
      <c r="E61" s="894" t="s">
        <v>1</v>
      </c>
      <c r="F61" s="895"/>
      <c r="G61" s="890" t="s">
        <v>21</v>
      </c>
      <c r="H61" s="892" t="s">
        <v>62</v>
      </c>
      <c r="Q61" s="52"/>
      <c r="R61" s="44"/>
    </row>
    <row r="62" spans="1:18" s="29" customFormat="1" ht="31.2">
      <c r="A62" s="898"/>
      <c r="B62" s="899"/>
      <c r="C62" s="62"/>
      <c r="D62" s="893"/>
      <c r="E62" s="42" t="s">
        <v>117</v>
      </c>
      <c r="F62" s="42" t="s">
        <v>118</v>
      </c>
      <c r="G62" s="891"/>
      <c r="H62" s="893"/>
      <c r="I62" s="63"/>
      <c r="Q62" s="52"/>
      <c r="R62" s="44"/>
    </row>
    <row r="63" spans="1:18" s="29" customFormat="1" ht="15.6">
      <c r="A63" s="45" t="s">
        <v>208</v>
      </c>
      <c r="B63" s="45" t="s">
        <v>139</v>
      </c>
      <c r="C63" s="57"/>
      <c r="D63" s="64"/>
      <c r="E63" s="47"/>
      <c r="F63" s="47"/>
      <c r="G63" s="47"/>
      <c r="H63" s="596"/>
      <c r="I63" s="61"/>
      <c r="J63" s="61"/>
      <c r="K63" s="61"/>
      <c r="L63" s="61"/>
      <c r="Q63" s="52"/>
      <c r="R63" s="44"/>
    </row>
    <row r="64" spans="1:18" s="29" customFormat="1" ht="15" customHeight="1">
      <c r="A64" s="597" t="s">
        <v>314</v>
      </c>
      <c r="B64" s="837" t="s">
        <v>647</v>
      </c>
      <c r="C64" s="838"/>
      <c r="D64" s="5" t="s">
        <v>50</v>
      </c>
      <c r="E64" s="9">
        <v>3</v>
      </c>
      <c r="F64" s="9">
        <v>4</v>
      </c>
      <c r="G64" s="30"/>
      <c r="H64" s="20">
        <f>IF(G64&gt;=80%,F64,IF(G64&lt;65%,0,E64))</f>
        <v>0</v>
      </c>
      <c r="Q64" s="52"/>
      <c r="R64" s="44"/>
    </row>
    <row r="65" spans="1:18" s="29" customFormat="1">
      <c r="A65" s="597" t="s">
        <v>315</v>
      </c>
      <c r="B65" s="837" t="s">
        <v>646</v>
      </c>
      <c r="C65" s="838"/>
      <c r="D65" s="5" t="s">
        <v>50</v>
      </c>
      <c r="E65" s="9">
        <v>3</v>
      </c>
      <c r="F65" s="9">
        <v>4</v>
      </c>
      <c r="G65" s="30"/>
      <c r="H65" s="20">
        <f>IF(G65&gt;=80%,F65,IF(G65&lt;65%,0,E65))</f>
        <v>0</v>
      </c>
      <c r="Q65" s="52"/>
      <c r="R65" s="44"/>
    </row>
    <row r="66" spans="1:18" s="29" customFormat="1">
      <c r="A66" s="598" t="s">
        <v>316</v>
      </c>
      <c r="B66" s="837" t="s">
        <v>641</v>
      </c>
      <c r="C66" s="838"/>
      <c r="D66" s="5" t="s">
        <v>50</v>
      </c>
      <c r="E66" s="9">
        <v>3</v>
      </c>
      <c r="F66" s="9">
        <v>4</v>
      </c>
      <c r="G66" s="30"/>
      <c r="H66" s="20">
        <f>IF(G66&gt;=80%,F66,IF(G66&lt;65%,0,E66))</f>
        <v>0</v>
      </c>
      <c r="Q66" s="52"/>
      <c r="R66" s="44"/>
    </row>
    <row r="67" spans="1:18" s="29" customFormat="1" ht="51" customHeight="1">
      <c r="A67" s="597">
        <v>7.2</v>
      </c>
      <c r="B67" s="841" t="s">
        <v>319</v>
      </c>
      <c r="C67" s="841"/>
      <c r="D67" s="385" t="s">
        <v>50</v>
      </c>
      <c r="E67" s="546">
        <v>2</v>
      </c>
      <c r="F67" s="546">
        <v>2.5</v>
      </c>
      <c r="G67" s="518"/>
      <c r="H67" s="546">
        <f>IF(H38&gt;0,0,IF(G67&gt;=80%,F67,IF(G67&lt;65%,0,E67)))</f>
        <v>0</v>
      </c>
      <c r="I67" s="11"/>
      <c r="J67" s="11"/>
      <c r="K67" s="11"/>
      <c r="Q67" s="52"/>
      <c r="R67" s="44"/>
    </row>
    <row r="68" spans="1:18" s="29" customFormat="1" ht="15" customHeight="1">
      <c r="A68" s="597">
        <v>7.3</v>
      </c>
      <c r="B68" s="858" t="s">
        <v>215</v>
      </c>
      <c r="C68" s="859"/>
      <c r="D68" s="353"/>
      <c r="E68" s="353"/>
      <c r="F68" s="353"/>
      <c r="G68" s="519"/>
      <c r="H68" s="599"/>
      <c r="I68" s="11"/>
      <c r="J68" s="11"/>
      <c r="K68" s="11"/>
      <c r="Q68" s="52"/>
      <c r="R68" s="44"/>
    </row>
    <row r="69" spans="1:18" s="29" customFormat="1" ht="32.25" customHeight="1">
      <c r="A69" s="598" t="s">
        <v>209</v>
      </c>
      <c r="B69" s="839" t="s">
        <v>216</v>
      </c>
      <c r="C69" s="840"/>
      <c r="D69" s="980" t="s">
        <v>50</v>
      </c>
      <c r="E69" s="279">
        <v>1</v>
      </c>
      <c r="F69" s="279">
        <v>1.5</v>
      </c>
      <c r="G69" s="553"/>
      <c r="H69" s="279">
        <f>IF(H32+H38&gt;0,0.5,IF(G69&gt;=80%,F69,IF(G69&lt;65%,0,E69)))</f>
        <v>0</v>
      </c>
      <c r="J69" s="11"/>
      <c r="K69" s="11"/>
      <c r="Q69" s="52"/>
      <c r="R69" s="44"/>
    </row>
    <row r="70" spans="1:18" s="29" customFormat="1" ht="47.25" customHeight="1">
      <c r="A70" s="598" t="s">
        <v>210</v>
      </c>
      <c r="B70" s="839" t="s">
        <v>217</v>
      </c>
      <c r="C70" s="840"/>
      <c r="D70" s="981"/>
      <c r="E70" s="279">
        <v>1</v>
      </c>
      <c r="F70" s="279">
        <v>1.5</v>
      </c>
      <c r="G70" s="553"/>
      <c r="H70" s="279">
        <f>IF(H32+H38&gt;0,0.5,IF(G70&gt;=80%,F70,IF(G70&lt;65%,0,E70)))</f>
        <v>0</v>
      </c>
      <c r="Q70" s="52"/>
      <c r="R70" s="44"/>
    </row>
    <row r="71" spans="1:18" s="29" customFormat="1">
      <c r="A71" s="598" t="s">
        <v>222</v>
      </c>
      <c r="B71" s="839" t="s">
        <v>218</v>
      </c>
      <c r="C71" s="840"/>
      <c r="D71" s="981"/>
      <c r="E71" s="279">
        <v>1</v>
      </c>
      <c r="F71" s="279">
        <v>1.5</v>
      </c>
      <c r="G71" s="553"/>
      <c r="H71" s="279">
        <f>IF(H32+H38&gt;0,0.5,IF(G71&gt;=80%,F71,IF(G71&lt;65%,0,E71)))</f>
        <v>0</v>
      </c>
      <c r="Q71" s="52"/>
      <c r="R71" s="44"/>
    </row>
    <row r="72" spans="1:18" s="29" customFormat="1" ht="46.5" customHeight="1">
      <c r="A72" s="598" t="s">
        <v>211</v>
      </c>
      <c r="B72" s="839" t="s">
        <v>219</v>
      </c>
      <c r="C72" s="840"/>
      <c r="D72" s="982"/>
      <c r="E72" s="279">
        <v>1</v>
      </c>
      <c r="F72" s="279">
        <v>1.5</v>
      </c>
      <c r="G72" s="553"/>
      <c r="H72" s="279">
        <f>IF(H32+H38&gt;0,0.5,IF(G72&gt;=80%,F72,IF(G72&lt;65%,0,E72)))</f>
        <v>0</v>
      </c>
      <c r="Q72" s="52"/>
      <c r="R72" s="44"/>
    </row>
    <row r="73" spans="1:18" s="29" customFormat="1">
      <c r="A73" s="597">
        <v>7.4</v>
      </c>
      <c r="B73" s="923" t="s">
        <v>393</v>
      </c>
      <c r="C73" s="923"/>
      <c r="D73" s="332" t="s">
        <v>2</v>
      </c>
      <c r="E73" s="279">
        <v>1</v>
      </c>
      <c r="F73" s="279">
        <v>1.5</v>
      </c>
      <c r="G73" s="553"/>
      <c r="H73" s="279">
        <f>IF(G73&gt;=80%,F73,IF(G73&lt;65%,0,E73))</f>
        <v>0</v>
      </c>
      <c r="Q73" s="52"/>
      <c r="R73" s="44"/>
    </row>
    <row r="74" spans="1:18" s="29" customFormat="1" ht="15" customHeight="1">
      <c r="A74" s="600">
        <v>7.5</v>
      </c>
      <c r="B74" s="928" t="s">
        <v>380</v>
      </c>
      <c r="C74" s="928"/>
      <c r="D74" s="490" t="s">
        <v>377</v>
      </c>
      <c r="E74" s="979">
        <v>2</v>
      </c>
      <c r="F74" s="979"/>
      <c r="G74" s="552"/>
      <c r="H74" s="557">
        <f>IF(G74&gt;=5%,E74,0)</f>
        <v>0</v>
      </c>
      <c r="Q74" s="52"/>
      <c r="R74" s="44"/>
    </row>
    <row r="75" spans="1:18" s="29" customFormat="1" ht="15.6">
      <c r="A75" s="66" t="s">
        <v>212</v>
      </c>
      <c r="B75" s="66" t="s">
        <v>517</v>
      </c>
      <c r="C75" s="67"/>
      <c r="D75" s="68"/>
      <c r="E75" s="69"/>
      <c r="F75" s="69"/>
      <c r="G75" s="69"/>
      <c r="H75" s="601"/>
      <c r="Q75" s="52"/>
      <c r="R75" s="44"/>
    </row>
    <row r="76" spans="1:18" s="29" customFormat="1">
      <c r="A76" s="597">
        <v>8.1</v>
      </c>
      <c r="B76" s="836" t="s">
        <v>220</v>
      </c>
      <c r="C76" s="836"/>
      <c r="D76" s="5" t="s">
        <v>50</v>
      </c>
      <c r="E76" s="20">
        <v>2</v>
      </c>
      <c r="F76" s="20">
        <v>2.5</v>
      </c>
      <c r="G76" s="553"/>
      <c r="H76" s="20">
        <f>IF(G76&gt;=80%,F76,IF(G76&lt;65%,0,E76))</f>
        <v>0</v>
      </c>
      <c r="I76" s="70"/>
      <c r="Q76" s="52"/>
      <c r="R76" s="44"/>
    </row>
    <row r="77" spans="1:18" s="29" customFormat="1">
      <c r="A77" s="597">
        <v>8.1999999999999993</v>
      </c>
      <c r="B77" s="836" t="s">
        <v>221</v>
      </c>
      <c r="C77" s="836"/>
      <c r="D77" s="5" t="s">
        <v>50</v>
      </c>
      <c r="E77" s="20">
        <v>2</v>
      </c>
      <c r="F77" s="20">
        <v>2.5</v>
      </c>
      <c r="G77" s="553"/>
      <c r="H77" s="20">
        <f>IF(G77&gt;=80%,F77,IF(G77&lt;65%,0,E77))</f>
        <v>0</v>
      </c>
      <c r="I77" s="11"/>
      <c r="J77" s="11"/>
      <c r="K77" s="11"/>
      <c r="Q77" s="52"/>
      <c r="R77" s="44"/>
    </row>
    <row r="78" spans="1:18" s="29" customFormat="1" ht="30.6" customHeight="1">
      <c r="A78" s="602">
        <v>8.3000000000000007</v>
      </c>
      <c r="B78" s="825" t="s">
        <v>607</v>
      </c>
      <c r="C78" s="827"/>
      <c r="D78" s="420" t="s">
        <v>50</v>
      </c>
      <c r="E78" s="434">
        <v>2</v>
      </c>
      <c r="F78" s="434">
        <v>2.5</v>
      </c>
      <c r="G78" s="553"/>
      <c r="H78" s="279">
        <f>IF(H76&gt;0,0,IF(G78&gt;=80%,F78,IF(G78&lt;65%,0,E78)))</f>
        <v>0</v>
      </c>
      <c r="I78" s="11"/>
      <c r="J78" s="11"/>
      <c r="K78" s="11"/>
      <c r="Q78" s="52"/>
      <c r="R78" s="44"/>
    </row>
    <row r="79" spans="1:18" s="29" customFormat="1">
      <c r="A79" s="602">
        <v>8.4</v>
      </c>
      <c r="B79" s="917" t="s">
        <v>138</v>
      </c>
      <c r="C79" s="843"/>
      <c r="D79" s="420" t="s">
        <v>2</v>
      </c>
      <c r="E79" s="434">
        <v>2</v>
      </c>
      <c r="F79" s="434">
        <v>2.5</v>
      </c>
      <c r="G79" s="30"/>
      <c r="H79" s="20">
        <f>IF(G79&gt;=80%,F79,IF(G79&lt;65%,0,E79))</f>
        <v>0</v>
      </c>
      <c r="Q79" s="52"/>
      <c r="R79" s="44"/>
    </row>
    <row r="80" spans="1:18" s="29" customFormat="1" ht="15.6">
      <c r="A80" s="66" t="s">
        <v>213</v>
      </c>
      <c r="B80" s="66" t="s">
        <v>518</v>
      </c>
      <c r="C80" s="67"/>
      <c r="D80" s="68"/>
      <c r="E80" s="69"/>
      <c r="F80" s="69"/>
      <c r="G80" s="69"/>
      <c r="H80" s="601"/>
      <c r="Q80" s="52"/>
      <c r="R80" s="44"/>
    </row>
    <row r="81" spans="1:18" s="29" customFormat="1" ht="31.5" customHeight="1">
      <c r="A81" s="602">
        <v>9.1</v>
      </c>
      <c r="B81" s="978" t="s">
        <v>514</v>
      </c>
      <c r="C81" s="978"/>
      <c r="D81" s="420" t="s">
        <v>50</v>
      </c>
      <c r="E81" s="434" t="s">
        <v>49</v>
      </c>
      <c r="F81" s="434">
        <v>2.5</v>
      </c>
      <c r="G81" s="517">
        <f>F21</f>
        <v>0</v>
      </c>
      <c r="H81" s="434">
        <f>IF(G81&gt;=80%,F81,0)</f>
        <v>0</v>
      </c>
      <c r="Q81" s="52"/>
      <c r="R81" s="44"/>
    </row>
    <row r="82" spans="1:18" s="29" customFormat="1" ht="31.5" customHeight="1">
      <c r="A82" s="602">
        <v>9.1999999999999993</v>
      </c>
      <c r="B82" s="825" t="s">
        <v>608</v>
      </c>
      <c r="C82" s="827"/>
      <c r="D82" s="420" t="s">
        <v>50</v>
      </c>
      <c r="E82" s="434">
        <v>2</v>
      </c>
      <c r="F82" s="434">
        <v>2.5</v>
      </c>
      <c r="G82" s="553"/>
      <c r="H82" s="279">
        <f>IF(G82&gt;=80%,F82,IF(G82&lt;65%,0,E82))</f>
        <v>0</v>
      </c>
      <c r="Q82" s="52"/>
      <c r="R82" s="44"/>
    </row>
    <row r="83" spans="1:18" s="29" customFormat="1" ht="15.6">
      <c r="A83" s="71" t="s">
        <v>214</v>
      </c>
      <c r="B83" s="71" t="s">
        <v>202</v>
      </c>
      <c r="C83" s="57"/>
      <c r="D83" s="57"/>
      <c r="E83" s="72"/>
      <c r="F83" s="72"/>
      <c r="G83" s="73"/>
      <c r="H83" s="603"/>
      <c r="Q83" s="52"/>
      <c r="R83" s="44"/>
    </row>
    <row r="84" spans="1:18" s="29" customFormat="1">
      <c r="A84" s="597">
        <v>10.1</v>
      </c>
      <c r="B84" s="776"/>
      <c r="C84" s="776"/>
      <c r="D84" s="520"/>
      <c r="E84" s="537"/>
      <c r="F84" s="537"/>
      <c r="G84" s="553"/>
      <c r="H84" s="20">
        <f>IF(G84&gt;=80%,F84,IF(G84&lt;65%,0,E84))</f>
        <v>0</v>
      </c>
      <c r="Q84" s="52"/>
      <c r="R84" s="44"/>
    </row>
    <row r="85" spans="1:18" s="29" customFormat="1">
      <c r="A85" s="597">
        <v>10.199999999999999</v>
      </c>
      <c r="B85" s="776"/>
      <c r="C85" s="776"/>
      <c r="D85" s="520"/>
      <c r="E85" s="537"/>
      <c r="F85" s="537"/>
      <c r="G85" s="553"/>
      <c r="H85" s="20">
        <f>IF(G85&gt;=80%,F85,IF(G85&lt;65%,0,E85))</f>
        <v>0</v>
      </c>
      <c r="Q85" s="52"/>
      <c r="R85" s="44"/>
    </row>
    <row r="86" spans="1:18" s="29" customFormat="1">
      <c r="A86" s="597">
        <v>10.3</v>
      </c>
      <c r="B86" s="776"/>
      <c r="C86" s="776"/>
      <c r="D86" s="520"/>
      <c r="E86" s="537"/>
      <c r="F86" s="537"/>
      <c r="G86" s="553"/>
      <c r="H86" s="20">
        <f>IF(G86&gt;=80%,F86,IF(G86&lt;65%,0,E86))</f>
        <v>0</v>
      </c>
      <c r="Q86" s="52"/>
      <c r="R86" s="44"/>
    </row>
    <row r="87" spans="1:18" s="29" customFormat="1" ht="15.6">
      <c r="A87" s="604"/>
      <c r="B87" s="307"/>
      <c r="C87" s="305"/>
      <c r="D87" s="305"/>
      <c r="E87" s="308"/>
      <c r="F87" s="309"/>
      <c r="G87" s="310" t="s">
        <v>375</v>
      </c>
      <c r="H87" s="605">
        <f>IFERROR((SUM(H64:H86)),0)</f>
        <v>0</v>
      </c>
      <c r="Q87" s="52"/>
      <c r="R87" s="44"/>
    </row>
    <row r="88" spans="1:18" s="29" customFormat="1">
      <c r="A88" s="592"/>
      <c r="B88" s="307"/>
      <c r="C88" s="305"/>
      <c r="D88" s="305"/>
      <c r="E88" s="305"/>
      <c r="F88" s="305"/>
      <c r="G88" s="311"/>
      <c r="H88" s="571"/>
      <c r="Q88" s="52"/>
      <c r="R88" s="44"/>
    </row>
    <row r="89" spans="1:18" s="29" customFormat="1" ht="15.6">
      <c r="A89" s="592"/>
      <c r="B89" s="307"/>
      <c r="C89" s="305"/>
      <c r="D89" s="305"/>
      <c r="E89" s="305"/>
      <c r="F89" s="305"/>
      <c r="G89" s="312" t="s">
        <v>128</v>
      </c>
      <c r="H89" s="74">
        <f>IFERROR(MIN(G27,H59+H87),0)</f>
        <v>0</v>
      </c>
      <c r="Q89" s="52"/>
      <c r="R89" s="44"/>
    </row>
    <row r="90" spans="1:18" s="29" customFormat="1" ht="16.2" thickBot="1">
      <c r="A90" s="594"/>
      <c r="B90" s="361"/>
      <c r="C90" s="362"/>
      <c r="D90" s="362"/>
      <c r="E90" s="362"/>
      <c r="F90" s="362"/>
      <c r="G90" s="364"/>
      <c r="H90" s="606"/>
      <c r="Q90" s="52"/>
      <c r="R90" s="44"/>
    </row>
    <row r="91" spans="1:18" s="29" customFormat="1" ht="15.6">
      <c r="A91" s="607" t="s">
        <v>51</v>
      </c>
      <c r="B91" s="358"/>
      <c r="C91" s="358"/>
      <c r="D91" s="358"/>
      <c r="E91" s="358"/>
      <c r="F91" s="359" t="s">
        <v>42</v>
      </c>
      <c r="G91" s="360">
        <f>VLOOKUP($A$7,'Manpower allocation'!A4:D11,3,FALSE)*100</f>
        <v>40</v>
      </c>
      <c r="H91" s="608" t="s">
        <v>41</v>
      </c>
      <c r="I91" s="75">
        <f>VLOOKUP($A$7,'Manpower allocation'!A4:D11,3,FALSE)*100</f>
        <v>40</v>
      </c>
      <c r="Q91" s="52"/>
      <c r="R91" s="44"/>
    </row>
    <row r="92" spans="1:18" s="29" customFormat="1" ht="15.6">
      <c r="A92" s="592"/>
      <c r="B92" s="313"/>
      <c r="C92" s="308"/>
      <c r="D92" s="305"/>
      <c r="E92" s="305"/>
      <c r="F92" s="305"/>
      <c r="G92" s="314"/>
      <c r="H92" s="571"/>
      <c r="Q92" s="52"/>
      <c r="R92" s="44"/>
    </row>
    <row r="93" spans="1:18" s="29" customFormat="1" ht="46.8">
      <c r="A93" s="609" t="s">
        <v>0</v>
      </c>
      <c r="B93" s="556"/>
      <c r="C93" s="156"/>
      <c r="D93" s="76"/>
      <c r="E93" s="77" t="s">
        <v>17</v>
      </c>
      <c r="F93" s="78" t="s">
        <v>80</v>
      </c>
      <c r="G93" s="78" t="s">
        <v>20</v>
      </c>
      <c r="H93" s="550" t="s">
        <v>52</v>
      </c>
      <c r="Q93" s="52"/>
      <c r="R93" s="44"/>
    </row>
    <row r="94" spans="1:18" s="29" customFormat="1" ht="15.6">
      <c r="A94" s="79" t="s">
        <v>280</v>
      </c>
      <c r="B94" s="79" t="s">
        <v>298</v>
      </c>
      <c r="C94" s="80"/>
      <c r="D94" s="80"/>
      <c r="E94" s="81"/>
      <c r="F94" s="81"/>
      <c r="G94" s="81"/>
      <c r="H94" s="610"/>
      <c r="Q94" s="52"/>
      <c r="R94" s="44"/>
    </row>
    <row r="95" spans="1:18" s="29" customFormat="1" ht="15.6">
      <c r="A95" s="82">
        <v>1</v>
      </c>
      <c r="B95" s="82" t="s">
        <v>304</v>
      </c>
      <c r="C95" s="83"/>
      <c r="D95" s="83"/>
      <c r="E95" s="84"/>
      <c r="F95" s="84"/>
      <c r="G95" s="84"/>
      <c r="H95" s="611"/>
      <c r="Q95" s="52"/>
      <c r="R95" s="44"/>
    </row>
    <row r="96" spans="1:18" s="29" customFormat="1">
      <c r="A96" s="597">
        <v>1.1000000000000001</v>
      </c>
      <c r="B96" s="858" t="s">
        <v>271</v>
      </c>
      <c r="C96" s="823"/>
      <c r="D96" s="824"/>
      <c r="E96" s="85">
        <f>VLOOKUP(A96,'Point Allocation'!$A$20:$J$41,MATCH(A7,'Point Allocation'!$A$20:$J$20,0),0)</f>
        <v>30</v>
      </c>
      <c r="F96" s="86"/>
      <c r="G96" s="87">
        <f>IFERROR(F96/$F$120,0)</f>
        <v>0</v>
      </c>
      <c r="H96" s="612">
        <f>E96*G96</f>
        <v>0</v>
      </c>
      <c r="Q96" s="44"/>
      <c r="R96" s="44"/>
    </row>
    <row r="97" spans="1:18" s="29" customFormat="1" ht="15.6">
      <c r="A97" s="88">
        <v>2</v>
      </c>
      <c r="B97" s="88" t="s">
        <v>305</v>
      </c>
      <c r="C97" s="89"/>
      <c r="D97" s="90"/>
      <c r="E97" s="90"/>
      <c r="F97" s="91"/>
      <c r="G97" s="92"/>
      <c r="H97" s="613"/>
      <c r="Q97" s="52"/>
      <c r="R97" s="44"/>
    </row>
    <row r="98" spans="1:18" s="29" customFormat="1">
      <c r="A98" s="814">
        <v>2.1</v>
      </c>
      <c r="B98" s="822" t="s">
        <v>196</v>
      </c>
      <c r="C98" s="823"/>
      <c r="D98" s="824"/>
      <c r="E98" s="819">
        <f>VLOOKUP(A98,'Point Allocation'!$A$20:$J$41,MATCH(A7,'Point Allocation'!$A$20:$J$20,0),0)</f>
        <v>28</v>
      </c>
      <c r="F98" s="820"/>
      <c r="G98" s="821">
        <f>IFERROR(F98/$F$120,0)</f>
        <v>0</v>
      </c>
      <c r="H98" s="819">
        <f>E98*G98</f>
        <v>0</v>
      </c>
      <c r="Q98" s="52"/>
      <c r="R98" s="44"/>
    </row>
    <row r="99" spans="1:18" s="29" customFormat="1" ht="15.6">
      <c r="A99" s="878"/>
      <c r="B99" s="816" t="s">
        <v>119</v>
      </c>
      <c r="C99" s="817"/>
      <c r="D99" s="818"/>
      <c r="E99" s="819"/>
      <c r="F99" s="820"/>
      <c r="G99" s="821"/>
      <c r="H99" s="819"/>
      <c r="Q99" s="52"/>
      <c r="R99" s="44"/>
    </row>
    <row r="100" spans="1:18" s="29" customFormat="1">
      <c r="A100" s="814">
        <v>2.2000000000000002</v>
      </c>
      <c r="B100" s="825" t="s">
        <v>606</v>
      </c>
      <c r="C100" s="826"/>
      <c r="D100" s="827"/>
      <c r="E100" s="819">
        <f>VLOOKUP(A100,'Point Allocation'!$A$20:$J$41,MATCH(A7,'Point Allocation'!$A$20:$J$20,0),0)</f>
        <v>28</v>
      </c>
      <c r="F100" s="820"/>
      <c r="G100" s="821">
        <f>IFERROR(F100/$F$120,0)</f>
        <v>0</v>
      </c>
      <c r="H100" s="819">
        <f>E100*G100</f>
        <v>0</v>
      </c>
      <c r="Q100" s="52"/>
      <c r="R100" s="44"/>
    </row>
    <row r="101" spans="1:18" s="29" customFormat="1" ht="15.6">
      <c r="A101" s="815"/>
      <c r="B101" s="816" t="s">
        <v>119</v>
      </c>
      <c r="C101" s="817"/>
      <c r="D101" s="818"/>
      <c r="E101" s="819"/>
      <c r="F101" s="820"/>
      <c r="G101" s="821"/>
      <c r="H101" s="819"/>
      <c r="Q101" s="52"/>
      <c r="R101" s="44"/>
    </row>
    <row r="102" spans="1:18" s="29" customFormat="1" ht="15.6">
      <c r="A102" s="82">
        <v>3</v>
      </c>
      <c r="B102" s="82" t="s">
        <v>306</v>
      </c>
      <c r="C102" s="89"/>
      <c r="D102" s="89"/>
      <c r="E102" s="91"/>
      <c r="F102" s="91"/>
      <c r="G102" s="92"/>
      <c r="H102" s="614"/>
      <c r="Q102" s="52"/>
      <c r="R102" s="44"/>
    </row>
    <row r="103" spans="1:18" s="29" customFormat="1">
      <c r="A103" s="814">
        <v>3.1</v>
      </c>
      <c r="B103" s="822" t="s">
        <v>197</v>
      </c>
      <c r="C103" s="823"/>
      <c r="D103" s="824"/>
      <c r="E103" s="819">
        <f>VLOOKUP(A103,'Point Allocation'!$A$20:$J$41,MATCH(A7,'Point Allocation'!$A$20:$J$20,0),0)</f>
        <v>27</v>
      </c>
      <c r="F103" s="820"/>
      <c r="G103" s="821">
        <f>IFERROR(F103/$F$120,0)</f>
        <v>0</v>
      </c>
      <c r="H103" s="819">
        <f>E103*G103</f>
        <v>0</v>
      </c>
      <c r="Q103" s="52"/>
      <c r="R103" s="44"/>
    </row>
    <row r="104" spans="1:18" s="29" customFormat="1" ht="15.6">
      <c r="A104" s="878"/>
      <c r="B104" s="816" t="s">
        <v>267</v>
      </c>
      <c r="C104" s="817"/>
      <c r="D104" s="818"/>
      <c r="E104" s="819"/>
      <c r="F104" s="820"/>
      <c r="G104" s="821"/>
      <c r="H104" s="819"/>
      <c r="Q104" s="52"/>
      <c r="R104" s="44"/>
    </row>
    <row r="105" spans="1:18" s="29" customFormat="1" ht="15.6">
      <c r="A105" s="82">
        <v>4</v>
      </c>
      <c r="B105" s="82" t="s">
        <v>307</v>
      </c>
      <c r="C105" s="89"/>
      <c r="D105" s="89"/>
      <c r="E105" s="91"/>
      <c r="F105" s="91"/>
      <c r="G105" s="92"/>
      <c r="H105" s="614"/>
      <c r="Q105" s="52"/>
      <c r="R105" s="44"/>
    </row>
    <row r="106" spans="1:18" s="29" customFormat="1" ht="30" customHeight="1">
      <c r="A106" s="598" t="s">
        <v>194</v>
      </c>
      <c r="B106" s="833" t="s">
        <v>273</v>
      </c>
      <c r="C106" s="834"/>
      <c r="D106" s="835"/>
      <c r="E106" s="93">
        <f>VLOOKUP(A106,'Point Allocation'!$A$20:$J$41,MATCH(A7,'Point Allocation'!$A$20:$J$20,0),0)</f>
        <v>25</v>
      </c>
      <c r="F106" s="538"/>
      <c r="G106" s="539">
        <f>IFERROR(F106/$F$120,0)</f>
        <v>0</v>
      </c>
      <c r="H106" s="94">
        <f>E106*G106</f>
        <v>0</v>
      </c>
      <c r="Q106" s="939"/>
      <c r="R106" s="44"/>
    </row>
    <row r="107" spans="1:18" s="29" customFormat="1">
      <c r="A107" s="598" t="s">
        <v>195</v>
      </c>
      <c r="B107" s="833" t="s">
        <v>274</v>
      </c>
      <c r="C107" s="834"/>
      <c r="D107" s="835"/>
      <c r="E107" s="93">
        <f>VLOOKUP(A107,'Point Allocation'!$A$20:$J$41,MATCH(A7,'Point Allocation'!$A$20:$J$20,0),0)</f>
        <v>25</v>
      </c>
      <c r="F107" s="538"/>
      <c r="G107" s="539">
        <f>IFERROR(F107/$F$120,0)</f>
        <v>0</v>
      </c>
      <c r="H107" s="94">
        <f>E107*G107</f>
        <v>0</v>
      </c>
      <c r="Q107" s="939"/>
      <c r="R107" s="44"/>
    </row>
    <row r="108" spans="1:18" s="29" customFormat="1">
      <c r="A108" s="597">
        <v>4.2</v>
      </c>
      <c r="B108" s="848" t="s">
        <v>198</v>
      </c>
      <c r="C108" s="924"/>
      <c r="D108" s="849"/>
      <c r="E108" s="93">
        <f>VLOOKUP(A108,'Point Allocation'!$A$20:$J$41,MATCH(A7,'Point Allocation'!$A$20:$J$20,0),0)</f>
        <v>25</v>
      </c>
      <c r="F108" s="538"/>
      <c r="G108" s="539">
        <f>IFERROR(F108/$F$120,0)</f>
        <v>0</v>
      </c>
      <c r="H108" s="94">
        <f>E108*G108</f>
        <v>0</v>
      </c>
      <c r="Q108" s="52"/>
      <c r="R108" s="44"/>
    </row>
    <row r="109" spans="1:18" s="29" customFormat="1">
      <c r="A109" s="597">
        <v>4.3</v>
      </c>
      <c r="B109" s="925" t="s">
        <v>150</v>
      </c>
      <c r="C109" s="926"/>
      <c r="D109" s="927"/>
      <c r="E109" s="93">
        <f>VLOOKUP(A109,'Point Allocation'!$A$20:$J$41,MATCH(A7,'Point Allocation'!$A$20:$J$20,0),0)</f>
        <v>25</v>
      </c>
      <c r="F109" s="538"/>
      <c r="G109" s="539">
        <f>IFERROR(F109/$F$120,0)</f>
        <v>0</v>
      </c>
      <c r="H109" s="174">
        <f>E109*G109</f>
        <v>0</v>
      </c>
      <c r="Q109" s="52"/>
      <c r="R109" s="44"/>
    </row>
    <row r="110" spans="1:18" s="29" customFormat="1">
      <c r="A110" s="597">
        <v>4.4000000000000004</v>
      </c>
      <c r="B110" s="925" t="s">
        <v>320</v>
      </c>
      <c r="C110" s="926"/>
      <c r="D110" s="927"/>
      <c r="E110" s="93">
        <f>VLOOKUP(A110,'Point Allocation'!$A$20:$J$41,MATCH(A7,'Point Allocation'!$A$20:$J$20,0),0)</f>
        <v>22</v>
      </c>
      <c r="F110" s="538"/>
      <c r="G110" s="539">
        <f>IFERROR(F110/$F$120,0)</f>
        <v>0</v>
      </c>
      <c r="H110" s="174">
        <f>E110*G110</f>
        <v>0</v>
      </c>
      <c r="Q110" s="52"/>
      <c r="R110" s="44"/>
    </row>
    <row r="111" spans="1:18" s="29" customFormat="1" ht="15.6">
      <c r="A111" s="95" t="s">
        <v>281</v>
      </c>
      <c r="B111" s="95" t="s">
        <v>223</v>
      </c>
      <c r="C111" s="96"/>
      <c r="D111" s="97"/>
      <c r="E111" s="98"/>
      <c r="F111" s="99"/>
      <c r="G111" s="100"/>
      <c r="H111" s="615"/>
      <c r="Q111" s="52"/>
      <c r="R111" s="44"/>
    </row>
    <row r="112" spans="1:18" s="29" customFormat="1" ht="15.6">
      <c r="A112" s="82">
        <v>5</v>
      </c>
      <c r="B112" s="82" t="s">
        <v>224</v>
      </c>
      <c r="C112" s="89"/>
      <c r="D112" s="89"/>
      <c r="E112" s="91"/>
      <c r="F112" s="91"/>
      <c r="G112" s="92"/>
      <c r="H112" s="614"/>
      <c r="Q112" s="52"/>
      <c r="R112" s="44"/>
    </row>
    <row r="113" spans="1:18" s="29" customFormat="1">
      <c r="A113" s="597">
        <v>5.0999999999999996</v>
      </c>
      <c r="B113" s="822" t="s">
        <v>199</v>
      </c>
      <c r="C113" s="823"/>
      <c r="D113" s="824"/>
      <c r="E113" s="101">
        <f>VLOOKUP(A113,'Point Allocation'!$A$20:$J$41,MATCH(A7,'Point Allocation'!$A$20:$J$20,0),0)</f>
        <v>16</v>
      </c>
      <c r="F113" s="147"/>
      <c r="G113" s="539">
        <f>IFERROR(F113/$F$120,0)</f>
        <v>0</v>
      </c>
      <c r="H113" s="547">
        <f>E113*G113</f>
        <v>0</v>
      </c>
      <c r="Q113" s="52"/>
      <c r="R113" s="44"/>
    </row>
    <row r="114" spans="1:18" s="29" customFormat="1">
      <c r="A114" s="597">
        <v>5.2</v>
      </c>
      <c r="B114" s="822" t="s">
        <v>321</v>
      </c>
      <c r="C114" s="823"/>
      <c r="D114" s="824"/>
      <c r="E114" s="101">
        <f>VLOOKUP(A114,'Point Allocation'!$A$20:$J$41,MATCH(A7,'Point Allocation'!$A$20:$J$20,0),0)</f>
        <v>5</v>
      </c>
      <c r="F114" s="86"/>
      <c r="G114" s="539">
        <f>IFERROR(F114/$F$120,0)</f>
        <v>0</v>
      </c>
      <c r="H114" s="547">
        <f>E114*G114</f>
        <v>0</v>
      </c>
      <c r="Q114" s="52"/>
      <c r="R114" s="44"/>
    </row>
    <row r="115" spans="1:18" s="29" customFormat="1">
      <c r="A115" s="597">
        <v>5.3</v>
      </c>
      <c r="B115" s="822" t="s">
        <v>322</v>
      </c>
      <c r="C115" s="823"/>
      <c r="D115" s="824"/>
      <c r="E115" s="101">
        <f>VLOOKUP(A115,'Point Allocation'!$A$20:$J$41,MATCH(A7,'Point Allocation'!$A$20:$J$20,0),0)</f>
        <v>0</v>
      </c>
      <c r="F115" s="146"/>
      <c r="G115" s="539">
        <f>IFERROR(F115/$F$120,0)</f>
        <v>0</v>
      </c>
      <c r="H115" s="616">
        <f>E115*G115</f>
        <v>0</v>
      </c>
      <c r="Q115" s="52"/>
      <c r="R115" s="44"/>
    </row>
    <row r="116" spans="1:18" s="29" customFormat="1" ht="15.6">
      <c r="A116" s="102">
        <v>6</v>
      </c>
      <c r="B116" s="102" t="s">
        <v>202</v>
      </c>
      <c r="C116" s="89"/>
      <c r="D116" s="89"/>
      <c r="E116" s="91"/>
      <c r="F116" s="91"/>
      <c r="G116" s="92"/>
      <c r="H116" s="614"/>
      <c r="Q116" s="52"/>
      <c r="R116" s="44"/>
    </row>
    <row r="117" spans="1:18" s="29" customFormat="1">
      <c r="A117" s="386">
        <v>6.1</v>
      </c>
      <c r="B117" s="765"/>
      <c r="C117" s="766"/>
      <c r="D117" s="847"/>
      <c r="E117" s="538"/>
      <c r="F117" s="538"/>
      <c r="G117" s="539">
        <f>IFERROR(F117/$F$120,0)</f>
        <v>0</v>
      </c>
      <c r="H117" s="616">
        <f>E117*G117</f>
        <v>0</v>
      </c>
      <c r="Q117" s="52"/>
      <c r="R117" s="44"/>
    </row>
    <row r="118" spans="1:18" s="29" customFormat="1">
      <c r="A118" s="386">
        <v>6.2</v>
      </c>
      <c r="B118" s="765"/>
      <c r="C118" s="766"/>
      <c r="D118" s="847"/>
      <c r="E118" s="538"/>
      <c r="F118" s="538"/>
      <c r="G118" s="539">
        <f>IFERROR(F118/$F$120,0)</f>
        <v>0</v>
      </c>
      <c r="H118" s="616">
        <f>E118*G118</f>
        <v>0</v>
      </c>
      <c r="Q118" s="52"/>
      <c r="R118" s="44"/>
    </row>
    <row r="119" spans="1:18" s="29" customFormat="1">
      <c r="A119" s="386">
        <v>6.3</v>
      </c>
      <c r="B119" s="920"/>
      <c r="C119" s="920"/>
      <c r="D119" s="920"/>
      <c r="E119" s="538"/>
      <c r="F119" s="538"/>
      <c r="G119" s="539">
        <f>IFERROR(F119/$F$120,0)</f>
        <v>0</v>
      </c>
      <c r="H119" s="616">
        <f>E119*G119</f>
        <v>0</v>
      </c>
      <c r="Q119" s="52"/>
      <c r="R119" s="44"/>
    </row>
    <row r="120" spans="1:18" s="29" customFormat="1" ht="15.6">
      <c r="A120" s="604"/>
      <c r="B120" s="307"/>
      <c r="C120" s="305"/>
      <c r="D120" s="305"/>
      <c r="E120" s="312" t="s">
        <v>61</v>
      </c>
      <c r="F120" s="315">
        <f>SUM(F96:F119)+E19</f>
        <v>0</v>
      </c>
      <c r="G120" s="316">
        <f>SUM(G96:G119)+F19</f>
        <v>0</v>
      </c>
      <c r="H120" s="617">
        <f>IFERROR(SUM(H96:H119),0)</f>
        <v>0</v>
      </c>
      <c r="Q120" s="52"/>
      <c r="R120" s="44"/>
    </row>
    <row r="121" spans="1:18" s="29" customFormat="1" ht="15.6" thickBot="1">
      <c r="A121" s="594"/>
      <c r="B121" s="361"/>
      <c r="C121" s="362"/>
      <c r="D121" s="362"/>
      <c r="E121" s="362"/>
      <c r="F121" s="362"/>
      <c r="G121" s="354"/>
      <c r="H121" s="595"/>
      <c r="Q121" s="52"/>
      <c r="R121" s="44"/>
    </row>
    <row r="122" spans="1:18" s="29" customFormat="1" ht="31.2">
      <c r="A122" s="618" t="s">
        <v>0</v>
      </c>
      <c r="B122" s="458"/>
      <c r="C122" s="458"/>
      <c r="D122" s="549" t="s">
        <v>17</v>
      </c>
      <c r="E122" s="459" t="s">
        <v>80</v>
      </c>
      <c r="F122" s="460" t="s">
        <v>301</v>
      </c>
      <c r="G122" s="460" t="s">
        <v>302</v>
      </c>
      <c r="H122" s="549" t="s">
        <v>52</v>
      </c>
      <c r="Q122" s="52"/>
      <c r="R122" s="44"/>
    </row>
    <row r="123" spans="1:18" s="29" customFormat="1" ht="15.6">
      <c r="A123" s="79" t="s">
        <v>225</v>
      </c>
      <c r="B123" s="79" t="s">
        <v>299</v>
      </c>
      <c r="C123" s="80"/>
      <c r="D123" s="81"/>
      <c r="E123" s="81"/>
      <c r="F123" s="81"/>
      <c r="G123" s="81"/>
      <c r="H123" s="610"/>
      <c r="Q123" s="52"/>
      <c r="R123" s="44"/>
    </row>
    <row r="124" spans="1:18" s="29" customFormat="1" ht="15.6">
      <c r="A124" s="82">
        <v>7</v>
      </c>
      <c r="B124" s="82" t="s">
        <v>304</v>
      </c>
      <c r="C124" s="83"/>
      <c r="D124" s="84"/>
      <c r="E124" s="84"/>
      <c r="F124" s="84"/>
      <c r="G124" s="84"/>
      <c r="H124" s="611"/>
      <c r="Q124" s="52"/>
      <c r="R124" s="44"/>
    </row>
    <row r="125" spans="1:18" s="29" customFormat="1" ht="15" customHeight="1">
      <c r="A125" s="543">
        <v>7.1</v>
      </c>
      <c r="B125" s="858" t="s">
        <v>271</v>
      </c>
      <c r="C125" s="840"/>
      <c r="D125" s="94">
        <f>VLOOKUP(A125,'Point Allocation'!$A$20:$J$41,MATCH(A7,'Point Allocation'!$A$20:$J$20,0),0)</f>
        <v>10</v>
      </c>
      <c r="E125" s="85">
        <f>F96</f>
        <v>0</v>
      </c>
      <c r="F125" s="85">
        <f>F32</f>
        <v>0</v>
      </c>
      <c r="G125" s="87">
        <f>IFERROR(SUM(E125:F125)/SUM($E$143:$F$143),0)</f>
        <v>0</v>
      </c>
      <c r="H125" s="612">
        <f>D125*G125</f>
        <v>0</v>
      </c>
      <c r="Q125" s="52"/>
      <c r="R125" s="44"/>
    </row>
    <row r="126" spans="1:18" s="29" customFormat="1" ht="15.6">
      <c r="A126" s="88">
        <v>8</v>
      </c>
      <c r="B126" s="88" t="s">
        <v>305</v>
      </c>
      <c r="C126" s="89"/>
      <c r="D126" s="90"/>
      <c r="E126" s="91"/>
      <c r="F126" s="91"/>
      <c r="G126" s="92"/>
      <c r="H126" s="613"/>
      <c r="Q126" s="52"/>
      <c r="R126" s="44"/>
    </row>
    <row r="127" spans="1:18" s="29" customFormat="1">
      <c r="A127" s="814">
        <v>8.1</v>
      </c>
      <c r="B127" s="822" t="s">
        <v>303</v>
      </c>
      <c r="C127" s="824"/>
      <c r="D127" s="921">
        <f>VLOOKUP(A127,'Point Allocation'!$A$20:$J$41,MATCH(A7,'Point Allocation'!$A$20:$J$20,0),0)</f>
        <v>8</v>
      </c>
      <c r="E127" s="945">
        <f>F98</f>
        <v>0</v>
      </c>
      <c r="F127" s="946"/>
      <c r="G127" s="983">
        <f>IFERROR(SUM(E127:F128)/SUM($E$143:$F$143),0)</f>
        <v>0</v>
      </c>
      <c r="H127" s="819">
        <f>D127*G127</f>
        <v>0</v>
      </c>
      <c r="Q127" s="52"/>
      <c r="R127" s="44"/>
    </row>
    <row r="128" spans="1:18" s="29" customFormat="1" ht="15.6">
      <c r="A128" s="815"/>
      <c r="B128" s="816" t="s">
        <v>119</v>
      </c>
      <c r="C128" s="818"/>
      <c r="D128" s="922"/>
      <c r="E128" s="945"/>
      <c r="F128" s="946"/>
      <c r="G128" s="984"/>
      <c r="H128" s="819"/>
      <c r="Q128" s="52"/>
      <c r="R128" s="44"/>
    </row>
    <row r="129" spans="1:18" s="29" customFormat="1">
      <c r="A129" s="543">
        <v>8.1999999999999993</v>
      </c>
      <c r="B129" s="825" t="s">
        <v>606</v>
      </c>
      <c r="C129" s="827"/>
      <c r="D129" s="94">
        <f>VLOOKUP(A129,'Point Allocation'!$A$20:$J$41,MATCH(A7,'Point Allocation'!$A$20:$J$20,0),0)</f>
        <v>8</v>
      </c>
      <c r="E129" s="174">
        <f>F100</f>
        <v>0</v>
      </c>
      <c r="F129" s="555"/>
      <c r="G129" s="87">
        <f>IFERROR(SUM(E129:F129)/SUM($E$143:$F$143),0)</f>
        <v>0</v>
      </c>
      <c r="H129" s="94">
        <f>D129*G129</f>
        <v>0</v>
      </c>
      <c r="Q129" s="52"/>
      <c r="R129" s="44"/>
    </row>
    <row r="130" spans="1:18" s="29" customFormat="1" ht="15.6">
      <c r="A130" s="82">
        <v>9</v>
      </c>
      <c r="B130" s="82" t="s">
        <v>306</v>
      </c>
      <c r="C130" s="89"/>
      <c r="D130" s="91"/>
      <c r="E130" s="91"/>
      <c r="F130" s="91"/>
      <c r="G130" s="92"/>
      <c r="H130" s="614"/>
      <c r="Q130" s="52"/>
      <c r="R130" s="44"/>
    </row>
    <row r="131" spans="1:18" s="29" customFormat="1">
      <c r="A131" s="814">
        <v>9.1</v>
      </c>
      <c r="B131" s="822" t="s">
        <v>339</v>
      </c>
      <c r="C131" s="824"/>
      <c r="D131" s="921">
        <f>VLOOKUP(A131,'Point Allocation'!$A$20:$J$41,MATCH(A7,'Point Allocation'!$A$20:$J$20,0),0)</f>
        <v>6</v>
      </c>
      <c r="E131" s="946"/>
      <c r="F131" s="946"/>
      <c r="G131" s="821">
        <f>IFERROR(SUM(E131:F132)/SUM($E$143:$F$143),0)</f>
        <v>0</v>
      </c>
      <c r="H131" s="819">
        <f>D131*G131</f>
        <v>0</v>
      </c>
      <c r="Q131" s="52"/>
      <c r="R131" s="44"/>
    </row>
    <row r="132" spans="1:18" s="29" customFormat="1" ht="15.6">
      <c r="A132" s="815"/>
      <c r="B132" s="816" t="s">
        <v>5</v>
      </c>
      <c r="C132" s="818"/>
      <c r="D132" s="922"/>
      <c r="E132" s="946"/>
      <c r="F132" s="946"/>
      <c r="G132" s="821"/>
      <c r="H132" s="819"/>
      <c r="Q132" s="52"/>
      <c r="R132" s="44"/>
    </row>
    <row r="133" spans="1:18" s="29" customFormat="1" ht="15.6">
      <c r="A133" s="82">
        <v>10</v>
      </c>
      <c r="B133" s="82" t="s">
        <v>308</v>
      </c>
      <c r="C133" s="89"/>
      <c r="D133" s="91"/>
      <c r="E133" s="91"/>
      <c r="F133" s="91"/>
      <c r="G133" s="92"/>
      <c r="H133" s="614"/>
      <c r="Q133" s="52"/>
      <c r="R133" s="44"/>
    </row>
    <row r="134" spans="1:18" s="29" customFormat="1" ht="15" customHeight="1">
      <c r="A134" s="541">
        <v>10.1</v>
      </c>
      <c r="B134" s="822" t="s">
        <v>340</v>
      </c>
      <c r="C134" s="824"/>
      <c r="D134" s="94">
        <f>VLOOKUP(A134,'Point Allocation'!$A$20:$J$41,MATCH(A7,'Point Allocation'!$A$20:$J$20,0),0)</f>
        <v>4</v>
      </c>
      <c r="E134" s="555"/>
      <c r="F134" s="555"/>
      <c r="G134" s="87">
        <f>IFERROR(SUM(E134:F134)/SUM($E$143:$F$143),0)</f>
        <v>0</v>
      </c>
      <c r="H134" s="94">
        <f>D134*G134</f>
        <v>0</v>
      </c>
      <c r="Q134" s="52"/>
      <c r="R134" s="44"/>
    </row>
    <row r="135" spans="1:18" s="29" customFormat="1" ht="32.25" customHeight="1">
      <c r="A135" s="589">
        <v>10.199999999999999</v>
      </c>
      <c r="B135" s="825" t="s">
        <v>318</v>
      </c>
      <c r="C135" s="827"/>
      <c r="D135" s="94">
        <f>VLOOKUP(A135,'Point Allocation'!$A$20:$J$41,MATCH(A7,'Point Allocation'!$A$20:$J$20,0),0)</f>
        <v>4</v>
      </c>
      <c r="E135" s="173"/>
      <c r="F135" s="555"/>
      <c r="G135" s="539">
        <f>IFERROR(SUM(E135:F135)/SUM($E$143:$F$143),0)</f>
        <v>0</v>
      </c>
      <c r="H135" s="94">
        <f>D135*G135</f>
        <v>0</v>
      </c>
      <c r="Q135" s="52"/>
      <c r="R135" s="44"/>
    </row>
    <row r="136" spans="1:18" s="29" customFormat="1" ht="15.6">
      <c r="A136" s="95" t="s">
        <v>226</v>
      </c>
      <c r="B136" s="95" t="s">
        <v>248</v>
      </c>
      <c r="C136" s="96"/>
      <c r="D136" s="98"/>
      <c r="E136" s="99"/>
      <c r="F136" s="99"/>
      <c r="G136" s="100"/>
      <c r="H136" s="615"/>
      <c r="Q136" s="52"/>
      <c r="R136" s="44"/>
    </row>
    <row r="137" spans="1:18" s="29" customFormat="1" ht="15.6">
      <c r="A137" s="82">
        <v>11</v>
      </c>
      <c r="B137" s="82" t="s">
        <v>249</v>
      </c>
      <c r="C137" s="89"/>
      <c r="D137" s="91"/>
      <c r="E137" s="91"/>
      <c r="F137" s="91"/>
      <c r="G137" s="92"/>
      <c r="H137" s="614"/>
      <c r="Q137" s="52"/>
      <c r="R137" s="44"/>
    </row>
    <row r="138" spans="1:18" s="29" customFormat="1">
      <c r="A138" s="541">
        <v>11.1</v>
      </c>
      <c r="B138" s="822" t="s">
        <v>642</v>
      </c>
      <c r="C138" s="824"/>
      <c r="D138" s="94">
        <f>VLOOKUP(A138,'Point Allocation'!$A$20:$J$41,MATCH(A7,'Point Allocation'!$A$20:$J$20,0),0)</f>
        <v>2</v>
      </c>
      <c r="E138" s="555"/>
      <c r="F138" s="555"/>
      <c r="G138" s="539">
        <f>IFERROR(SUM(E138:F138)/SUM($E$143:$F$143),0)</f>
        <v>0</v>
      </c>
      <c r="H138" s="94">
        <f t="shared" ref="H138:H142" si="2">D138*G138</f>
        <v>0</v>
      </c>
      <c r="Q138" s="52"/>
      <c r="R138" s="44"/>
    </row>
    <row r="139" spans="1:18" s="29" customFormat="1">
      <c r="A139" s="619">
        <v>11.2</v>
      </c>
      <c r="B139" s="848" t="s">
        <v>310</v>
      </c>
      <c r="C139" s="849"/>
      <c r="D139" s="174">
        <f>VLOOKUP(A138,'Point Allocation'!$A$20:$J$41,MATCH(A7,'Point Allocation'!$A$20:$J$20,0),0)</f>
        <v>2</v>
      </c>
      <c r="E139" s="555"/>
      <c r="F139" s="555"/>
      <c r="G139" s="539">
        <f>IFERROR(SUM(E139:F139)/SUM($E$143:$F$143),0)</f>
        <v>0</v>
      </c>
      <c r="H139" s="94">
        <f t="shared" si="2"/>
        <v>0</v>
      </c>
      <c r="Q139" s="52"/>
      <c r="R139" s="44"/>
    </row>
    <row r="140" spans="1:18" s="29" customFormat="1">
      <c r="A140" s="541">
        <v>11.3</v>
      </c>
      <c r="B140" s="848" t="s">
        <v>317</v>
      </c>
      <c r="C140" s="849"/>
      <c r="D140" s="94">
        <f>VLOOKUP(A140,'Point Allocation'!$A$20:$J$41,MATCH(A7,'Point Allocation'!$A$20:$J$20,0),0)</f>
        <v>0</v>
      </c>
      <c r="E140" s="555"/>
      <c r="F140" s="555"/>
      <c r="G140" s="539">
        <f>IFERROR(SUM(E140:F140)/SUM($E$143:$F$143),0)</f>
        <v>0</v>
      </c>
      <c r="H140" s="94">
        <f t="shared" si="2"/>
        <v>0</v>
      </c>
      <c r="Q140" s="52"/>
      <c r="R140" s="44"/>
    </row>
    <row r="141" spans="1:18" s="29" customFormat="1">
      <c r="A141" s="620">
        <v>11.4</v>
      </c>
      <c r="B141" s="968"/>
      <c r="C141" s="969"/>
      <c r="D141" s="538"/>
      <c r="E141" s="555"/>
      <c r="F141" s="555"/>
      <c r="G141" s="539">
        <f>IFERROR(SUM(E141:F141)/SUM($E$143:$F$143),0)</f>
        <v>0</v>
      </c>
      <c r="H141" s="94">
        <f t="shared" si="2"/>
        <v>0</v>
      </c>
      <c r="Q141" s="52"/>
      <c r="R141" s="44"/>
    </row>
    <row r="142" spans="1:18" s="29" customFormat="1">
      <c r="A142" s="620">
        <v>11.5</v>
      </c>
      <c r="B142" s="968"/>
      <c r="C142" s="969"/>
      <c r="D142" s="538"/>
      <c r="E142" s="555"/>
      <c r="F142" s="555"/>
      <c r="G142" s="539">
        <f>IFERROR(SUM(E142:F142)/SUM($E$143:$F$143),0)</f>
        <v>0</v>
      </c>
      <c r="H142" s="94">
        <f t="shared" si="2"/>
        <v>0</v>
      </c>
      <c r="Q142" s="52"/>
      <c r="R142" s="44"/>
    </row>
    <row r="143" spans="1:18" s="29" customFormat="1" ht="15.6">
      <c r="A143" s="592"/>
      <c r="B143" s="307"/>
      <c r="C143" s="305"/>
      <c r="D143" s="312" t="s">
        <v>131</v>
      </c>
      <c r="E143" s="315">
        <f>SUM(E125:E142)</f>
        <v>0</v>
      </c>
      <c r="F143" s="317">
        <f>SUM(F125:F142)</f>
        <v>0</v>
      </c>
      <c r="G143" s="318">
        <f>SUM(G125:G142)</f>
        <v>0</v>
      </c>
      <c r="H143" s="621">
        <f>IFERROR(SUM(H125:H142),0)</f>
        <v>0</v>
      </c>
      <c r="Q143" s="52"/>
      <c r="R143" s="44"/>
    </row>
    <row r="144" spans="1:18" s="29" customFormat="1">
      <c r="A144" s="622"/>
      <c r="B144" s="307"/>
      <c r="C144" s="305"/>
      <c r="D144" s="305"/>
      <c r="E144" s="305"/>
      <c r="F144" s="305"/>
      <c r="G144" s="314"/>
      <c r="H144" s="571"/>
      <c r="Q144" s="52"/>
      <c r="R144" s="44"/>
    </row>
    <row r="145" spans="1:18" s="29" customFormat="1" ht="46.8">
      <c r="A145" s="970" t="s">
        <v>0</v>
      </c>
      <c r="B145" s="971"/>
      <c r="C145" s="163"/>
      <c r="D145" s="550" t="s">
        <v>57</v>
      </c>
      <c r="E145" s="550" t="s">
        <v>58</v>
      </c>
      <c r="F145" s="956" t="s">
        <v>59</v>
      </c>
      <c r="G145" s="956"/>
      <c r="H145" s="623" t="s">
        <v>62</v>
      </c>
      <c r="J145" s="103" t="s">
        <v>71</v>
      </c>
      <c r="K145" s="103">
        <v>1</v>
      </c>
      <c r="L145" s="103">
        <v>2</v>
      </c>
      <c r="M145" s="103">
        <v>3</v>
      </c>
      <c r="N145" s="103">
        <v>4</v>
      </c>
      <c r="O145" s="103">
        <v>5</v>
      </c>
      <c r="P145" s="103">
        <v>6</v>
      </c>
      <c r="Q145" s="52"/>
      <c r="R145" s="44"/>
    </row>
    <row r="146" spans="1:18" s="29" customFormat="1" ht="15.6">
      <c r="A146" s="126" t="s">
        <v>227</v>
      </c>
      <c r="B146" s="126" t="s">
        <v>139</v>
      </c>
      <c r="C146" s="162"/>
      <c r="D146" s="56"/>
      <c r="E146" s="56"/>
      <c r="F146" s="57"/>
      <c r="G146" s="104"/>
      <c r="H146" s="624"/>
      <c r="J146" s="103" t="s">
        <v>73</v>
      </c>
      <c r="K146" s="103" t="s">
        <v>72</v>
      </c>
      <c r="L146" s="103">
        <v>1</v>
      </c>
      <c r="M146" s="103">
        <v>2</v>
      </c>
      <c r="N146" s="103">
        <v>3</v>
      </c>
      <c r="O146" s="103">
        <v>4</v>
      </c>
      <c r="P146" s="103">
        <v>4</v>
      </c>
      <c r="Q146" s="52"/>
      <c r="R146" s="44"/>
    </row>
    <row r="147" spans="1:18" s="29" customFormat="1">
      <c r="A147" s="625" t="s">
        <v>228</v>
      </c>
      <c r="B147" s="386" t="s">
        <v>394</v>
      </c>
      <c r="C147" s="164" t="s">
        <v>55</v>
      </c>
      <c r="D147" s="820"/>
      <c r="E147" s="820"/>
      <c r="F147" s="949" t="str">
        <f>IF(D147&gt;9,D147/E147," ")</f>
        <v xml:space="preserve"> </v>
      </c>
      <c r="G147" s="949"/>
      <c r="H147" s="94">
        <f>IF(D147="",0,IF(D147&lt;9,2,IF((D147/E147)=0,2,IF((D147/E147)&lt;10%,1.5,IF((D147/E147)&lt;15%,1,IF((D147/E147)&lt;20%,0.5,0))))))</f>
        <v>0</v>
      </c>
      <c r="J147" s="103" t="s">
        <v>74</v>
      </c>
      <c r="K147" s="103" t="s">
        <v>72</v>
      </c>
      <c r="L147" s="103">
        <v>5</v>
      </c>
      <c r="M147" s="103">
        <v>15</v>
      </c>
      <c r="N147" s="103">
        <v>25</v>
      </c>
      <c r="O147" s="103">
        <v>35</v>
      </c>
      <c r="P147" s="103">
        <v>35</v>
      </c>
      <c r="Q147" s="52"/>
      <c r="R147" s="44"/>
    </row>
    <row r="148" spans="1:18" s="29" customFormat="1">
      <c r="A148" s="625" t="s">
        <v>229</v>
      </c>
      <c r="B148" s="386" t="s">
        <v>395</v>
      </c>
      <c r="C148" s="164" t="s">
        <v>56</v>
      </c>
      <c r="D148" s="820"/>
      <c r="E148" s="820"/>
      <c r="F148" s="950"/>
      <c r="G148" s="950"/>
      <c r="H148" s="94">
        <f>IF(E147="",0,IF(E147&lt;15,HLOOKUP(F148,J145:P152,4,FALSE),IF(E147&lt;45,HLOOKUP(F148,J145:P152,5,FALSE),IF(E147&lt;90,HLOOKUP(F148,J145:P152,6,FALSE),IF(E147&lt;135,HLOOKUP(F148,J145:P152,7,FALSE),IF(E147&gt;=135,HLOOKUP(F148,J145:P152,8,FALSE),3))))))</f>
        <v>0</v>
      </c>
      <c r="I148" s="54"/>
      <c r="J148" s="103" t="s">
        <v>75</v>
      </c>
      <c r="K148" s="103">
        <v>3</v>
      </c>
      <c r="L148" s="103">
        <v>3</v>
      </c>
      <c r="M148" s="103">
        <v>3</v>
      </c>
      <c r="N148" s="103">
        <v>2.5</v>
      </c>
      <c r="O148" s="103">
        <v>1.5</v>
      </c>
      <c r="P148" s="103">
        <v>0</v>
      </c>
      <c r="Q148" s="52"/>
      <c r="R148" s="44"/>
    </row>
    <row r="149" spans="1:18" s="29" customFormat="1">
      <c r="A149" s="592"/>
      <c r="B149" s="307"/>
      <c r="C149" s="314"/>
      <c r="D149" s="319"/>
      <c r="E149" s="319"/>
      <c r="F149" s="319"/>
      <c r="G149" s="319"/>
      <c r="H149" s="626"/>
      <c r="I149" s="54"/>
      <c r="J149" s="103" t="s">
        <v>76</v>
      </c>
      <c r="K149" s="103">
        <v>3</v>
      </c>
      <c r="L149" s="103">
        <v>3</v>
      </c>
      <c r="M149" s="103">
        <v>2.5</v>
      </c>
      <c r="N149" s="103">
        <v>1.5</v>
      </c>
      <c r="O149" s="103">
        <v>1</v>
      </c>
      <c r="P149" s="103">
        <v>0</v>
      </c>
      <c r="Q149" s="52"/>
      <c r="R149" s="44"/>
    </row>
    <row r="150" spans="1:18" s="29" customFormat="1" ht="15.6">
      <c r="A150" s="592"/>
      <c r="B150" s="320"/>
      <c r="C150" s="314"/>
      <c r="D150" s="314"/>
      <c r="E150" s="314"/>
      <c r="F150" s="305"/>
      <c r="G150" s="321"/>
      <c r="H150" s="627"/>
      <c r="I150" s="54"/>
      <c r="J150" s="103" t="s">
        <v>77</v>
      </c>
      <c r="K150" s="103">
        <v>3</v>
      </c>
      <c r="L150" s="103">
        <v>2.5</v>
      </c>
      <c r="M150" s="103">
        <v>1.5</v>
      </c>
      <c r="N150" s="103">
        <v>1</v>
      </c>
      <c r="O150" s="103">
        <v>0</v>
      </c>
      <c r="P150" s="103">
        <v>0</v>
      </c>
      <c r="Q150" s="52"/>
      <c r="R150" s="44"/>
    </row>
    <row r="151" spans="1:18" s="29" customFormat="1" ht="15.75" customHeight="1">
      <c r="A151" s="972" t="s">
        <v>0</v>
      </c>
      <c r="B151" s="973"/>
      <c r="C151" s="888"/>
      <c r="D151" s="974" t="s">
        <v>4</v>
      </c>
      <c r="E151" s="951" t="s">
        <v>1</v>
      </c>
      <c r="F151" s="952"/>
      <c r="G151" s="953" t="s">
        <v>21</v>
      </c>
      <c r="H151" s="947" t="s">
        <v>62</v>
      </c>
      <c r="I151" s="54"/>
      <c r="J151" s="103" t="s">
        <v>78</v>
      </c>
      <c r="K151" s="103">
        <v>3</v>
      </c>
      <c r="L151" s="103">
        <v>1.5</v>
      </c>
      <c r="M151" s="103">
        <v>1</v>
      </c>
      <c r="N151" s="103">
        <v>0</v>
      </c>
      <c r="O151" s="103">
        <v>0</v>
      </c>
      <c r="P151" s="103">
        <v>0</v>
      </c>
      <c r="Q151" s="52"/>
      <c r="R151" s="44"/>
    </row>
    <row r="152" spans="1:18" s="29" customFormat="1" ht="30" customHeight="1">
      <c r="A152" s="867"/>
      <c r="B152" s="868"/>
      <c r="C152" s="870"/>
      <c r="D152" s="952"/>
      <c r="E152" s="550" t="s">
        <v>64</v>
      </c>
      <c r="F152" s="550" t="s">
        <v>65</v>
      </c>
      <c r="G152" s="954"/>
      <c r="H152" s="948"/>
      <c r="I152" s="54"/>
      <c r="J152" s="103" t="s">
        <v>79</v>
      </c>
      <c r="K152" s="103">
        <v>3</v>
      </c>
      <c r="L152" s="103">
        <v>1</v>
      </c>
      <c r="M152" s="103">
        <v>0</v>
      </c>
      <c r="N152" s="103">
        <v>0</v>
      </c>
      <c r="O152" s="103">
        <v>0</v>
      </c>
      <c r="P152" s="103">
        <v>0</v>
      </c>
      <c r="Q152" s="52"/>
      <c r="R152" s="44"/>
    </row>
    <row r="153" spans="1:18" s="29" customFormat="1" ht="15.6">
      <c r="A153" s="105" t="s">
        <v>230</v>
      </c>
      <c r="B153" s="105" t="s">
        <v>516</v>
      </c>
      <c r="C153" s="106"/>
      <c r="D153" s="106"/>
      <c r="E153" s="106"/>
      <c r="F153" s="110"/>
      <c r="G153" s="111"/>
      <c r="H153" s="628"/>
      <c r="J153" s="103" t="s">
        <v>73</v>
      </c>
      <c r="K153" s="103" t="s">
        <v>72</v>
      </c>
      <c r="L153" s="103">
        <v>1</v>
      </c>
      <c r="M153" s="103">
        <v>2</v>
      </c>
      <c r="N153" s="103">
        <v>3</v>
      </c>
      <c r="O153" s="103">
        <v>4</v>
      </c>
      <c r="P153" s="103">
        <v>4</v>
      </c>
      <c r="Q153" s="52"/>
      <c r="R153" s="44"/>
    </row>
    <row r="154" spans="1:18" s="29" customFormat="1" ht="15.6">
      <c r="A154" s="149" t="s">
        <v>231</v>
      </c>
      <c r="B154" s="149" t="s">
        <v>517</v>
      </c>
      <c r="C154" s="150"/>
      <c r="D154" s="151"/>
      <c r="E154" s="152"/>
      <c r="F154" s="152"/>
      <c r="G154" s="153"/>
      <c r="H154" s="629"/>
      <c r="I154" s="54"/>
      <c r="Q154" s="52"/>
      <c r="R154" s="44"/>
    </row>
    <row r="155" spans="1:18" s="29" customFormat="1">
      <c r="A155" s="630" t="s">
        <v>232</v>
      </c>
      <c r="B155" s="825" t="s">
        <v>612</v>
      </c>
      <c r="C155" s="827"/>
      <c r="D155" s="522" t="s">
        <v>50</v>
      </c>
      <c r="E155" s="523">
        <v>2</v>
      </c>
      <c r="F155" s="523">
        <v>3</v>
      </c>
      <c r="G155" s="27"/>
      <c r="H155" s="434">
        <f t="shared" ref="H155:H166" si="3">IF(G155&gt;=80%,F155,IF(G155&lt;65%,0,E155))</f>
        <v>0</v>
      </c>
      <c r="Q155" s="52"/>
      <c r="R155" s="44"/>
    </row>
    <row r="156" spans="1:18" s="29" customFormat="1">
      <c r="A156" s="630" t="s">
        <v>233</v>
      </c>
      <c r="B156" s="917" t="s">
        <v>613</v>
      </c>
      <c r="C156" s="843"/>
      <c r="D156" s="483" t="s">
        <v>50</v>
      </c>
      <c r="E156" s="434">
        <v>2</v>
      </c>
      <c r="F156" s="434">
        <v>3</v>
      </c>
      <c r="G156" s="553"/>
      <c r="H156" s="434">
        <f>IF(G156&gt;=80%,F156,IF(G156&lt;65%,0,E156))</f>
        <v>0</v>
      </c>
      <c r="Q156" s="52"/>
      <c r="R156" s="44"/>
    </row>
    <row r="157" spans="1:18" s="29" customFormat="1">
      <c r="A157" s="631" t="s">
        <v>234</v>
      </c>
      <c r="B157" s="917" t="s">
        <v>563</v>
      </c>
      <c r="C157" s="843"/>
      <c r="D157" s="524" t="s">
        <v>50</v>
      </c>
      <c r="E157" s="554">
        <v>2</v>
      </c>
      <c r="F157" s="434">
        <v>2.5</v>
      </c>
      <c r="G157" s="551"/>
      <c r="H157" s="434">
        <f t="shared" ref="H157" si="4">IF(G157&gt;=80%,F157,IF(G157&lt;65%,0,E157))</f>
        <v>0</v>
      </c>
      <c r="Q157" s="52"/>
      <c r="R157" s="44"/>
    </row>
    <row r="158" spans="1:18" s="29" customFormat="1">
      <c r="A158" s="631" t="s">
        <v>235</v>
      </c>
      <c r="B158" s="917" t="s">
        <v>623</v>
      </c>
      <c r="C158" s="843"/>
      <c r="D158" s="524" t="s">
        <v>50</v>
      </c>
      <c r="E158" s="554">
        <v>2</v>
      </c>
      <c r="F158" s="434">
        <v>2.5</v>
      </c>
      <c r="G158" s="551"/>
      <c r="H158" s="434">
        <f>IF(G158&gt;=80%,F158,IF(G158&lt;65%,0,E158))</f>
        <v>0</v>
      </c>
      <c r="Q158" s="52"/>
      <c r="R158" s="44"/>
    </row>
    <row r="159" spans="1:18" s="29" customFormat="1">
      <c r="A159" s="630" t="s">
        <v>371</v>
      </c>
      <c r="B159" s="875" t="s">
        <v>379</v>
      </c>
      <c r="C159" s="876"/>
      <c r="D159" s="530" t="s">
        <v>50</v>
      </c>
      <c r="E159" s="523">
        <v>2</v>
      </c>
      <c r="F159" s="523">
        <v>2.5</v>
      </c>
      <c r="G159" s="529"/>
      <c r="H159" s="434">
        <f>IF(G159&gt;=80%,F159,IF(G159&lt;65%,0,E159))</f>
        <v>0</v>
      </c>
      <c r="Q159" s="52"/>
      <c r="R159" s="44"/>
    </row>
    <row r="160" spans="1:18" s="29" customFormat="1" ht="30">
      <c r="A160" s="871" t="s">
        <v>519</v>
      </c>
      <c r="B160" s="873" t="s">
        <v>397</v>
      </c>
      <c r="C160" s="940"/>
      <c r="D160" s="524" t="s">
        <v>402</v>
      </c>
      <c r="E160" s="964">
        <v>2.5</v>
      </c>
      <c r="F160" s="965"/>
      <c r="G160" s="933"/>
      <c r="H160" s="931">
        <f>IF(G160&gt;=35,E161,IF(G160&gt;=30,E160,0))</f>
        <v>0</v>
      </c>
      <c r="Q160" s="52"/>
      <c r="R160" s="44"/>
    </row>
    <row r="161" spans="1:18" s="29" customFormat="1" ht="30">
      <c r="A161" s="872"/>
      <c r="B161" s="941"/>
      <c r="C161" s="942"/>
      <c r="D161" s="524" t="s">
        <v>396</v>
      </c>
      <c r="E161" s="964">
        <v>3</v>
      </c>
      <c r="F161" s="965"/>
      <c r="G161" s="934"/>
      <c r="H161" s="932"/>
      <c r="Q161" s="52"/>
      <c r="R161" s="44"/>
    </row>
    <row r="162" spans="1:18" s="29" customFormat="1" ht="31.5" customHeight="1">
      <c r="A162" s="871" t="s">
        <v>520</v>
      </c>
      <c r="B162" s="873" t="s">
        <v>398</v>
      </c>
      <c r="C162" s="874"/>
      <c r="D162" s="524" t="s">
        <v>333</v>
      </c>
      <c r="E162" s="962">
        <v>4</v>
      </c>
      <c r="F162" s="963"/>
      <c r="G162" s="933"/>
      <c r="H162" s="931">
        <f>IF(G162&gt;=80,E162,IF(G162&gt;=70,E163,IF(G162&gt;=60,E164,IF(G162&gt;=50,E165,0))))</f>
        <v>0</v>
      </c>
      <c r="Q162" s="52"/>
      <c r="R162" s="44"/>
    </row>
    <row r="163" spans="1:18" s="29" customFormat="1" ht="31.5" customHeight="1">
      <c r="A163" s="975"/>
      <c r="B163" s="929"/>
      <c r="C163" s="930"/>
      <c r="D163" s="524" t="s">
        <v>334</v>
      </c>
      <c r="E163" s="962">
        <v>3</v>
      </c>
      <c r="F163" s="963"/>
      <c r="G163" s="935"/>
      <c r="H163" s="936"/>
      <c r="Q163" s="52"/>
      <c r="R163" s="44"/>
    </row>
    <row r="164" spans="1:18" s="29" customFormat="1" ht="31.5" customHeight="1">
      <c r="A164" s="975"/>
      <c r="B164" s="929"/>
      <c r="C164" s="930"/>
      <c r="D164" s="524" t="s">
        <v>368</v>
      </c>
      <c r="E164" s="962">
        <v>2</v>
      </c>
      <c r="F164" s="963"/>
      <c r="G164" s="935"/>
      <c r="H164" s="936"/>
      <c r="Q164" s="52"/>
      <c r="R164" s="44"/>
    </row>
    <row r="165" spans="1:18" s="29" customFormat="1" ht="31.5" customHeight="1">
      <c r="A165" s="872"/>
      <c r="B165" s="875"/>
      <c r="C165" s="876"/>
      <c r="D165" s="524" t="s">
        <v>369</v>
      </c>
      <c r="E165" s="962">
        <v>1</v>
      </c>
      <c r="F165" s="963"/>
      <c r="G165" s="934"/>
      <c r="H165" s="932"/>
      <c r="Q165" s="52"/>
      <c r="R165" s="44"/>
    </row>
    <row r="166" spans="1:18" s="29" customFormat="1" ht="31.5" customHeight="1">
      <c r="A166" s="871" t="s">
        <v>643</v>
      </c>
      <c r="B166" s="873" t="s">
        <v>614</v>
      </c>
      <c r="C166" s="874"/>
      <c r="D166" s="524" t="s">
        <v>66</v>
      </c>
      <c r="E166" s="525">
        <v>3.5</v>
      </c>
      <c r="F166" s="525">
        <v>4</v>
      </c>
      <c r="G166" s="27"/>
      <c r="H166" s="434">
        <f t="shared" si="3"/>
        <v>0</v>
      </c>
      <c r="Q166" s="52"/>
      <c r="R166" s="44"/>
    </row>
    <row r="167" spans="1:18" s="29" customFormat="1" ht="30">
      <c r="A167" s="872"/>
      <c r="B167" s="875"/>
      <c r="C167" s="876"/>
      <c r="D167" s="524" t="s">
        <v>67</v>
      </c>
      <c r="E167" s="525" t="s">
        <v>49</v>
      </c>
      <c r="F167" s="525">
        <v>3</v>
      </c>
      <c r="G167" s="27"/>
      <c r="H167" s="434">
        <f>IF(G167&gt;=80%,F167,0)</f>
        <v>0</v>
      </c>
      <c r="Q167" s="52"/>
      <c r="R167" s="44"/>
    </row>
    <row r="168" spans="1:18" s="29" customFormat="1" ht="15.6">
      <c r="A168" s="82">
        <v>14</v>
      </c>
      <c r="B168" s="470" t="s">
        <v>515</v>
      </c>
      <c r="C168" s="89"/>
      <c r="D168" s="151"/>
      <c r="E168" s="152"/>
      <c r="F168" s="152"/>
      <c r="G168" s="153"/>
      <c r="H168" s="629"/>
      <c r="Q168" s="52"/>
      <c r="R168" s="44"/>
    </row>
    <row r="169" spans="1:18" s="29" customFormat="1" ht="31.95" customHeight="1">
      <c r="A169" s="630" t="s">
        <v>236</v>
      </c>
      <c r="B169" s="875" t="s">
        <v>648</v>
      </c>
      <c r="C169" s="876"/>
      <c r="D169" s="527" t="s">
        <v>50</v>
      </c>
      <c r="E169" s="528">
        <v>2</v>
      </c>
      <c r="F169" s="528">
        <v>2.5</v>
      </c>
      <c r="G169" s="529"/>
      <c r="H169" s="9">
        <f>IF(G169&gt;=80%,F169,IF(G169&lt;65%,0,E169))</f>
        <v>0</v>
      </c>
      <c r="Q169" s="52"/>
      <c r="R169" s="44"/>
    </row>
    <row r="170" spans="1:18" s="29" customFormat="1">
      <c r="A170" s="630" t="s">
        <v>237</v>
      </c>
      <c r="B170" s="875" t="s">
        <v>615</v>
      </c>
      <c r="C170" s="876"/>
      <c r="D170" s="530" t="s">
        <v>50</v>
      </c>
      <c r="E170" s="523" t="s">
        <v>49</v>
      </c>
      <c r="F170" s="523">
        <v>2.5</v>
      </c>
      <c r="G170" s="532">
        <f>F23</f>
        <v>0</v>
      </c>
      <c r="H170" s="434">
        <f>IF(G170&gt;=80%,F170,0)</f>
        <v>0</v>
      </c>
      <c r="Q170" s="52"/>
      <c r="R170" s="44"/>
    </row>
    <row r="171" spans="1:18" s="29" customFormat="1" ht="32.25" customHeight="1">
      <c r="A171" s="630" t="s">
        <v>378</v>
      </c>
      <c r="B171" s="875" t="s">
        <v>617</v>
      </c>
      <c r="C171" s="876"/>
      <c r="D171" s="530" t="s">
        <v>50</v>
      </c>
      <c r="E171" s="523">
        <v>2</v>
      </c>
      <c r="F171" s="523">
        <v>3</v>
      </c>
      <c r="G171" s="529"/>
      <c r="H171" s="434">
        <f>IF(G171&gt;=80%,F171,IF(G171&lt;65%,0,E171))</f>
        <v>0</v>
      </c>
      <c r="Q171" s="52"/>
      <c r="R171" s="44"/>
    </row>
    <row r="172" spans="1:18" s="29" customFormat="1" ht="30" customHeight="1">
      <c r="A172" s="632" t="s">
        <v>521</v>
      </c>
      <c r="B172" s="825" t="s">
        <v>616</v>
      </c>
      <c r="C172" s="827"/>
      <c r="D172" s="420" t="s">
        <v>50</v>
      </c>
      <c r="E172" s="434">
        <v>2</v>
      </c>
      <c r="F172" s="434">
        <v>2.5</v>
      </c>
      <c r="G172" s="30"/>
      <c r="H172" s="434">
        <f>IF(G172&gt;=80%,F172,IF(G172&lt;65%,0,E172))</f>
        <v>0</v>
      </c>
      <c r="Q172" s="52"/>
      <c r="R172" s="44"/>
    </row>
    <row r="173" spans="1:18" s="29" customFormat="1" ht="15.6">
      <c r="A173" s="82">
        <v>15</v>
      </c>
      <c r="B173" s="82" t="s">
        <v>259</v>
      </c>
      <c r="C173" s="89"/>
      <c r="D173" s="151"/>
      <c r="E173" s="152"/>
      <c r="F173" s="152"/>
      <c r="G173" s="153"/>
      <c r="H173" s="629"/>
      <c r="Q173" s="52"/>
      <c r="R173" s="44"/>
    </row>
    <row r="174" spans="1:18" s="29" customFormat="1">
      <c r="A174" s="877" t="s">
        <v>238</v>
      </c>
      <c r="B174" s="879" t="s">
        <v>275</v>
      </c>
      <c r="C174" s="880"/>
      <c r="D174" s="943" t="s">
        <v>50</v>
      </c>
      <c r="E174" s="828">
        <v>2.5</v>
      </c>
      <c r="F174" s="828">
        <v>4</v>
      </c>
      <c r="G174" s="957"/>
      <c r="H174" s="828">
        <f>IF(G174&gt;=80%,F174,IF(G174&lt;65%,0,E174))</f>
        <v>0</v>
      </c>
      <c r="Q174" s="52"/>
      <c r="R174" s="44"/>
    </row>
    <row r="175" spans="1:18" s="29" customFormat="1" ht="15.6">
      <c r="A175" s="878"/>
      <c r="B175" s="810" t="s">
        <v>276</v>
      </c>
      <c r="C175" s="810"/>
      <c r="D175" s="944"/>
      <c r="E175" s="829"/>
      <c r="F175" s="829"/>
      <c r="G175" s="958"/>
      <c r="H175" s="829"/>
      <c r="Q175" s="52"/>
      <c r="R175" s="44"/>
    </row>
    <row r="176" spans="1:18" s="29" customFormat="1">
      <c r="A176" s="877" t="s">
        <v>239</v>
      </c>
      <c r="B176" s="858" t="s">
        <v>137</v>
      </c>
      <c r="C176" s="840"/>
      <c r="D176" s="937" t="s">
        <v>50</v>
      </c>
      <c r="E176" s="938">
        <v>2.5</v>
      </c>
      <c r="F176" s="938">
        <v>4</v>
      </c>
      <c r="G176" s="961"/>
      <c r="H176" s="811">
        <f>IF(G176&gt;=80%,F176,IF(G176&lt;65%,0,E176))</f>
        <v>0</v>
      </c>
      <c r="Q176" s="52"/>
      <c r="R176" s="44"/>
    </row>
    <row r="177" spans="1:18" s="29" customFormat="1" ht="15.6">
      <c r="A177" s="878"/>
      <c r="B177" s="810" t="s">
        <v>119</v>
      </c>
      <c r="C177" s="810"/>
      <c r="D177" s="937"/>
      <c r="E177" s="938"/>
      <c r="F177" s="938"/>
      <c r="G177" s="961"/>
      <c r="H177" s="811"/>
      <c r="Q177" s="52"/>
      <c r="R177" s="44"/>
    </row>
    <row r="178" spans="1:18" s="29" customFormat="1" ht="15.6">
      <c r="A178" s="102">
        <v>16</v>
      </c>
      <c r="B178" s="102" t="s">
        <v>202</v>
      </c>
      <c r="C178" s="89"/>
      <c r="D178" s="89"/>
      <c r="E178" s="91"/>
      <c r="F178" s="91"/>
      <c r="G178" s="92"/>
      <c r="H178" s="614"/>
      <c r="Q178" s="59"/>
      <c r="R178" s="44"/>
    </row>
    <row r="179" spans="1:18" s="29" customFormat="1">
      <c r="A179" s="598" t="s">
        <v>241</v>
      </c>
      <c r="B179" s="765"/>
      <c r="C179" s="766"/>
      <c r="D179" s="107"/>
      <c r="E179" s="538"/>
      <c r="F179" s="538"/>
      <c r="G179" s="65"/>
      <c r="H179" s="633">
        <f>IF(G179&gt;=80%,F179,IF(G179&lt;65%,0,E179))</f>
        <v>0</v>
      </c>
      <c r="Q179" s="52"/>
      <c r="R179" s="44"/>
    </row>
    <row r="180" spans="1:18" s="29" customFormat="1">
      <c r="A180" s="598" t="s">
        <v>242</v>
      </c>
      <c r="B180" s="765"/>
      <c r="C180" s="766"/>
      <c r="D180" s="107"/>
      <c r="E180" s="538"/>
      <c r="F180" s="538"/>
      <c r="G180" s="65"/>
      <c r="H180" s="633">
        <f>IF(G180&gt;=80%,F180,IF(G180&lt;65%,0,E180))</f>
        <v>0</v>
      </c>
      <c r="Q180" s="52"/>
      <c r="R180" s="44"/>
    </row>
    <row r="181" spans="1:18" s="29" customFormat="1">
      <c r="A181" s="598" t="s">
        <v>243</v>
      </c>
      <c r="B181" s="765"/>
      <c r="C181" s="766"/>
      <c r="D181" s="107"/>
      <c r="E181" s="538"/>
      <c r="F181" s="538"/>
      <c r="G181" s="65"/>
      <c r="H181" s="633">
        <f>IF(G181&gt;=80%,F181,IF(G181&lt;65%,0,E181))</f>
        <v>0</v>
      </c>
      <c r="Q181" s="52"/>
      <c r="R181" s="44"/>
    </row>
    <row r="182" spans="1:18" s="29" customFormat="1" ht="15.6">
      <c r="A182" s="604"/>
      <c r="B182" s="307"/>
      <c r="C182" s="305"/>
      <c r="D182" s="305"/>
      <c r="E182" s="305"/>
      <c r="F182" s="309"/>
      <c r="G182" s="310" t="s">
        <v>376</v>
      </c>
      <c r="H182" s="634">
        <f>IFERROR((SUM(H147:H181)),0)</f>
        <v>0</v>
      </c>
      <c r="Q182" s="52"/>
      <c r="R182" s="44"/>
    </row>
    <row r="183" spans="1:18" s="29" customFormat="1" ht="15.6" thickBot="1">
      <c r="A183" s="594"/>
      <c r="B183" s="361"/>
      <c r="C183" s="362"/>
      <c r="D183" s="362"/>
      <c r="E183" s="362"/>
      <c r="F183" s="362"/>
      <c r="G183" s="354"/>
      <c r="H183" s="595"/>
      <c r="Q183" s="52"/>
      <c r="R183" s="44"/>
    </row>
    <row r="184" spans="1:18" s="29" customFormat="1" ht="30.75" customHeight="1">
      <c r="A184" s="865" t="s">
        <v>0</v>
      </c>
      <c r="B184" s="866"/>
      <c r="C184" s="869"/>
      <c r="D184" s="856" t="s">
        <v>4</v>
      </c>
      <c r="E184" s="959" t="s">
        <v>1</v>
      </c>
      <c r="F184" s="960"/>
      <c r="G184" s="955" t="s">
        <v>21</v>
      </c>
      <c r="H184" s="856" t="s">
        <v>62</v>
      </c>
      <c r="Q184" s="52"/>
      <c r="R184" s="44"/>
    </row>
    <row r="185" spans="1:18" s="29" customFormat="1" ht="15.6">
      <c r="A185" s="867"/>
      <c r="B185" s="868"/>
      <c r="C185" s="870"/>
      <c r="D185" s="857"/>
      <c r="E185" s="550" t="s">
        <v>120</v>
      </c>
      <c r="F185" s="550" t="s">
        <v>121</v>
      </c>
      <c r="G185" s="956"/>
      <c r="H185" s="857"/>
      <c r="Q185" s="52"/>
      <c r="R185" s="44"/>
    </row>
    <row r="186" spans="1:18" s="29" customFormat="1" ht="15.6">
      <c r="A186" s="126" t="s">
        <v>240</v>
      </c>
      <c r="B186" s="105" t="s">
        <v>244</v>
      </c>
      <c r="C186" s="106"/>
      <c r="D186" s="106"/>
      <c r="E186" s="106"/>
      <c r="F186" s="110"/>
      <c r="G186" s="111"/>
      <c r="H186" s="628"/>
      <c r="Q186" s="52"/>
      <c r="R186" s="44"/>
    </row>
    <row r="187" spans="1:18" s="29" customFormat="1">
      <c r="A187" s="625" t="s">
        <v>277</v>
      </c>
      <c r="B187" s="858" t="s">
        <v>245</v>
      </c>
      <c r="C187" s="859"/>
      <c r="D187" s="5" t="s">
        <v>50</v>
      </c>
      <c r="E187" s="20">
        <v>-1</v>
      </c>
      <c r="F187" s="20">
        <v>-2</v>
      </c>
      <c r="G187" s="28"/>
      <c r="H187" s="20">
        <f>IF(G187&gt;=30%,F187,IF(G187=0%,0,E187))</f>
        <v>0</v>
      </c>
      <c r="Q187" s="52"/>
      <c r="R187" s="44"/>
    </row>
    <row r="188" spans="1:18" s="29" customFormat="1">
      <c r="A188" s="625" t="s">
        <v>278</v>
      </c>
      <c r="B188" s="858" t="s">
        <v>246</v>
      </c>
      <c r="C188" s="859"/>
      <c r="D188" s="5" t="s">
        <v>50</v>
      </c>
      <c r="E188" s="20">
        <v>-1</v>
      </c>
      <c r="F188" s="20">
        <v>-1.5</v>
      </c>
      <c r="G188" s="28"/>
      <c r="H188" s="20">
        <f>IF(G188&gt;=30%,F188,IF(G188=0%,0,E188))</f>
        <v>0</v>
      </c>
      <c r="Q188" s="52"/>
      <c r="R188" s="44"/>
    </row>
    <row r="189" spans="1:18" s="29" customFormat="1">
      <c r="A189" s="625" t="s">
        <v>279</v>
      </c>
      <c r="B189" s="858" t="s">
        <v>247</v>
      </c>
      <c r="C189" s="859"/>
      <c r="D189" s="5" t="s">
        <v>50</v>
      </c>
      <c r="E189" s="811">
        <v>-1</v>
      </c>
      <c r="F189" s="811"/>
      <c r="G189" s="553"/>
      <c r="H189" s="20">
        <f>IF(G189&gt;0%,E189,0)</f>
        <v>0</v>
      </c>
      <c r="Q189" s="52"/>
      <c r="R189" s="44"/>
    </row>
    <row r="190" spans="1:18" s="29" customFormat="1" ht="15.6">
      <c r="A190" s="604"/>
      <c r="B190" s="307"/>
      <c r="C190" s="305"/>
      <c r="D190" s="305"/>
      <c r="E190" s="305"/>
      <c r="F190" s="309"/>
      <c r="G190" s="310" t="s">
        <v>133</v>
      </c>
      <c r="H190" s="634">
        <f>IFERROR(MAX(SUM(H187:H189),-4),0)</f>
        <v>0</v>
      </c>
      <c r="Q190" s="44"/>
      <c r="R190" s="44"/>
    </row>
    <row r="191" spans="1:18" s="29" customFormat="1">
      <c r="A191" s="592"/>
      <c r="B191" s="307"/>
      <c r="C191" s="305"/>
      <c r="D191" s="305"/>
      <c r="E191" s="305"/>
      <c r="F191" s="305"/>
      <c r="G191" s="314"/>
      <c r="H191" s="571"/>
      <c r="Q191" s="52"/>
      <c r="R191" s="44"/>
    </row>
    <row r="192" spans="1:18" s="29" customFormat="1" ht="15.6">
      <c r="A192" s="592"/>
      <c r="B192" s="307"/>
      <c r="C192" s="305"/>
      <c r="D192" s="305"/>
      <c r="E192" s="305"/>
      <c r="F192" s="305"/>
      <c r="G192" s="312" t="s">
        <v>132</v>
      </c>
      <c r="H192" s="154">
        <f>IFERROR(MIN(SUM(H120+H143+H182+H190),G91),0)</f>
        <v>0</v>
      </c>
      <c r="Q192" s="52"/>
      <c r="R192" s="44"/>
    </row>
    <row r="193" spans="1:18" s="29" customFormat="1" ht="16.2" thickBot="1">
      <c r="A193" s="594"/>
      <c r="B193" s="361"/>
      <c r="C193" s="362"/>
      <c r="D193" s="362"/>
      <c r="E193" s="362"/>
      <c r="F193" s="362"/>
      <c r="G193" s="363"/>
      <c r="H193" s="606"/>
      <c r="Q193" s="52"/>
      <c r="R193" s="44"/>
    </row>
    <row r="194" spans="1:18" s="29" customFormat="1" ht="15.6">
      <c r="A194" s="635" t="s">
        <v>63</v>
      </c>
      <c r="B194" s="355"/>
      <c r="C194" s="355"/>
      <c r="D194" s="355"/>
      <c r="E194" s="355"/>
      <c r="F194" s="356" t="s">
        <v>42</v>
      </c>
      <c r="G194" s="357">
        <f>VLOOKUP($A$7,'Manpower allocation'!A4:D11,4,FALSE)*100</f>
        <v>15</v>
      </c>
      <c r="H194" s="636" t="s">
        <v>41</v>
      </c>
      <c r="I194" s="108">
        <f>VLOOKUP($A$7,'Manpower allocation'!A4:D11,4,FALSE)*100</f>
        <v>15</v>
      </c>
      <c r="Q194" s="52"/>
      <c r="R194" s="44"/>
    </row>
    <row r="195" spans="1:18" s="29" customFormat="1" ht="15.6">
      <c r="A195" s="592"/>
      <c r="B195" s="313"/>
      <c r="C195" s="305"/>
      <c r="D195" s="305"/>
      <c r="E195" s="305"/>
      <c r="F195" s="305"/>
      <c r="G195" s="314"/>
      <c r="H195" s="571"/>
      <c r="Q195" s="52"/>
      <c r="R195" s="44"/>
    </row>
    <row r="196" spans="1:18" s="29" customFormat="1" ht="46.8">
      <c r="A196" s="850" t="s">
        <v>0</v>
      </c>
      <c r="B196" s="851"/>
      <c r="C196" s="109"/>
      <c r="D196" s="545" t="s">
        <v>17</v>
      </c>
      <c r="E196" s="545" t="s">
        <v>124</v>
      </c>
      <c r="F196" s="545" t="s">
        <v>108</v>
      </c>
      <c r="G196" s="545" t="s">
        <v>18</v>
      </c>
      <c r="H196" s="545" t="s">
        <v>62</v>
      </c>
      <c r="Q196" s="52"/>
      <c r="R196" s="44"/>
    </row>
    <row r="197" spans="1:18" s="29" customFormat="1" ht="15.6">
      <c r="A197" s="105" t="s">
        <v>250</v>
      </c>
      <c r="B197" s="531" t="s">
        <v>618</v>
      </c>
      <c r="C197" s="106"/>
      <c r="D197" s="106"/>
      <c r="E197" s="106"/>
      <c r="F197" s="110"/>
      <c r="G197" s="111"/>
      <c r="H197" s="628"/>
      <c r="Q197" s="52"/>
      <c r="R197" s="44"/>
    </row>
    <row r="198" spans="1:18" s="29" customFormat="1" ht="15.6">
      <c r="A198" s="112">
        <v>1</v>
      </c>
      <c r="B198" s="112" t="s">
        <v>304</v>
      </c>
      <c r="C198" s="113"/>
      <c r="D198" s="114"/>
      <c r="E198" s="114"/>
      <c r="F198" s="114"/>
      <c r="G198" s="114"/>
      <c r="H198" s="637"/>
      <c r="Q198" s="52"/>
      <c r="R198" s="44"/>
    </row>
    <row r="199" spans="1:18" s="29" customFormat="1">
      <c r="A199" s="541">
        <v>1.1000000000000001</v>
      </c>
      <c r="B199" s="822" t="s">
        <v>271</v>
      </c>
      <c r="C199" s="824"/>
      <c r="D199" s="20">
        <f>VLOOKUP(A199,'Point Allocation'!$A$46:$J$55,MATCH(A7,'Point Allocation'!$A$46:$J$46,0),0)</f>
        <v>15</v>
      </c>
      <c r="E199" s="38"/>
      <c r="F199" s="38"/>
      <c r="G199" s="31">
        <f>MIN(IFERROR(F199/E199,0),100%)</f>
        <v>0</v>
      </c>
      <c r="H199" s="20">
        <f>D199*G199</f>
        <v>0</v>
      </c>
      <c r="Q199" s="52"/>
      <c r="R199" s="44"/>
    </row>
    <row r="200" spans="1:18" s="29" customFormat="1" ht="15.6">
      <c r="A200" s="115">
        <v>2</v>
      </c>
      <c r="B200" s="115" t="s">
        <v>305</v>
      </c>
      <c r="C200" s="116"/>
      <c r="D200" s="32"/>
      <c r="E200" s="33"/>
      <c r="F200" s="33"/>
      <c r="G200" s="34"/>
      <c r="H200" s="638"/>
      <c r="Q200" s="52"/>
      <c r="R200" s="44"/>
    </row>
    <row r="201" spans="1:18" s="29" customFormat="1" ht="33" customHeight="1">
      <c r="A201" s="544">
        <v>2.1</v>
      </c>
      <c r="B201" s="863" t="s">
        <v>251</v>
      </c>
      <c r="C201" s="864"/>
      <c r="D201" s="20">
        <f>VLOOKUP(A201,'Point Allocation'!$A$46:$J$55,MATCH(A7,'Point Allocation'!$A$46:$J$46,0),0)</f>
        <v>12</v>
      </c>
      <c r="E201" s="38"/>
      <c r="F201" s="38"/>
      <c r="G201" s="31">
        <f>MIN(IFERROR(F201/E201,0),100%)</f>
        <v>0</v>
      </c>
      <c r="H201" s="20">
        <f>D201*G201</f>
        <v>0</v>
      </c>
      <c r="Q201" s="52"/>
      <c r="R201" s="44"/>
    </row>
    <row r="202" spans="1:18" s="29" customFormat="1" ht="15.6">
      <c r="A202" s="112">
        <v>3</v>
      </c>
      <c r="B202" s="112" t="s">
        <v>309</v>
      </c>
      <c r="C202" s="117"/>
      <c r="D202" s="35"/>
      <c r="E202" s="35"/>
      <c r="F202" s="35"/>
      <c r="G202" s="34"/>
      <c r="H202" s="639"/>
      <c r="Q202" s="52"/>
      <c r="R202" s="44"/>
    </row>
    <row r="203" spans="1:18" s="29" customFormat="1">
      <c r="A203" s="540">
        <v>3.1</v>
      </c>
      <c r="B203" s="837" t="s">
        <v>400</v>
      </c>
      <c r="C203" s="838"/>
      <c r="D203" s="20">
        <f>VLOOKUP(A203,'Point Allocation'!$A$46:$J$55,MATCH(A7,'Point Allocation'!$A$46:$J$46,0),0)</f>
        <v>4</v>
      </c>
      <c r="E203" s="38"/>
      <c r="F203" s="38"/>
      <c r="G203" s="31">
        <f>MIN(IFERROR(F203/E203,0),100%)</f>
        <v>0</v>
      </c>
      <c r="H203" s="20">
        <f>D203*G203</f>
        <v>0</v>
      </c>
      <c r="Q203" s="52"/>
      <c r="R203" s="44"/>
    </row>
    <row r="204" spans="1:18" s="29" customFormat="1">
      <c r="A204" s="540">
        <v>3.2</v>
      </c>
      <c r="B204" s="837" t="s">
        <v>401</v>
      </c>
      <c r="C204" s="838"/>
      <c r="D204" s="20">
        <f>VLOOKUP(A204,'Point Allocation'!$A$46:$J$55,MATCH(A7,'Point Allocation'!$A$46:$J$46,0),0)</f>
        <v>4</v>
      </c>
      <c r="E204" s="165"/>
      <c r="F204" s="38"/>
      <c r="G204" s="31">
        <f>MIN(IFERROR(F204/E204,0),100%)</f>
        <v>0</v>
      </c>
      <c r="H204" s="20">
        <f>D204*G204</f>
        <v>0</v>
      </c>
      <c r="Q204" s="52"/>
      <c r="R204" s="44"/>
    </row>
    <row r="205" spans="1:18" s="29" customFormat="1">
      <c r="A205" s="543">
        <v>3.3</v>
      </c>
      <c r="B205" s="858" t="s">
        <v>161</v>
      </c>
      <c r="C205" s="859"/>
      <c r="D205" s="20">
        <f>VLOOKUP(A205,'Point Allocation'!$A$46:$J$55,MATCH(A7,'Point Allocation'!$A$46:$J$46,0),0)</f>
        <v>4</v>
      </c>
      <c r="E205" s="166"/>
      <c r="F205" s="537"/>
      <c r="G205" s="31">
        <f>MIN(IFERROR(F205/E205,0),100%)</f>
        <v>0</v>
      </c>
      <c r="H205" s="20">
        <f>D205*G205</f>
        <v>0</v>
      </c>
      <c r="Q205" s="52"/>
      <c r="R205" s="44"/>
    </row>
    <row r="206" spans="1:18" s="29" customFormat="1" ht="15.6">
      <c r="A206" s="592"/>
      <c r="B206" s="307"/>
      <c r="C206" s="305"/>
      <c r="D206" s="306" t="s">
        <v>6</v>
      </c>
      <c r="E206" s="283">
        <f>MAX(SUM(E199:E205),F206)</f>
        <v>0</v>
      </c>
      <c r="F206" s="283">
        <f>SUM(F199:F205)</f>
        <v>0</v>
      </c>
      <c r="G206" s="322">
        <f>IFERROR(MIN(F206/E206,100%),0)</f>
        <v>0</v>
      </c>
      <c r="H206" s="593">
        <f>IFERROR(SUM(H199:H205),0)</f>
        <v>0</v>
      </c>
      <c r="Q206" s="52"/>
      <c r="R206" s="44"/>
    </row>
    <row r="207" spans="1:18" s="29" customFormat="1" ht="15.6">
      <c r="A207" s="592"/>
      <c r="B207" s="320"/>
      <c r="C207" s="323"/>
      <c r="D207" s="324"/>
      <c r="E207" s="323"/>
      <c r="F207" s="323"/>
      <c r="G207" s="325"/>
      <c r="H207" s="317"/>
      <c r="Q207" s="52"/>
      <c r="R207" s="44"/>
    </row>
    <row r="208" spans="1:18" s="29" customFormat="1" ht="15.6">
      <c r="A208" s="850" t="s">
        <v>0</v>
      </c>
      <c r="B208" s="851"/>
      <c r="C208" s="860"/>
      <c r="D208" s="862" t="s">
        <v>4</v>
      </c>
      <c r="E208" s="862" t="s">
        <v>1</v>
      </c>
      <c r="F208" s="862"/>
      <c r="G208" s="881" t="s">
        <v>21</v>
      </c>
      <c r="H208" s="881" t="s">
        <v>62</v>
      </c>
      <c r="Q208" s="52"/>
      <c r="R208" s="44"/>
    </row>
    <row r="209" spans="1:18" s="29" customFormat="1" ht="30.75" customHeight="1">
      <c r="A209" s="852"/>
      <c r="B209" s="853"/>
      <c r="C209" s="861"/>
      <c r="D209" s="862"/>
      <c r="E209" s="545" t="s">
        <v>64</v>
      </c>
      <c r="F209" s="545" t="s">
        <v>65</v>
      </c>
      <c r="G209" s="881"/>
      <c r="H209" s="881"/>
      <c r="Q209" s="52"/>
      <c r="R209" s="44"/>
    </row>
    <row r="210" spans="1:18" s="29" customFormat="1" ht="15.6">
      <c r="A210" s="45" t="s">
        <v>253</v>
      </c>
      <c r="B210" s="45" t="s">
        <v>254</v>
      </c>
      <c r="C210" s="56"/>
      <c r="D210" s="56"/>
      <c r="E210" s="56"/>
      <c r="F210" s="57"/>
      <c r="G210" s="104"/>
      <c r="H210" s="624"/>
      <c r="Q210" s="52"/>
      <c r="R210" s="44"/>
    </row>
    <row r="211" spans="1:18" s="29" customFormat="1" ht="15.6">
      <c r="A211" s="118">
        <v>4</v>
      </c>
      <c r="B211" s="118" t="s">
        <v>307</v>
      </c>
      <c r="C211" s="116"/>
      <c r="D211" s="119"/>
      <c r="E211" s="120"/>
      <c r="F211" s="120"/>
      <c r="G211" s="121"/>
      <c r="H211" s="640"/>
      <c r="Q211" s="52"/>
      <c r="R211" s="44"/>
    </row>
    <row r="212" spans="1:18" s="29" customFormat="1">
      <c r="A212" s="541">
        <v>4.0999999999999996</v>
      </c>
      <c r="B212" s="822" t="s">
        <v>155</v>
      </c>
      <c r="C212" s="824"/>
      <c r="D212" s="5" t="s">
        <v>50</v>
      </c>
      <c r="E212" s="20" t="s">
        <v>49</v>
      </c>
      <c r="F212" s="20">
        <f>VLOOKUP(A212,'Point Allocation'!$A$46:$J$55,MATCH(A7,'Point Allocation'!$A$46:$J$46,0),0)</f>
        <v>1.5</v>
      </c>
      <c r="G212" s="553"/>
      <c r="H212" s="20">
        <f>IF(G212&gt;=80%,F212,0)</f>
        <v>0</v>
      </c>
      <c r="Q212" s="52"/>
      <c r="R212" s="44"/>
    </row>
    <row r="213" spans="1:18" s="29" customFormat="1">
      <c r="A213" s="541">
        <v>4.2</v>
      </c>
      <c r="B213" s="822" t="s">
        <v>152</v>
      </c>
      <c r="C213" s="824"/>
      <c r="D213" s="5" t="s">
        <v>50</v>
      </c>
      <c r="E213" s="20" t="s">
        <v>49</v>
      </c>
      <c r="F213" s="20">
        <f>VLOOKUP(A213,'Point Allocation'!$A$46:$J$55,MATCH(A7,'Point Allocation'!$A$46:$J$46,0),0)</f>
        <v>1.5</v>
      </c>
      <c r="G213" s="553"/>
      <c r="H213" s="20">
        <f>IF(G213&gt;=80%,F213,0)</f>
        <v>0</v>
      </c>
      <c r="Q213" s="52"/>
      <c r="R213" s="44"/>
    </row>
    <row r="214" spans="1:18" s="29" customFormat="1">
      <c r="A214" s="541">
        <v>4.3</v>
      </c>
      <c r="B214" s="822" t="s">
        <v>146</v>
      </c>
      <c r="C214" s="824"/>
      <c r="D214" s="5" t="s">
        <v>3</v>
      </c>
      <c r="E214" s="20" t="s">
        <v>49</v>
      </c>
      <c r="F214" s="20">
        <f>VLOOKUP(A214,'Point Allocation'!$A$46:$J$55,MATCH(A7,'Point Allocation'!$A$46:$J$46,0),0)</f>
        <v>1.5</v>
      </c>
      <c r="G214" s="553"/>
      <c r="H214" s="20">
        <f>IF(G214&gt;=80%,F214,0)</f>
        <v>0</v>
      </c>
      <c r="Q214" s="52"/>
      <c r="R214" s="44"/>
    </row>
    <row r="215" spans="1:18" s="29" customFormat="1">
      <c r="A215" s="542">
        <v>4.4000000000000004</v>
      </c>
      <c r="B215" s="848" t="s">
        <v>252</v>
      </c>
      <c r="C215" s="849"/>
      <c r="D215" s="5" t="s">
        <v>3</v>
      </c>
      <c r="E215" s="20" t="s">
        <v>49</v>
      </c>
      <c r="F215" s="20">
        <f>VLOOKUP(A215,'Point Allocation'!$A$46:$J$55,MATCH(A7,'Point Allocation'!$A$46:$J$46,0),0)</f>
        <v>1.5</v>
      </c>
      <c r="G215" s="553"/>
      <c r="H215" s="20">
        <f>IF(G215&gt;=80%,F215,0)</f>
        <v>0</v>
      </c>
      <c r="Q215" s="52"/>
      <c r="R215" s="44"/>
    </row>
    <row r="216" spans="1:18" s="29" customFormat="1" ht="15.6">
      <c r="A216" s="118">
        <v>5</v>
      </c>
      <c r="B216" s="118" t="s">
        <v>202</v>
      </c>
      <c r="C216" s="116"/>
      <c r="D216" s="122"/>
      <c r="E216" s="123"/>
      <c r="F216" s="123"/>
      <c r="G216" s="124"/>
      <c r="H216" s="641"/>
      <c r="Q216" s="52"/>
      <c r="R216" s="44"/>
    </row>
    <row r="217" spans="1:18" s="29" customFormat="1">
      <c r="A217" s="591">
        <v>5.0999999999999996</v>
      </c>
      <c r="B217" s="765"/>
      <c r="C217" s="847"/>
      <c r="D217" s="391"/>
      <c r="E217" s="537"/>
      <c r="F217" s="537"/>
      <c r="G217" s="553"/>
      <c r="H217" s="633">
        <f>IF(G217&gt;=80%,F217,IF(G217&lt;65%,0,E217))</f>
        <v>0</v>
      </c>
      <c r="Q217" s="52"/>
      <c r="R217" s="44"/>
    </row>
    <row r="218" spans="1:18" s="29" customFormat="1">
      <c r="A218" s="591">
        <v>5.2</v>
      </c>
      <c r="B218" s="765"/>
      <c r="C218" s="847"/>
      <c r="D218" s="391"/>
      <c r="E218" s="537"/>
      <c r="F218" s="537"/>
      <c r="G218" s="553"/>
      <c r="H218" s="633">
        <f>IF(G218&gt;=80%,F218,IF(G218&lt;65%,0,E218))</f>
        <v>0</v>
      </c>
      <c r="Q218" s="52"/>
      <c r="R218" s="44"/>
    </row>
    <row r="219" spans="1:18" s="29" customFormat="1">
      <c r="A219" s="591">
        <v>5.3</v>
      </c>
      <c r="B219" s="765"/>
      <c r="C219" s="847"/>
      <c r="D219" s="391"/>
      <c r="E219" s="537"/>
      <c r="F219" s="537"/>
      <c r="G219" s="553"/>
      <c r="H219" s="633">
        <f>IF(G219&gt;=80%,F219,IF(G219&lt;65%,0,E219))</f>
        <v>0</v>
      </c>
      <c r="Q219" s="52"/>
      <c r="R219" s="44"/>
    </row>
    <row r="220" spans="1:18" s="29" customFormat="1" ht="15.6">
      <c r="A220" s="592"/>
      <c r="B220" s="326"/>
      <c r="C220" s="326"/>
      <c r="D220" s="314"/>
      <c r="E220" s="314"/>
      <c r="F220" s="314"/>
      <c r="G220" s="312" t="s">
        <v>7</v>
      </c>
      <c r="H220" s="617">
        <f>IFERROR(SUM(H212:H215,H217:H219),0)</f>
        <v>0</v>
      </c>
      <c r="Q220" s="52"/>
      <c r="R220" s="44"/>
    </row>
    <row r="221" spans="1:18" s="29" customFormat="1">
      <c r="A221" s="592"/>
      <c r="B221" s="307"/>
      <c r="C221" s="305"/>
      <c r="D221" s="305"/>
      <c r="E221" s="305"/>
      <c r="F221" s="305"/>
      <c r="G221" s="314"/>
      <c r="H221" s="571"/>
      <c r="Q221" s="52"/>
      <c r="R221" s="44"/>
    </row>
    <row r="222" spans="1:18" s="29" customFormat="1" ht="15.6">
      <c r="A222" s="850" t="s">
        <v>0</v>
      </c>
      <c r="B222" s="851"/>
      <c r="C222" s="860"/>
      <c r="D222" s="881" t="s">
        <v>4</v>
      </c>
      <c r="E222" s="862" t="s">
        <v>1</v>
      </c>
      <c r="F222" s="862"/>
      <c r="G222" s="881" t="s">
        <v>21</v>
      </c>
      <c r="H222" s="881" t="s">
        <v>62</v>
      </c>
      <c r="Q222" s="52"/>
      <c r="R222" s="44"/>
    </row>
    <row r="223" spans="1:18" s="29" customFormat="1" ht="31.2">
      <c r="A223" s="852"/>
      <c r="B223" s="853"/>
      <c r="C223" s="861"/>
      <c r="D223" s="862"/>
      <c r="E223" s="545" t="s">
        <v>64</v>
      </c>
      <c r="F223" s="545" t="s">
        <v>65</v>
      </c>
      <c r="G223" s="881"/>
      <c r="H223" s="881"/>
      <c r="Q223" s="52"/>
      <c r="R223" s="44"/>
    </row>
    <row r="224" spans="1:18" s="29" customFormat="1" ht="15.6">
      <c r="A224" s="105" t="s">
        <v>255</v>
      </c>
      <c r="B224" s="105" t="s">
        <v>518</v>
      </c>
      <c r="C224" s="125"/>
      <c r="D224" s="126"/>
      <c r="E224" s="126"/>
      <c r="F224" s="127"/>
      <c r="G224" s="128"/>
      <c r="H224" s="127"/>
      <c r="Q224" s="52"/>
      <c r="R224" s="44"/>
    </row>
    <row r="225" spans="1:18" s="29" customFormat="1" ht="15.6">
      <c r="A225" s="625" t="s">
        <v>188</v>
      </c>
      <c r="B225" s="822" t="s">
        <v>256</v>
      </c>
      <c r="C225" s="824"/>
      <c r="D225" s="94" t="s">
        <v>2</v>
      </c>
      <c r="E225" s="94">
        <v>1</v>
      </c>
      <c r="F225" s="94">
        <v>2</v>
      </c>
      <c r="G225" s="65"/>
      <c r="H225" s="94">
        <f>IF(G225&gt;=80%,F225,IF(G225&lt;65%,0,E225))</f>
        <v>0</v>
      </c>
      <c r="J225" s="131"/>
      <c r="Q225" s="52"/>
      <c r="R225" s="44"/>
    </row>
    <row r="226" spans="1:18" s="29" customFormat="1">
      <c r="A226" s="575" t="s">
        <v>189</v>
      </c>
      <c r="B226" s="825" t="s">
        <v>619</v>
      </c>
      <c r="C226" s="827"/>
      <c r="D226" s="94" t="s">
        <v>50</v>
      </c>
      <c r="E226" s="94">
        <v>0.5</v>
      </c>
      <c r="F226" s="94">
        <v>1</v>
      </c>
      <c r="G226" s="65"/>
      <c r="H226" s="94">
        <f>IF(G226&gt;=80%,F226,IF(G226&lt;65%,0,E226))</f>
        <v>0</v>
      </c>
      <c r="Q226" s="52"/>
      <c r="R226" s="44"/>
    </row>
    <row r="227" spans="1:18" s="29" customFormat="1" ht="15.6">
      <c r="A227" s="592"/>
      <c r="B227" s="307"/>
      <c r="C227" s="305"/>
      <c r="D227" s="305"/>
      <c r="E227" s="305"/>
      <c r="F227" s="308"/>
      <c r="G227" s="312" t="s">
        <v>109</v>
      </c>
      <c r="H227" s="129">
        <f>IFERROR(SUM(H225:H226),0)</f>
        <v>0</v>
      </c>
      <c r="Q227" s="52"/>
      <c r="R227" s="44"/>
    </row>
    <row r="228" spans="1:18" s="29" customFormat="1">
      <c r="A228" s="592"/>
      <c r="B228" s="307"/>
      <c r="C228" s="305"/>
      <c r="D228" s="305"/>
      <c r="E228" s="305"/>
      <c r="F228" s="305"/>
      <c r="G228" s="314"/>
      <c r="H228" s="571"/>
      <c r="Q228" s="52"/>
      <c r="R228" s="44"/>
    </row>
    <row r="229" spans="1:18" s="29" customFormat="1" ht="15.6">
      <c r="A229" s="592"/>
      <c r="B229" s="307"/>
      <c r="C229" s="305"/>
      <c r="D229" s="305"/>
      <c r="E229" s="305"/>
      <c r="F229" s="305"/>
      <c r="G229" s="312" t="s">
        <v>110</v>
      </c>
      <c r="H229" s="129">
        <f>IFERROR(MIN(SUM(H206+H220+H227),G194),0)</f>
        <v>0</v>
      </c>
      <c r="Q229" s="52"/>
      <c r="R229" s="44"/>
    </row>
    <row r="230" spans="1:18" s="29" customFormat="1" ht="16.2" thickBot="1">
      <c r="A230" s="594"/>
      <c r="B230" s="361"/>
      <c r="C230" s="362"/>
      <c r="D230" s="362"/>
      <c r="E230" s="362"/>
      <c r="F230" s="362"/>
      <c r="G230" s="364"/>
      <c r="H230" s="606"/>
      <c r="Q230" s="52"/>
      <c r="R230" s="44"/>
    </row>
    <row r="231" spans="1:18" s="29" customFormat="1" ht="15.6">
      <c r="A231" s="642" t="s">
        <v>129</v>
      </c>
      <c r="B231" s="455"/>
      <c r="C231" s="455"/>
      <c r="D231" s="455"/>
      <c r="E231" s="455"/>
      <c r="F231" s="456" t="s">
        <v>42</v>
      </c>
      <c r="G231" s="457">
        <v>20</v>
      </c>
      <c r="H231" s="643" t="s">
        <v>41</v>
      </c>
      <c r="Q231" s="52"/>
      <c r="R231" s="44"/>
    </row>
    <row r="232" spans="1:18" s="29" customFormat="1" ht="15.6">
      <c r="A232" s="592"/>
      <c r="B232" s="329"/>
      <c r="C232" s="305"/>
      <c r="D232" s="305"/>
      <c r="E232" s="305"/>
      <c r="F232" s="305"/>
      <c r="G232" s="314"/>
      <c r="H232" s="571"/>
      <c r="Q232" s="52"/>
      <c r="R232" s="44"/>
    </row>
    <row r="233" spans="1:18" s="29" customFormat="1" ht="33" customHeight="1">
      <c r="A233" s="854" t="s">
        <v>0</v>
      </c>
      <c r="B233" s="855"/>
      <c r="C233" s="132"/>
      <c r="D233" s="132"/>
      <c r="E233" s="133" t="s">
        <v>4</v>
      </c>
      <c r="F233" s="133" t="s">
        <v>69</v>
      </c>
      <c r="G233" s="134" t="s">
        <v>21</v>
      </c>
      <c r="H233" s="644" t="s">
        <v>62</v>
      </c>
      <c r="Q233" s="52"/>
      <c r="R233" s="44"/>
    </row>
    <row r="234" spans="1:18" s="29" customFormat="1" ht="15.6">
      <c r="A234" s="105" t="s">
        <v>257</v>
      </c>
      <c r="B234" s="105" t="s">
        <v>258</v>
      </c>
      <c r="C234" s="106"/>
      <c r="D234" s="106"/>
      <c r="E234" s="106"/>
      <c r="F234" s="57"/>
      <c r="G234" s="135"/>
      <c r="H234" s="645"/>
      <c r="I234" s="130"/>
      <c r="Q234" s="52"/>
      <c r="R234" s="44"/>
    </row>
    <row r="235" spans="1:18" s="29" customFormat="1" ht="15.6">
      <c r="A235" s="591">
        <v>1.1000000000000001</v>
      </c>
      <c r="B235" s="816" t="s">
        <v>122</v>
      </c>
      <c r="C235" s="817"/>
      <c r="D235" s="818"/>
      <c r="E235" s="155"/>
      <c r="F235" s="136"/>
      <c r="G235" s="137"/>
      <c r="H235" s="547">
        <f t="shared" ref="H235:H240" si="5">F235*G235</f>
        <v>0</v>
      </c>
      <c r="Q235" s="52"/>
      <c r="R235" s="44"/>
    </row>
    <row r="236" spans="1:18" s="29" customFormat="1" ht="15.6">
      <c r="A236" s="589">
        <v>1.2</v>
      </c>
      <c r="B236" s="844" t="s">
        <v>123</v>
      </c>
      <c r="C236" s="845"/>
      <c r="D236" s="846"/>
      <c r="E236" s="155"/>
      <c r="F236" s="136"/>
      <c r="G236" s="137"/>
      <c r="H236" s="547">
        <f t="shared" si="5"/>
        <v>0</v>
      </c>
      <c r="Q236" s="52"/>
      <c r="R236" s="44"/>
    </row>
    <row r="237" spans="1:18" s="29" customFormat="1" ht="15.6">
      <c r="A237" s="591">
        <v>1.3</v>
      </c>
      <c r="B237" s="816" t="s">
        <v>114</v>
      </c>
      <c r="C237" s="817"/>
      <c r="D237" s="818"/>
      <c r="E237" s="155"/>
      <c r="F237" s="136"/>
      <c r="G237" s="137"/>
      <c r="H237" s="547">
        <f t="shared" si="5"/>
        <v>0</v>
      </c>
      <c r="Q237" s="52"/>
      <c r="R237" s="44"/>
    </row>
    <row r="238" spans="1:18" s="29" customFormat="1" ht="15.6">
      <c r="A238" s="591">
        <v>1.4</v>
      </c>
      <c r="B238" s="816" t="s">
        <v>282</v>
      </c>
      <c r="C238" s="817"/>
      <c r="D238" s="818"/>
      <c r="E238" s="155"/>
      <c r="F238" s="136"/>
      <c r="G238" s="137"/>
      <c r="H238" s="547">
        <f t="shared" si="5"/>
        <v>0</v>
      </c>
      <c r="Q238" s="52"/>
      <c r="R238" s="44"/>
    </row>
    <row r="239" spans="1:18" s="29" customFormat="1" ht="15.6">
      <c r="A239" s="591">
        <v>1.5</v>
      </c>
      <c r="B239" s="816"/>
      <c r="C239" s="817"/>
      <c r="D239" s="818"/>
      <c r="E239" s="155"/>
      <c r="F239" s="136"/>
      <c r="G239" s="137"/>
      <c r="H239" s="547">
        <f t="shared" si="5"/>
        <v>0</v>
      </c>
      <c r="Q239" s="52"/>
      <c r="R239" s="44"/>
    </row>
    <row r="240" spans="1:18" s="29" customFormat="1" ht="15.6">
      <c r="A240" s="591">
        <v>1.6</v>
      </c>
      <c r="B240" s="816"/>
      <c r="C240" s="817"/>
      <c r="D240" s="818"/>
      <c r="E240" s="155"/>
      <c r="F240" s="136"/>
      <c r="G240" s="137"/>
      <c r="H240" s="547">
        <f t="shared" si="5"/>
        <v>0</v>
      </c>
      <c r="Q240" s="52"/>
      <c r="R240" s="44"/>
    </row>
    <row r="241" spans="1:18" s="29" customFormat="1" ht="15.6">
      <c r="A241" s="105" t="s">
        <v>260</v>
      </c>
      <c r="B241" s="105" t="s">
        <v>259</v>
      </c>
      <c r="C241" s="106"/>
      <c r="D241" s="106"/>
      <c r="E241" s="106"/>
      <c r="F241" s="57"/>
      <c r="G241" s="135"/>
      <c r="H241" s="645"/>
      <c r="Q241" s="52"/>
      <c r="R241" s="44"/>
    </row>
    <row r="242" spans="1:18" s="29" customFormat="1" ht="30.6" customHeight="1">
      <c r="A242" s="591">
        <v>2.1</v>
      </c>
      <c r="B242" s="825" t="s">
        <v>620</v>
      </c>
      <c r="C242" s="842"/>
      <c r="D242" s="843"/>
      <c r="E242" s="148" t="s">
        <v>367</v>
      </c>
      <c r="F242" s="389">
        <v>2</v>
      </c>
      <c r="G242" s="390"/>
      <c r="H242" s="547">
        <f>IFERROR(VLOOKUP(E242,J243:K246,2,FALSE),0)</f>
        <v>0</v>
      </c>
      <c r="J242" s="29" t="s">
        <v>367</v>
      </c>
      <c r="K242" s="29">
        <v>0</v>
      </c>
      <c r="Q242" s="52"/>
      <c r="R242" s="44"/>
    </row>
    <row r="243" spans="1:18" s="29" customFormat="1" ht="15.6">
      <c r="A243" s="592"/>
      <c r="B243" s="304"/>
      <c r="C243" s="305"/>
      <c r="D243" s="305"/>
      <c r="E243" s="305"/>
      <c r="F243" s="305"/>
      <c r="G243" s="312" t="s">
        <v>130</v>
      </c>
      <c r="H243" s="138">
        <f>IFERROR(MIN(SUM(H235:H242),G231),0)</f>
        <v>0</v>
      </c>
      <c r="J243" s="29" t="s">
        <v>363</v>
      </c>
      <c r="K243" s="29">
        <v>2</v>
      </c>
      <c r="Q243" s="44"/>
      <c r="R243" s="44"/>
    </row>
    <row r="244" spans="1:18" s="29" customFormat="1">
      <c r="A244" s="592"/>
      <c r="B244" s="307"/>
      <c r="C244" s="305"/>
      <c r="D244" s="305"/>
      <c r="E244" s="305"/>
      <c r="F244" s="305"/>
      <c r="G244" s="314"/>
      <c r="H244" s="571"/>
      <c r="J244" s="29" t="s">
        <v>364</v>
      </c>
      <c r="K244" s="29">
        <v>2</v>
      </c>
      <c r="Q244" s="44"/>
      <c r="R244" s="44"/>
    </row>
    <row r="245" spans="1:18" s="29" customFormat="1" ht="15.6">
      <c r="A245" s="592"/>
      <c r="B245" s="307"/>
      <c r="C245" s="305"/>
      <c r="D245" s="305"/>
      <c r="E245" s="305"/>
      <c r="F245" s="305"/>
      <c r="G245" s="312" t="s">
        <v>68</v>
      </c>
      <c r="H245" s="617">
        <f>IFERROR(H89+H192+H229+H243,0)</f>
        <v>0</v>
      </c>
      <c r="J245" s="29" t="s">
        <v>365</v>
      </c>
      <c r="K245" s="29">
        <v>2</v>
      </c>
      <c r="Q245" s="44"/>
      <c r="R245" s="44"/>
    </row>
    <row r="246" spans="1:18" s="29" customFormat="1">
      <c r="A246" s="592"/>
      <c r="B246" s="307"/>
      <c r="C246" s="305"/>
      <c r="D246" s="305"/>
      <c r="E246" s="305"/>
      <c r="F246" s="305"/>
      <c r="G246" s="314"/>
      <c r="H246" s="571"/>
      <c r="J246" s="29" t="s">
        <v>366</v>
      </c>
      <c r="K246" s="29">
        <v>2</v>
      </c>
      <c r="Q246" s="52"/>
      <c r="R246" s="44"/>
    </row>
    <row r="247" spans="1:18" s="29" customFormat="1" ht="15.75" customHeight="1">
      <c r="A247" s="592"/>
      <c r="B247" s="327" t="s">
        <v>37</v>
      </c>
      <c r="C247" s="314"/>
      <c r="D247" s="809" t="s">
        <v>372</v>
      </c>
      <c r="E247" s="809"/>
      <c r="F247" s="809"/>
      <c r="G247" s="314"/>
      <c r="H247" s="646"/>
      <c r="Q247" s="52"/>
      <c r="R247" s="44"/>
    </row>
    <row r="248" spans="1:18" s="29" customFormat="1" ht="15.6">
      <c r="A248" s="592"/>
      <c r="B248" s="328"/>
      <c r="C248" s="314"/>
      <c r="D248" s="809"/>
      <c r="E248" s="809"/>
      <c r="F248" s="809"/>
      <c r="G248" s="314"/>
      <c r="H248" s="646"/>
      <c r="Q248" s="52"/>
      <c r="R248" s="44"/>
    </row>
    <row r="249" spans="1:18" s="29" customFormat="1" ht="15.6">
      <c r="A249" s="647" t="s">
        <v>261</v>
      </c>
      <c r="B249" s="328" t="s">
        <v>99</v>
      </c>
      <c r="C249" s="347">
        <f>IFERROR(SUM(G32+G35+G37+G38+G47+G50),0)</f>
        <v>0</v>
      </c>
      <c r="D249" s="314" t="s">
        <v>265</v>
      </c>
      <c r="E249" s="137"/>
      <c r="F249" s="314" t="s">
        <v>266</v>
      </c>
      <c r="G249" s="139">
        <f>MIN(IFERROR(SUM(C249+E249),0),100%)</f>
        <v>0</v>
      </c>
      <c r="H249" s="571"/>
      <c r="L249" s="52"/>
      <c r="M249" s="44"/>
    </row>
    <row r="250" spans="1:18" s="29" customFormat="1" ht="15.6">
      <c r="A250" s="647" t="s">
        <v>262</v>
      </c>
      <c r="B250" s="328" t="s">
        <v>100</v>
      </c>
      <c r="C250" s="347">
        <f>IFERROR(SUM(F19+G96+G98+G100+G103+G106+G107+G108+G109+G110),0)</f>
        <v>0</v>
      </c>
      <c r="D250" s="314" t="s">
        <v>265</v>
      </c>
      <c r="E250" s="137"/>
      <c r="F250" s="314" t="s">
        <v>266</v>
      </c>
      <c r="G250" s="139">
        <f>MIN(IFERROR(SUM(C250+E250),0),100%)</f>
        <v>0</v>
      </c>
      <c r="H250" s="571"/>
      <c r="L250" s="52"/>
      <c r="M250" s="44"/>
    </row>
    <row r="251" spans="1:18" s="29" customFormat="1" ht="15.6">
      <c r="A251" s="647" t="s">
        <v>263</v>
      </c>
      <c r="B251" s="328" t="s">
        <v>101</v>
      </c>
      <c r="C251" s="347">
        <f>IFERROR(G206,0)</f>
        <v>0</v>
      </c>
      <c r="D251" s="314" t="s">
        <v>265</v>
      </c>
      <c r="E251" s="137"/>
      <c r="F251" s="286" t="s">
        <v>266</v>
      </c>
      <c r="G251" s="139">
        <f>MIN(IFERROR(SUM(C251+E251),0),100%)</f>
        <v>0</v>
      </c>
      <c r="H251" s="562"/>
      <c r="I251" s="3"/>
      <c r="J251" s="3"/>
      <c r="K251" s="3"/>
      <c r="L251" s="52"/>
      <c r="M251" s="44"/>
    </row>
    <row r="252" spans="1:18" s="29" customFormat="1">
      <c r="A252" s="622"/>
      <c r="B252" s="320"/>
      <c r="C252" s="323"/>
      <c r="D252" s="323"/>
      <c r="E252" s="323"/>
      <c r="F252" s="323"/>
      <c r="G252" s="648"/>
      <c r="H252" s="649"/>
      <c r="J252" s="3"/>
      <c r="K252" s="3"/>
      <c r="L252" s="3"/>
      <c r="M252" s="3"/>
      <c r="N252" s="3"/>
      <c r="O252" s="3"/>
      <c r="P252" s="3"/>
      <c r="Q252" s="52"/>
      <c r="R252" s="44"/>
    </row>
    <row r="253" spans="1:18" s="29" customFormat="1">
      <c r="A253" s="161"/>
      <c r="B253" s="3"/>
      <c r="C253" s="3"/>
      <c r="D253" s="3"/>
      <c r="E253" s="3"/>
      <c r="F253" s="3"/>
      <c r="G253" s="10"/>
      <c r="H253" s="3"/>
      <c r="J253" s="3"/>
      <c r="K253" s="3"/>
      <c r="L253" s="3"/>
      <c r="M253" s="3"/>
      <c r="N253" s="3"/>
      <c r="O253" s="3"/>
      <c r="P253" s="3"/>
      <c r="Q253" s="52"/>
      <c r="R253" s="44"/>
    </row>
    <row r="254" spans="1:18" s="29" customFormat="1">
      <c r="A254" s="161"/>
      <c r="B254" s="3"/>
      <c r="C254" s="3"/>
      <c r="D254" s="3"/>
      <c r="E254" s="3"/>
      <c r="F254" s="3"/>
      <c r="G254" s="10"/>
      <c r="H254" s="3"/>
      <c r="J254" s="3"/>
      <c r="K254" s="3"/>
      <c r="L254" s="3"/>
      <c r="M254" s="3"/>
      <c r="N254" s="3"/>
      <c r="O254" s="3"/>
      <c r="P254" s="3"/>
      <c r="Q254" s="52"/>
      <c r="R254" s="44"/>
    </row>
    <row r="255" spans="1:18" s="29" customFormat="1">
      <c r="A255" s="161"/>
      <c r="B255" s="3"/>
      <c r="C255" s="3"/>
      <c r="D255" s="3"/>
      <c r="E255" s="3"/>
      <c r="F255" s="3"/>
      <c r="G255" s="10"/>
      <c r="H255" s="3"/>
      <c r="J255" s="3"/>
      <c r="K255" s="3"/>
      <c r="L255" s="3"/>
      <c r="M255" s="3"/>
      <c r="N255" s="3"/>
      <c r="O255" s="3"/>
      <c r="P255" s="3"/>
      <c r="Q255" s="52"/>
      <c r="R255" s="44"/>
    </row>
    <row r="256" spans="1:18" s="29" customFormat="1">
      <c r="A256" s="161"/>
      <c r="B256" s="3"/>
      <c r="C256" s="3"/>
      <c r="D256" s="3"/>
      <c r="E256" s="3"/>
      <c r="F256" s="3"/>
      <c r="G256" s="10"/>
      <c r="H256" s="3"/>
      <c r="J256" s="3"/>
      <c r="K256" s="3"/>
      <c r="L256" s="3"/>
      <c r="M256" s="3"/>
      <c r="N256" s="3"/>
      <c r="O256" s="3"/>
      <c r="P256" s="3"/>
      <c r="Q256" s="44"/>
      <c r="R256" s="44"/>
    </row>
    <row r="257" spans="1:18" s="29" customFormat="1">
      <c r="A257" s="161"/>
      <c r="B257" s="3"/>
      <c r="C257" s="3"/>
      <c r="D257" s="3"/>
      <c r="E257" s="3"/>
      <c r="F257" s="3"/>
      <c r="G257" s="10"/>
      <c r="H257" s="3"/>
      <c r="J257" s="3"/>
      <c r="K257" s="3"/>
      <c r="L257" s="3"/>
      <c r="M257" s="3"/>
      <c r="N257" s="3"/>
      <c r="O257" s="3"/>
      <c r="P257" s="3"/>
      <c r="Q257" s="44"/>
      <c r="R257" s="44"/>
    </row>
    <row r="258" spans="1:18" s="29" customFormat="1">
      <c r="A258" s="161"/>
      <c r="B258" s="3"/>
      <c r="C258" s="3"/>
      <c r="D258" s="3"/>
      <c r="E258" s="3"/>
      <c r="F258" s="3"/>
      <c r="G258" s="10"/>
      <c r="H258" s="3"/>
      <c r="J258" s="3"/>
      <c r="K258" s="3"/>
      <c r="L258" s="3"/>
      <c r="M258" s="3"/>
      <c r="N258" s="3"/>
      <c r="O258" s="3"/>
      <c r="P258" s="3"/>
      <c r="Q258" s="44"/>
      <c r="R258" s="44"/>
    </row>
    <row r="259" spans="1:18" s="29" customFormat="1">
      <c r="A259" s="161"/>
      <c r="B259" s="3"/>
      <c r="C259" s="3"/>
      <c r="D259" s="3"/>
      <c r="E259" s="3"/>
      <c r="F259" s="3"/>
      <c r="G259" s="10"/>
      <c r="H259" s="3"/>
      <c r="J259" s="3"/>
      <c r="K259" s="3"/>
      <c r="L259" s="3"/>
      <c r="M259" s="3"/>
      <c r="N259" s="3"/>
      <c r="O259" s="3"/>
      <c r="P259" s="3"/>
      <c r="Q259" s="44"/>
      <c r="R259" s="44"/>
    </row>
  </sheetData>
  <sheetProtection algorithmName="SHA-512" hashValue="UhvZdGNJ7F4VdvCalSLUvGtFfX9oems/V40Kw7HGwL1+rM4WB0j2vbAq4YGVfrd8lmpzBriKh7JIcHcWrBXAQA==" saltValue="AOxAyDnsnDjJtGRrn4BnwA==" spinCount="100000" sheet="1" selectLockedCells="1"/>
  <mergeCells count="236">
    <mergeCell ref="Q106:Q107"/>
    <mergeCell ref="A127:A128"/>
    <mergeCell ref="A145:B145"/>
    <mergeCell ref="B181:C181"/>
    <mergeCell ref="B179:C179"/>
    <mergeCell ref="B180:C180"/>
    <mergeCell ref="A184:B185"/>
    <mergeCell ref="C184:C185"/>
    <mergeCell ref="B199:C199"/>
    <mergeCell ref="H151:H152"/>
    <mergeCell ref="B108:D108"/>
    <mergeCell ref="B106:D106"/>
    <mergeCell ref="B107:D107"/>
    <mergeCell ref="B115:D115"/>
    <mergeCell ref="B117:D117"/>
    <mergeCell ref="B118:D118"/>
    <mergeCell ref="B119:D119"/>
    <mergeCell ref="B113:D113"/>
    <mergeCell ref="B109:D109"/>
    <mergeCell ref="B110:D110"/>
    <mergeCell ref="B114:D114"/>
    <mergeCell ref="B127:C127"/>
    <mergeCell ref="B125:C125"/>
    <mergeCell ref="E151:F151"/>
    <mergeCell ref="A131:A132"/>
    <mergeCell ref="B131:C131"/>
    <mergeCell ref="D131:D132"/>
    <mergeCell ref="E131:E132"/>
    <mergeCell ref="F131:F132"/>
    <mergeCell ref="G131:G132"/>
    <mergeCell ref="B217:C217"/>
    <mergeCell ref="B204:C204"/>
    <mergeCell ref="B205:C205"/>
    <mergeCell ref="B212:C212"/>
    <mergeCell ref="B213:C213"/>
    <mergeCell ref="B214:C214"/>
    <mergeCell ref="B215:C215"/>
    <mergeCell ref="A208:B209"/>
    <mergeCell ref="C208:C209"/>
    <mergeCell ref="B135:C135"/>
    <mergeCell ref="D147:D148"/>
    <mergeCell ref="E147:E148"/>
    <mergeCell ref="F147:G147"/>
    <mergeCell ref="F148:G148"/>
    <mergeCell ref="A151:B152"/>
    <mergeCell ref="C151:C152"/>
    <mergeCell ref="D151:D152"/>
    <mergeCell ref="F145:G145"/>
    <mergeCell ref="A4:B4"/>
    <mergeCell ref="D7:G7"/>
    <mergeCell ref="A7:B7"/>
    <mergeCell ref="D11:D12"/>
    <mergeCell ref="E11:E12"/>
    <mergeCell ref="F11:F12"/>
    <mergeCell ref="B14:C14"/>
    <mergeCell ref="B15:C15"/>
    <mergeCell ref="B16:C16"/>
    <mergeCell ref="A11:B12"/>
    <mergeCell ref="B17:C17"/>
    <mergeCell ref="B19:C19"/>
    <mergeCell ref="B20:C20"/>
    <mergeCell ref="B21:C21"/>
    <mergeCell ref="B37:D37"/>
    <mergeCell ref="B41:D41"/>
    <mergeCell ref="B22:C22"/>
    <mergeCell ref="B70:C70"/>
    <mergeCell ref="B71:C71"/>
    <mergeCell ref="B23:C23"/>
    <mergeCell ref="B24:C24"/>
    <mergeCell ref="B25:C25"/>
    <mergeCell ref="B68:C68"/>
    <mergeCell ref="B69:C69"/>
    <mergeCell ref="B65:C65"/>
    <mergeCell ref="B40:D40"/>
    <mergeCell ref="B53:D53"/>
    <mergeCell ref="B45:D45"/>
    <mergeCell ref="B44:D44"/>
    <mergeCell ref="B42:D42"/>
    <mergeCell ref="H61:H62"/>
    <mergeCell ref="D69:D72"/>
    <mergeCell ref="E61:F61"/>
    <mergeCell ref="G61:G62"/>
    <mergeCell ref="D61:D62"/>
    <mergeCell ref="B54:D54"/>
    <mergeCell ref="A38:A39"/>
    <mergeCell ref="B38:D39"/>
    <mergeCell ref="E38:E39"/>
    <mergeCell ref="H38:H39"/>
    <mergeCell ref="E40:E45"/>
    <mergeCell ref="H40:H45"/>
    <mergeCell ref="B43:D43"/>
    <mergeCell ref="H32:H33"/>
    <mergeCell ref="B33:D33"/>
    <mergeCell ref="B35:D35"/>
    <mergeCell ref="B32:D32"/>
    <mergeCell ref="A103:A104"/>
    <mergeCell ref="E103:E104"/>
    <mergeCell ref="F103:F104"/>
    <mergeCell ref="G103:G104"/>
    <mergeCell ref="H103:H104"/>
    <mergeCell ref="B103:D103"/>
    <mergeCell ref="B104:D104"/>
    <mergeCell ref="B101:D101"/>
    <mergeCell ref="E74:F74"/>
    <mergeCell ref="B76:C76"/>
    <mergeCell ref="B78:C78"/>
    <mergeCell ref="B82:C82"/>
    <mergeCell ref="B84:C84"/>
    <mergeCell ref="B85:C85"/>
    <mergeCell ref="B86:C86"/>
    <mergeCell ref="A100:A101"/>
    <mergeCell ref="B81:C81"/>
    <mergeCell ref="B96:D96"/>
    <mergeCell ref="B47:D47"/>
    <mergeCell ref="B67:C67"/>
    <mergeCell ref="A98:A99"/>
    <mergeCell ref="B98:D98"/>
    <mergeCell ref="E98:E99"/>
    <mergeCell ref="F98:F99"/>
    <mergeCell ref="B99:D99"/>
    <mergeCell ref="G98:G99"/>
    <mergeCell ref="A32:A33"/>
    <mergeCell ref="E32:E33"/>
    <mergeCell ref="F32:F33"/>
    <mergeCell ref="G32:G33"/>
    <mergeCell ref="B66:C66"/>
    <mergeCell ref="B50:D50"/>
    <mergeCell ref="B64:C64"/>
    <mergeCell ref="B74:C74"/>
    <mergeCell ref="B73:C73"/>
    <mergeCell ref="B77:C77"/>
    <mergeCell ref="B79:C79"/>
    <mergeCell ref="B72:C72"/>
    <mergeCell ref="B48:D48"/>
    <mergeCell ref="B49:D49"/>
    <mergeCell ref="B56:D56"/>
    <mergeCell ref="B57:D57"/>
    <mergeCell ref="B58:D58"/>
    <mergeCell ref="A61:B62"/>
    <mergeCell ref="H98:H99"/>
    <mergeCell ref="H131:H132"/>
    <mergeCell ref="B132:C132"/>
    <mergeCell ref="B138:C138"/>
    <mergeCell ref="B139:C139"/>
    <mergeCell ref="B140:C140"/>
    <mergeCell ref="B141:C141"/>
    <mergeCell ref="B142:C142"/>
    <mergeCell ref="G100:G101"/>
    <mergeCell ref="H100:H101"/>
    <mergeCell ref="D127:D128"/>
    <mergeCell ref="E127:E128"/>
    <mergeCell ref="F127:F128"/>
    <mergeCell ref="G127:G128"/>
    <mergeCell ref="H127:H128"/>
    <mergeCell ref="B128:C128"/>
    <mergeCell ref="B134:C134"/>
    <mergeCell ref="B129:C129"/>
    <mergeCell ref="B100:D100"/>
    <mergeCell ref="E100:E101"/>
    <mergeCell ref="F100:F101"/>
    <mergeCell ref="G151:G152"/>
    <mergeCell ref="B155:C155"/>
    <mergeCell ref="B156:C156"/>
    <mergeCell ref="B157:C157"/>
    <mergeCell ref="B158:C158"/>
    <mergeCell ref="A160:A161"/>
    <mergeCell ref="B160:C161"/>
    <mergeCell ref="E160:F160"/>
    <mergeCell ref="G160:G161"/>
    <mergeCell ref="E161:F161"/>
    <mergeCell ref="H174:H175"/>
    <mergeCell ref="B175:C175"/>
    <mergeCell ref="B169:C169"/>
    <mergeCell ref="A166:A167"/>
    <mergeCell ref="B171:C171"/>
    <mergeCell ref="B159:C159"/>
    <mergeCell ref="B172:C172"/>
    <mergeCell ref="A162:A165"/>
    <mergeCell ref="B162:C165"/>
    <mergeCell ref="E162:F162"/>
    <mergeCell ref="G162:G165"/>
    <mergeCell ref="H162:H165"/>
    <mergeCell ref="G174:G175"/>
    <mergeCell ref="E163:F163"/>
    <mergeCell ref="E164:F164"/>
    <mergeCell ref="E165:F165"/>
    <mergeCell ref="B166:C167"/>
    <mergeCell ref="B170:C170"/>
    <mergeCell ref="A174:A175"/>
    <mergeCell ref="B174:C174"/>
    <mergeCell ref="D174:D175"/>
    <mergeCell ref="E174:E175"/>
    <mergeCell ref="F174:F175"/>
    <mergeCell ref="H160:H161"/>
    <mergeCell ref="A176:A177"/>
    <mergeCell ref="B176:C176"/>
    <mergeCell ref="D176:D177"/>
    <mergeCell ref="E176:E177"/>
    <mergeCell ref="F176:F177"/>
    <mergeCell ref="G176:G177"/>
    <mergeCell ref="H176:H177"/>
    <mergeCell ref="B177:C177"/>
    <mergeCell ref="D184:D185"/>
    <mergeCell ref="E184:F184"/>
    <mergeCell ref="G184:G185"/>
    <mergeCell ref="H184:H185"/>
    <mergeCell ref="B187:C187"/>
    <mergeCell ref="B188:C188"/>
    <mergeCell ref="B189:C189"/>
    <mergeCell ref="E189:F189"/>
    <mergeCell ref="A196:B196"/>
    <mergeCell ref="D208:D209"/>
    <mergeCell ref="E208:F208"/>
    <mergeCell ref="G208:G209"/>
    <mergeCell ref="H208:H209"/>
    <mergeCell ref="B203:C203"/>
    <mergeCell ref="B201:C201"/>
    <mergeCell ref="B219:C219"/>
    <mergeCell ref="A222:B223"/>
    <mergeCell ref="C222:C223"/>
    <mergeCell ref="D222:D223"/>
    <mergeCell ref="E222:F222"/>
    <mergeCell ref="G222:G223"/>
    <mergeCell ref="H222:H223"/>
    <mergeCell ref="B218:C218"/>
    <mergeCell ref="B242:D242"/>
    <mergeCell ref="D247:F248"/>
    <mergeCell ref="B225:C225"/>
    <mergeCell ref="B226:C226"/>
    <mergeCell ref="A233:B233"/>
    <mergeCell ref="B235:D235"/>
    <mergeCell ref="B236:D236"/>
    <mergeCell ref="B237:D237"/>
    <mergeCell ref="B238:D238"/>
    <mergeCell ref="B239:D239"/>
    <mergeCell ref="B240:D240"/>
  </mergeCells>
  <dataValidations count="3">
    <dataValidation type="list" allowBlank="1" showInputMessage="1" showErrorMessage="1" sqref="A7" xr:uid="{8CCC37D0-6403-4BAF-9CBF-1B1FF0C55A2A}">
      <formula1>$J$1:$J$7</formula1>
    </dataValidation>
    <dataValidation type="list" allowBlank="1" showInputMessage="1" showErrorMessage="1" sqref="E242" xr:uid="{CCA6E886-2EE8-40D2-B8A4-5A1282555CD7}">
      <formula1>$J$242:$J$246</formula1>
    </dataValidation>
    <dataValidation type="list" allowBlank="1" showInputMessage="1" showErrorMessage="1" sqref="F148:G148" xr:uid="{4C89AA74-EF1D-4ADC-83D0-1B769D3FD165}">
      <formula1>$K$145:$P$145</formula1>
    </dataValidation>
  </dataValidations>
  <pageMargins left="0.25" right="0.25" top="0.75" bottom="0.75" header="0.3" footer="0.3"/>
  <pageSetup paperSize="9" scale="55" fitToHeight="4" orientation="portrait" r:id="rId1"/>
  <headerFooter>
    <oddFooter>&amp;F</oddFooter>
  </headerFooter>
  <rowBreaks count="3" manualBreakCount="3">
    <brk id="60" max="7" man="1"/>
    <brk id="121" max="7" man="1"/>
    <brk id="183" max="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259"/>
  <sheetViews>
    <sheetView zoomScale="80" zoomScaleNormal="80" zoomScaleSheetLayoutView="100" workbookViewId="0">
      <selection activeCell="A7" sqref="A7:B7"/>
    </sheetView>
  </sheetViews>
  <sheetFormatPr defaultColWidth="9.109375" defaultRowHeight="15"/>
  <cols>
    <col min="1" max="1" width="7" style="160"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29" style="3" hidden="1" customWidth="1"/>
    <col min="10" max="10" width="45.6640625" style="3" hidden="1" customWidth="1"/>
    <col min="11" max="15" width="9.109375" style="3" hidden="1" customWidth="1"/>
    <col min="16" max="16" width="9.6640625" style="3" hidden="1" customWidth="1"/>
    <col min="17" max="17" width="9.109375" style="3" customWidth="1"/>
    <col min="18" max="16384" width="9.109375" style="3"/>
  </cols>
  <sheetData>
    <row r="1" spans="1:15" ht="15.6">
      <c r="A1" s="558" t="s">
        <v>89</v>
      </c>
      <c r="B1" s="559"/>
      <c r="C1" s="559"/>
      <c r="D1" s="559"/>
      <c r="E1" s="559"/>
      <c r="F1" s="559"/>
      <c r="G1" s="559"/>
      <c r="H1" s="560"/>
      <c r="J1" s="3" t="s">
        <v>40</v>
      </c>
    </row>
    <row r="2" spans="1:15">
      <c r="A2" s="561"/>
      <c r="B2" s="264"/>
      <c r="C2" s="264"/>
      <c r="D2" s="264"/>
      <c r="E2" s="264"/>
      <c r="F2" s="264"/>
      <c r="G2" s="265"/>
      <c r="H2" s="562"/>
      <c r="I2" s="6"/>
      <c r="J2" s="6" t="s">
        <v>384</v>
      </c>
    </row>
    <row r="3" spans="1:15" ht="15.6">
      <c r="A3" s="563" t="s">
        <v>336</v>
      </c>
      <c r="B3" s="264"/>
      <c r="C3" s="264"/>
      <c r="D3" s="331" t="s">
        <v>134</v>
      </c>
      <c r="E3" s="331" t="s">
        <v>135</v>
      </c>
      <c r="F3" s="331" t="s">
        <v>136</v>
      </c>
      <c r="G3" s="289" t="s">
        <v>104</v>
      </c>
      <c r="H3" s="564" t="s">
        <v>62</v>
      </c>
      <c r="I3" s="6"/>
      <c r="J3" s="6" t="s">
        <v>44</v>
      </c>
    </row>
    <row r="4" spans="1:15" ht="15.6">
      <c r="A4" s="966">
        <f>Summary!A6</f>
        <v>0</v>
      </c>
      <c r="B4" s="967"/>
      <c r="C4" s="264"/>
      <c r="D4" s="74">
        <f>H89</f>
        <v>0</v>
      </c>
      <c r="E4" s="154">
        <f>H192</f>
        <v>0</v>
      </c>
      <c r="F4" s="129">
        <f>H229</f>
        <v>0</v>
      </c>
      <c r="G4" s="138">
        <f>H243</f>
        <v>0</v>
      </c>
      <c r="H4" s="565">
        <f>H245</f>
        <v>0</v>
      </c>
      <c r="I4" s="6"/>
      <c r="J4" s="6" t="s">
        <v>15</v>
      </c>
    </row>
    <row r="5" spans="1:15">
      <c r="A5" s="561"/>
      <c r="B5" s="264"/>
      <c r="C5" s="264"/>
      <c r="D5" s="264"/>
      <c r="E5" s="264"/>
      <c r="F5" s="264"/>
      <c r="G5" s="265"/>
      <c r="H5" s="562"/>
      <c r="I5" s="6"/>
      <c r="J5" s="6" t="s">
        <v>16</v>
      </c>
    </row>
    <row r="6" spans="1:15" s="4" customFormat="1" ht="15.6">
      <c r="A6" s="563" t="s">
        <v>90</v>
      </c>
      <c r="B6" s="296"/>
      <c r="C6" s="296"/>
      <c r="D6" s="297" t="s">
        <v>35</v>
      </c>
      <c r="E6" s="264"/>
      <c r="F6" s="264"/>
      <c r="G6" s="265"/>
      <c r="H6" s="562"/>
      <c r="I6" s="6"/>
      <c r="J6" s="6" t="s">
        <v>383</v>
      </c>
      <c r="K6" s="3"/>
      <c r="L6" s="3"/>
      <c r="M6" s="3"/>
    </row>
    <row r="7" spans="1:15" ht="15.75" customHeight="1">
      <c r="A7" s="976" t="s">
        <v>384</v>
      </c>
      <c r="B7" s="977"/>
      <c r="D7" s="761">
        <f>Summary!A99</f>
        <v>0</v>
      </c>
      <c r="E7" s="779"/>
      <c r="F7" s="779"/>
      <c r="G7" s="780"/>
      <c r="H7" s="566"/>
      <c r="I7" s="29"/>
      <c r="J7" s="29" t="s">
        <v>382</v>
      </c>
    </row>
    <row r="8" spans="1:15" ht="15.6" thickBot="1">
      <c r="A8" s="561"/>
      <c r="B8" s="298"/>
      <c r="C8" s="264"/>
      <c r="D8" s="264"/>
      <c r="E8" s="264"/>
      <c r="F8" s="264"/>
      <c r="G8" s="265"/>
      <c r="H8" s="562"/>
    </row>
    <row r="9" spans="1:15" ht="16.2" thickBot="1">
      <c r="A9" s="567" t="s">
        <v>125</v>
      </c>
      <c r="B9" s="140"/>
      <c r="C9" s="140"/>
      <c r="D9" s="140"/>
      <c r="E9" s="140"/>
      <c r="F9" s="141"/>
      <c r="G9" s="16"/>
      <c r="H9" s="568"/>
    </row>
    <row r="10" spans="1:15">
      <c r="A10" s="561"/>
      <c r="B10" s="299"/>
      <c r="C10" s="264"/>
      <c r="D10" s="264"/>
      <c r="E10" s="264"/>
      <c r="F10" s="264"/>
      <c r="G10" s="265"/>
      <c r="H10" s="562"/>
    </row>
    <row r="11" spans="1:15" ht="15.75" customHeight="1">
      <c r="A11" s="905" t="s">
        <v>0</v>
      </c>
      <c r="B11" s="906"/>
      <c r="C11" s="144"/>
      <c r="D11" s="883" t="s">
        <v>4</v>
      </c>
      <c r="E11" s="882" t="s">
        <v>80</v>
      </c>
      <c r="F11" s="882" t="s">
        <v>21</v>
      </c>
      <c r="G11" s="300"/>
      <c r="H11" s="569"/>
    </row>
    <row r="12" spans="1:15" ht="15.75" customHeight="1">
      <c r="A12" s="907"/>
      <c r="B12" s="908"/>
      <c r="C12" s="145"/>
      <c r="D12" s="884"/>
      <c r="E12" s="882"/>
      <c r="F12" s="882"/>
      <c r="G12" s="300"/>
      <c r="H12" s="569"/>
    </row>
    <row r="13" spans="1:15" s="29" customFormat="1" ht="15.6">
      <c r="A13" s="570" t="s">
        <v>127</v>
      </c>
      <c r="B13" s="167"/>
      <c r="C13" s="167"/>
      <c r="D13" s="167"/>
      <c r="E13" s="170"/>
      <c r="F13" s="170"/>
      <c r="G13" s="301"/>
      <c r="H13" s="571"/>
      <c r="N13" s="44"/>
      <c r="O13" s="44"/>
    </row>
    <row r="14" spans="1:15">
      <c r="A14" s="572">
        <v>1</v>
      </c>
      <c r="B14" s="826" t="s">
        <v>268</v>
      </c>
      <c r="C14" s="827"/>
      <c r="D14" s="511" t="s">
        <v>2</v>
      </c>
      <c r="E14" s="512" t="s">
        <v>49</v>
      </c>
      <c r="F14" s="30"/>
      <c r="G14" s="573" t="str">
        <f>IF(F14&lt;65%,"To comply with min. 65%"," ")</f>
        <v>To comply with min. 65%</v>
      </c>
      <c r="H14" s="574"/>
    </row>
    <row r="15" spans="1:15">
      <c r="A15" s="575">
        <v>2</v>
      </c>
      <c r="B15" s="826" t="s">
        <v>590</v>
      </c>
      <c r="C15" s="827"/>
      <c r="D15" s="513" t="s">
        <v>50</v>
      </c>
      <c r="E15" s="514" t="s">
        <v>49</v>
      </c>
      <c r="F15" s="553"/>
      <c r="G15" s="573" t="str">
        <f>IF(F15&lt;80%,"To comply with min. 80%"," ")</f>
        <v>To comply with min. 80%</v>
      </c>
      <c r="H15" s="562"/>
    </row>
    <row r="16" spans="1:15" ht="15" customHeight="1">
      <c r="A16" s="572">
        <v>3</v>
      </c>
      <c r="B16" s="826" t="s">
        <v>589</v>
      </c>
      <c r="C16" s="827"/>
      <c r="D16" s="513" t="s">
        <v>50</v>
      </c>
      <c r="E16" s="514" t="s">
        <v>49</v>
      </c>
      <c r="F16" s="553"/>
      <c r="G16" s="573" t="str">
        <f>IF(F16&lt;80%,"To comply with min. 80%"," ")</f>
        <v>To comply with min. 80%</v>
      </c>
      <c r="H16" s="569"/>
    </row>
    <row r="17" spans="1:18">
      <c r="A17" s="572">
        <v>4</v>
      </c>
      <c r="B17" s="826" t="s">
        <v>591</v>
      </c>
      <c r="C17" s="827"/>
      <c r="D17" s="515" t="s">
        <v>3</v>
      </c>
      <c r="E17" s="514" t="s">
        <v>49</v>
      </c>
      <c r="F17" s="553"/>
      <c r="G17" s="573" t="str">
        <f>IF(F17&lt;65%,"To comply with min. 65%"," ")</f>
        <v>To comply with min. 65%</v>
      </c>
      <c r="H17" s="569"/>
    </row>
    <row r="18" spans="1:18" s="29" customFormat="1" ht="15.6">
      <c r="A18" s="576" t="s">
        <v>126</v>
      </c>
      <c r="B18" s="167"/>
      <c r="C18" s="167"/>
      <c r="D18" s="167"/>
      <c r="E18" s="168"/>
      <c r="F18" s="169"/>
      <c r="G18" s="534"/>
      <c r="H18" s="571"/>
      <c r="J18" s="10"/>
      <c r="N18" s="44"/>
      <c r="O18" s="44"/>
    </row>
    <row r="19" spans="1:18" ht="32.25" customHeight="1">
      <c r="A19" s="577">
        <v>5</v>
      </c>
      <c r="B19" s="886" t="s">
        <v>269</v>
      </c>
      <c r="C19" s="887"/>
      <c r="D19" s="143" t="s">
        <v>3</v>
      </c>
      <c r="E19" s="537"/>
      <c r="F19" s="31">
        <f>IFERROR(E19/$F$120,0)</f>
        <v>0</v>
      </c>
      <c r="G19" s="573" t="str">
        <f>IF(OR($A$7=$J$2,$A$7=$J$3),IF(E19=0,"Please input wall length"," ")," ")</f>
        <v>Please input wall length</v>
      </c>
      <c r="H19" s="569"/>
    </row>
    <row r="20" spans="1:18">
      <c r="A20" s="577" t="s">
        <v>509</v>
      </c>
      <c r="B20" s="826" t="s">
        <v>270</v>
      </c>
      <c r="C20" s="827"/>
      <c r="D20" s="516" t="s">
        <v>50</v>
      </c>
      <c r="E20" s="514" t="s">
        <v>49</v>
      </c>
      <c r="F20" s="30"/>
      <c r="G20" s="573" t="str">
        <f>IF(OR($A$7=$J$2,$A$7=$J$3),IF(F20&lt;65%,"To comply with min. 65%"," ")," ")</f>
        <v>To comply with min. 65%</v>
      </c>
      <c r="H20" s="569"/>
    </row>
    <row r="21" spans="1:18">
      <c r="A21" s="577" t="s">
        <v>510</v>
      </c>
      <c r="B21" s="826" t="s">
        <v>592</v>
      </c>
      <c r="C21" s="827"/>
      <c r="D21" s="516" t="s">
        <v>50</v>
      </c>
      <c r="E21" s="514" t="s">
        <v>49</v>
      </c>
      <c r="F21" s="30"/>
      <c r="G21" s="573" t="str">
        <f>IF(OR($A$7=$J$2,$A$7=$J$3),IF(F21&lt;60%,"To comply with min. 60%"," ")," ")</f>
        <v>To comply with min. 60%</v>
      </c>
      <c r="H21" s="569"/>
    </row>
    <row r="22" spans="1:18">
      <c r="A22" s="577" t="s">
        <v>511</v>
      </c>
      <c r="B22" s="826" t="s">
        <v>593</v>
      </c>
      <c r="C22" s="827"/>
      <c r="D22" s="516" t="s">
        <v>50</v>
      </c>
      <c r="E22" s="514" t="s">
        <v>49</v>
      </c>
      <c r="F22" s="30"/>
      <c r="G22" s="573" t="str">
        <f>IF(OR($A$7=$J$2,$A$7=$J$3),IF(F22&lt;65%,"To comply with min. 65%"," ")," ")</f>
        <v>To comply with min. 65%</v>
      </c>
      <c r="H22" s="569"/>
    </row>
    <row r="23" spans="1:18">
      <c r="A23" s="577" t="s">
        <v>512</v>
      </c>
      <c r="B23" s="826" t="s">
        <v>594</v>
      </c>
      <c r="C23" s="827"/>
      <c r="D23" s="516" t="s">
        <v>50</v>
      </c>
      <c r="E23" s="514" t="s">
        <v>49</v>
      </c>
      <c r="F23" s="30"/>
      <c r="G23" s="573" t="str">
        <f>IF(OR($A$7=$J$2,$A$7=$J$3),IF(F23&lt;60%,"To comply with min. 60%"," ")," ")</f>
        <v>To comply with min. 60%</v>
      </c>
      <c r="H23" s="569"/>
    </row>
    <row r="24" spans="1:18">
      <c r="A24" s="577" t="s">
        <v>283</v>
      </c>
      <c r="B24" s="826" t="s">
        <v>595</v>
      </c>
      <c r="C24" s="827"/>
      <c r="D24" s="513" t="s">
        <v>50</v>
      </c>
      <c r="E24" s="514" t="s">
        <v>49</v>
      </c>
      <c r="F24" s="553"/>
      <c r="G24" s="573" t="str">
        <f>IF(OR($A$7=$J$2,$A$7=$J$3),IF(F24&lt;65%,"To comply with min. 65%"," ")," ")</f>
        <v>To comply with min. 65%</v>
      </c>
      <c r="H24" s="569"/>
    </row>
    <row r="25" spans="1:18">
      <c r="A25" s="577" t="s">
        <v>513</v>
      </c>
      <c r="B25" s="826" t="s">
        <v>596</v>
      </c>
      <c r="C25" s="827"/>
      <c r="D25" s="513" t="s">
        <v>50</v>
      </c>
      <c r="E25" s="514" t="s">
        <v>49</v>
      </c>
      <c r="F25" s="553"/>
      <c r="G25" s="573" t="str">
        <f>IF(OR($A$7=$J$2,$A$7=$J$3),IF(F25&lt;80%,"To comply with min. 80%"," ")," ")</f>
        <v>To comply with min. 80%</v>
      </c>
      <c r="H25" s="569"/>
    </row>
    <row r="26" spans="1:18">
      <c r="A26" s="561"/>
      <c r="B26" s="264"/>
      <c r="C26" s="264"/>
      <c r="D26" s="264"/>
      <c r="E26" s="264"/>
      <c r="F26" s="264"/>
      <c r="G26" s="265"/>
      <c r="H26" s="562"/>
      <c r="J26" s="6"/>
    </row>
    <row r="27" spans="1:18" ht="15.6">
      <c r="A27" s="578" t="s">
        <v>43</v>
      </c>
      <c r="B27" s="157"/>
      <c r="C27" s="157"/>
      <c r="D27" s="157"/>
      <c r="E27" s="157"/>
      <c r="F27" s="158" t="s">
        <v>42</v>
      </c>
      <c r="G27" s="159">
        <f>VLOOKUP($A$7,'Manpower allocation'!A4:D11,2,FALSE)*100</f>
        <v>45</v>
      </c>
      <c r="H27" s="579" t="s">
        <v>41</v>
      </c>
      <c r="I27" s="365">
        <f>VLOOKUP($A$7,'Manpower allocation'!A4:D11,2,FALSE)*100</f>
        <v>45</v>
      </c>
      <c r="J27" s="6"/>
    </row>
    <row r="28" spans="1:18" ht="15.6">
      <c r="A28" s="561"/>
      <c r="B28" s="302"/>
      <c r="C28" s="303"/>
      <c r="D28" s="264"/>
      <c r="E28" s="264"/>
      <c r="F28" s="264"/>
      <c r="G28" s="265"/>
      <c r="H28" s="562"/>
      <c r="J28" s="6"/>
    </row>
    <row r="29" spans="1:18" s="29" customFormat="1" ht="46.8">
      <c r="A29" s="580" t="s">
        <v>0</v>
      </c>
      <c r="B29" s="40"/>
      <c r="C29" s="40"/>
      <c r="D29" s="41"/>
      <c r="E29" s="42" t="s">
        <v>17</v>
      </c>
      <c r="F29" s="42" t="s">
        <v>113</v>
      </c>
      <c r="G29" s="42" t="s">
        <v>18</v>
      </c>
      <c r="H29" s="42" t="s">
        <v>52</v>
      </c>
      <c r="J29" s="43"/>
      <c r="Q29" s="44"/>
      <c r="R29" s="44"/>
    </row>
    <row r="30" spans="1:18" s="29" customFormat="1" ht="15.6">
      <c r="A30" s="581" t="s">
        <v>187</v>
      </c>
      <c r="B30" s="45" t="s">
        <v>203</v>
      </c>
      <c r="C30" s="46"/>
      <c r="D30" s="46"/>
      <c r="E30" s="47"/>
      <c r="F30" s="47"/>
      <c r="G30" s="47"/>
      <c r="H30" s="582"/>
      <c r="Q30" s="44"/>
      <c r="R30" s="44"/>
    </row>
    <row r="31" spans="1:18" s="29" customFormat="1" ht="15.6">
      <c r="A31" s="583">
        <v>1</v>
      </c>
      <c r="B31" s="39" t="s">
        <v>304</v>
      </c>
      <c r="C31" s="40"/>
      <c r="D31" s="48"/>
      <c r="E31" s="40"/>
      <c r="F31" s="49"/>
      <c r="G31" s="49"/>
      <c r="H31" s="584"/>
      <c r="Q31" s="44"/>
      <c r="R31" s="44"/>
    </row>
    <row r="32" spans="1:18" s="29" customFormat="1">
      <c r="A32" s="918">
        <v>1.1000000000000001</v>
      </c>
      <c r="B32" s="836" t="s">
        <v>271</v>
      </c>
      <c r="C32" s="885"/>
      <c r="D32" s="885"/>
      <c r="E32" s="811">
        <f>VLOOKUP(A32,'Point Allocation'!$A$5:$J$15,MATCH(A7,'Point Allocation'!$A$5:$J$5,0),0)</f>
        <v>45</v>
      </c>
      <c r="F32" s="812"/>
      <c r="G32" s="813">
        <f>IFERROR(F32/$F$59,0)</f>
        <v>0</v>
      </c>
      <c r="H32" s="811">
        <f>E32*G32</f>
        <v>0</v>
      </c>
      <c r="Q32" s="44"/>
      <c r="R32" s="44"/>
    </row>
    <row r="33" spans="1:18" s="29" customFormat="1" ht="15.6">
      <c r="A33" s="919"/>
      <c r="B33" s="810" t="s">
        <v>358</v>
      </c>
      <c r="C33" s="810"/>
      <c r="D33" s="810"/>
      <c r="E33" s="811"/>
      <c r="F33" s="812"/>
      <c r="G33" s="813">
        <f t="shared" ref="G33" si="0">IFERROR(F33/$F$59,0)</f>
        <v>0</v>
      </c>
      <c r="H33" s="811"/>
      <c r="Q33" s="44"/>
      <c r="R33" s="44"/>
    </row>
    <row r="34" spans="1:18" s="29" customFormat="1" ht="15.6">
      <c r="A34" s="583">
        <v>2</v>
      </c>
      <c r="B34" s="39" t="s">
        <v>305</v>
      </c>
      <c r="C34" s="50"/>
      <c r="D34" s="48"/>
      <c r="E34" s="51"/>
      <c r="F34" s="8"/>
      <c r="G34" s="22"/>
      <c r="H34" s="585"/>
      <c r="Q34" s="52"/>
      <c r="R34" s="44"/>
    </row>
    <row r="35" spans="1:18" s="29" customFormat="1">
      <c r="A35" s="586">
        <v>2.1</v>
      </c>
      <c r="B35" s="858" t="s">
        <v>192</v>
      </c>
      <c r="C35" s="859"/>
      <c r="D35" s="840"/>
      <c r="E35" s="20">
        <f>VLOOKUP(A35,'Point Allocation'!$A$5:$J$15,MATCH(A7,'Point Allocation'!$A$5:$J$5,0),0)</f>
        <v>42</v>
      </c>
      <c r="F35" s="537"/>
      <c r="G35" s="31">
        <f>IFERROR(F35/$F$59,0)</f>
        <v>0</v>
      </c>
      <c r="H35" s="20">
        <f>E35*G35</f>
        <v>0</v>
      </c>
      <c r="Q35" s="52"/>
      <c r="R35" s="44"/>
    </row>
    <row r="36" spans="1:18" s="29" customFormat="1" ht="15.6">
      <c r="A36" s="583">
        <v>3</v>
      </c>
      <c r="B36" s="39" t="s">
        <v>306</v>
      </c>
      <c r="C36" s="50"/>
      <c r="D36" s="48"/>
      <c r="E36" s="51"/>
      <c r="F36" s="8"/>
      <c r="G36" s="22"/>
      <c r="H36" s="585"/>
      <c r="Q36" s="52"/>
      <c r="R36" s="44"/>
    </row>
    <row r="37" spans="1:18" s="29" customFormat="1" ht="15" customHeight="1">
      <c r="A37" s="586">
        <v>3.1</v>
      </c>
      <c r="B37" s="858" t="s">
        <v>640</v>
      </c>
      <c r="C37" s="859"/>
      <c r="D37" s="840"/>
      <c r="E37" s="20">
        <f>VLOOKUP(A37,'Point Allocation'!$A$5:$J$15,MATCH(A7,'Point Allocation'!$A$5:$J$5,0),0)</f>
        <v>39</v>
      </c>
      <c r="F37" s="37"/>
      <c r="G37" s="31">
        <f>IFERROR(F37/$F$59,0)</f>
        <v>0</v>
      </c>
      <c r="H37" s="546">
        <f>E37*G37</f>
        <v>0</v>
      </c>
      <c r="Q37" s="52"/>
      <c r="R37" s="44"/>
    </row>
    <row r="38" spans="1:18" s="29" customFormat="1" ht="31.5" customHeight="1">
      <c r="A38" s="909">
        <v>3.2</v>
      </c>
      <c r="B38" s="863" t="s">
        <v>296</v>
      </c>
      <c r="C38" s="911"/>
      <c r="D38" s="864"/>
      <c r="E38" s="828">
        <f>VLOOKUP(A38,'Point Allocation'!$A$5:$J$15,MATCH(A7,'Point Allocation'!$A$5:$J$5,0),0)</f>
        <v>39</v>
      </c>
      <c r="F38" s="37"/>
      <c r="G38" s="31">
        <f>IFERROR(F38/$F$59,0)</f>
        <v>0</v>
      </c>
      <c r="H38" s="828">
        <f>IF(SUM(I40:I45)&gt;=4,E38*G38,0)</f>
        <v>0</v>
      </c>
      <c r="Q38" s="52"/>
      <c r="R38" s="44"/>
    </row>
    <row r="39" spans="1:18" s="29" customFormat="1" ht="46.95" customHeight="1">
      <c r="A39" s="910"/>
      <c r="B39" s="912"/>
      <c r="C39" s="913"/>
      <c r="D39" s="914"/>
      <c r="E39" s="829"/>
      <c r="F39" s="521" t="s">
        <v>601</v>
      </c>
      <c r="G39" s="53" t="s">
        <v>116</v>
      </c>
      <c r="H39" s="829"/>
      <c r="Q39" s="52"/>
      <c r="R39" s="44"/>
    </row>
    <row r="40" spans="1:18" s="29" customFormat="1" ht="112.2" customHeight="1">
      <c r="A40" s="587" t="s">
        <v>181</v>
      </c>
      <c r="B40" s="830" t="s">
        <v>323</v>
      </c>
      <c r="C40" s="831"/>
      <c r="D40" s="832"/>
      <c r="E40" s="900"/>
      <c r="F40" s="536" t="s">
        <v>609</v>
      </c>
      <c r="G40" s="552"/>
      <c r="H40" s="889"/>
      <c r="I40" s="54">
        <f t="shared" ref="I40:I45" si="1">IF(G40&gt;=65%,1,0)</f>
        <v>0</v>
      </c>
      <c r="Q40" s="52"/>
      <c r="R40" s="44"/>
    </row>
    <row r="41" spans="1:18" s="29" customFormat="1" ht="63" customHeight="1">
      <c r="A41" s="587" t="s">
        <v>182</v>
      </c>
      <c r="B41" s="833" t="s">
        <v>204</v>
      </c>
      <c r="C41" s="834"/>
      <c r="D41" s="835"/>
      <c r="E41" s="900"/>
      <c r="F41" s="483" t="s">
        <v>598</v>
      </c>
      <c r="G41" s="553"/>
      <c r="H41" s="889"/>
      <c r="I41" s="54">
        <f t="shared" si="1"/>
        <v>0</v>
      </c>
      <c r="Q41" s="52"/>
      <c r="R41" s="44"/>
    </row>
    <row r="42" spans="1:18" s="29" customFormat="1" ht="48.75" customHeight="1">
      <c r="A42" s="587" t="s">
        <v>190</v>
      </c>
      <c r="B42" s="833" t="s">
        <v>205</v>
      </c>
      <c r="C42" s="834"/>
      <c r="D42" s="835"/>
      <c r="E42" s="900"/>
      <c r="F42" s="483" t="s">
        <v>611</v>
      </c>
      <c r="G42" s="553"/>
      <c r="H42" s="889"/>
      <c r="I42" s="54">
        <f t="shared" si="1"/>
        <v>0</v>
      </c>
      <c r="Q42" s="52"/>
      <c r="R42" s="44"/>
    </row>
    <row r="43" spans="1:18" s="29" customFormat="1" ht="45">
      <c r="A43" s="587" t="s">
        <v>183</v>
      </c>
      <c r="B43" s="833" t="s">
        <v>206</v>
      </c>
      <c r="C43" s="834"/>
      <c r="D43" s="835"/>
      <c r="E43" s="900"/>
      <c r="F43" s="483" t="s">
        <v>597</v>
      </c>
      <c r="G43" s="553"/>
      <c r="H43" s="889"/>
      <c r="I43" s="54">
        <f t="shared" si="1"/>
        <v>0</v>
      </c>
      <c r="Q43" s="52"/>
      <c r="R43" s="44"/>
    </row>
    <row r="44" spans="1:18" s="29" customFormat="1" ht="63" customHeight="1">
      <c r="A44" s="587" t="s">
        <v>191</v>
      </c>
      <c r="B44" s="833" t="s">
        <v>207</v>
      </c>
      <c r="C44" s="834"/>
      <c r="D44" s="835"/>
      <c r="E44" s="900"/>
      <c r="F44" s="483" t="s">
        <v>599</v>
      </c>
      <c r="G44" s="553"/>
      <c r="H44" s="889"/>
      <c r="I44" s="54">
        <f t="shared" si="1"/>
        <v>0</v>
      </c>
      <c r="Q44" s="52"/>
      <c r="R44" s="44"/>
    </row>
    <row r="45" spans="1:18" s="29" customFormat="1" ht="31.5" customHeight="1">
      <c r="A45" s="587" t="s">
        <v>184</v>
      </c>
      <c r="B45" s="915" t="s">
        <v>610</v>
      </c>
      <c r="C45" s="916"/>
      <c r="D45" s="886"/>
      <c r="E45" s="901"/>
      <c r="F45" s="483" t="s">
        <v>600</v>
      </c>
      <c r="G45" s="553"/>
      <c r="H45" s="829"/>
      <c r="I45" s="54">
        <f t="shared" si="1"/>
        <v>0</v>
      </c>
      <c r="Q45" s="52"/>
      <c r="R45" s="44"/>
    </row>
    <row r="46" spans="1:18" s="29" customFormat="1" ht="15.6">
      <c r="A46" s="583" t="s">
        <v>185</v>
      </c>
      <c r="B46" s="39" t="s">
        <v>307</v>
      </c>
      <c r="C46" s="55"/>
      <c r="D46" s="48"/>
      <c r="E46" s="51"/>
      <c r="F46" s="36"/>
      <c r="G46" s="23"/>
      <c r="H46" s="588"/>
      <c r="Q46" s="52"/>
      <c r="R46" s="44"/>
    </row>
    <row r="47" spans="1:18" s="29" customFormat="1" ht="31.5" customHeight="1">
      <c r="A47" s="543">
        <v>4.0999999999999996</v>
      </c>
      <c r="B47" s="858" t="s">
        <v>602</v>
      </c>
      <c r="C47" s="859"/>
      <c r="D47" s="840"/>
      <c r="E47" s="20">
        <f>VLOOKUP(A47,'Point Allocation'!$A$5:$J$15,MATCH(A7,'Point Allocation'!$A$5:$J$5,0),0)</f>
        <v>35</v>
      </c>
      <c r="F47" s="537"/>
      <c r="G47" s="31">
        <f>IFERROR(F47/$F$59,0)</f>
        <v>0</v>
      </c>
      <c r="H47" s="20">
        <f>E47*G47</f>
        <v>0</v>
      </c>
      <c r="Q47" s="52"/>
      <c r="R47" s="44"/>
    </row>
    <row r="48" spans="1:18" s="29" customFormat="1">
      <c r="A48" s="589">
        <v>4.2</v>
      </c>
      <c r="B48" s="825" t="s">
        <v>313</v>
      </c>
      <c r="C48" s="826"/>
      <c r="D48" s="827"/>
      <c r="E48" s="20">
        <f>VLOOKUP(A48,'Point Allocation'!$A$5:$J$15,MATCH(A7,'Point Allocation'!$A$5:$J$5,0),0)</f>
        <v>35</v>
      </c>
      <c r="F48" s="537"/>
      <c r="G48" s="31">
        <f>IFERROR(F48/$F$59,0)</f>
        <v>0</v>
      </c>
      <c r="H48" s="20">
        <f>E48*G48</f>
        <v>0</v>
      </c>
      <c r="Q48" s="52"/>
      <c r="R48" s="44"/>
    </row>
    <row r="49" spans="1:18" s="29" customFormat="1">
      <c r="A49" s="589">
        <v>4.3</v>
      </c>
      <c r="B49" s="902" t="s">
        <v>311</v>
      </c>
      <c r="C49" s="903"/>
      <c r="D49" s="904"/>
      <c r="E49" s="20">
        <f>VLOOKUP(A49,'Point Allocation'!$A$5:$J$15,MATCH(A7,'Point Allocation'!$A$5:$J$5,0),0)</f>
        <v>28</v>
      </c>
      <c r="F49" s="537"/>
      <c r="G49" s="31">
        <f>IFERROR(F49/$F$59,0)</f>
        <v>0</v>
      </c>
      <c r="H49" s="20">
        <f>E49*G49</f>
        <v>0</v>
      </c>
      <c r="Q49" s="52"/>
      <c r="R49" s="44"/>
    </row>
    <row r="50" spans="1:18" s="29" customFormat="1">
      <c r="A50" s="543">
        <v>4.4000000000000004</v>
      </c>
      <c r="B50" s="858" t="s">
        <v>312</v>
      </c>
      <c r="C50" s="859"/>
      <c r="D50" s="840"/>
      <c r="E50" s="20">
        <f>VLOOKUP(A50,'Point Allocation'!$A$5:$J$15,MATCH(A7,'Point Allocation'!$A$5:$J$5,0),0)</f>
        <v>28</v>
      </c>
      <c r="F50" s="537"/>
      <c r="G50" s="31">
        <f>IFERROR(F50/$F$59,0)</f>
        <v>0</v>
      </c>
      <c r="H50" s="20">
        <f>E50*G50</f>
        <v>0</v>
      </c>
      <c r="Q50" s="52"/>
      <c r="R50" s="44"/>
    </row>
    <row r="51" spans="1:18" s="58" customFormat="1" ht="15.6">
      <c r="A51" s="581" t="s">
        <v>186</v>
      </c>
      <c r="B51" s="45" t="s">
        <v>200</v>
      </c>
      <c r="C51" s="56"/>
      <c r="D51" s="57"/>
      <c r="E51" s="7"/>
      <c r="F51" s="7"/>
      <c r="G51" s="24"/>
      <c r="H51" s="590"/>
      <c r="I51" s="29"/>
      <c r="J51" s="29"/>
      <c r="K51" s="29"/>
      <c r="L51" s="29"/>
      <c r="M51" s="29"/>
      <c r="Q51" s="59"/>
    </row>
    <row r="52" spans="1:18" s="58" customFormat="1" ht="15.6">
      <c r="A52" s="39">
        <v>5</v>
      </c>
      <c r="B52" s="39" t="s">
        <v>201</v>
      </c>
      <c r="C52" s="48"/>
      <c r="D52" s="48"/>
      <c r="E52" s="8"/>
      <c r="F52" s="8"/>
      <c r="G52" s="22"/>
      <c r="H52" s="588"/>
      <c r="I52" s="29"/>
      <c r="J52" s="29"/>
      <c r="K52" s="29"/>
      <c r="L52" s="29"/>
      <c r="M52" s="29"/>
      <c r="Q52" s="59"/>
    </row>
    <row r="53" spans="1:18" s="29" customFormat="1">
      <c r="A53" s="541">
        <v>5.0999999999999996</v>
      </c>
      <c r="B53" s="822" t="s">
        <v>193</v>
      </c>
      <c r="C53" s="823"/>
      <c r="D53" s="824"/>
      <c r="E53" s="20">
        <f>VLOOKUP(A53,'Point Allocation'!$A$5:$J$15,MATCH(A7,'Point Allocation'!$A$5:$J$5,0),0)</f>
        <v>22</v>
      </c>
      <c r="F53" s="537"/>
      <c r="G53" s="31">
        <f>IFERROR(F53/$F$59,0)</f>
        <v>0</v>
      </c>
      <c r="H53" s="20">
        <f>E53*G53</f>
        <v>0</v>
      </c>
      <c r="Q53" s="52"/>
      <c r="R53" s="44"/>
    </row>
    <row r="54" spans="1:18" s="29" customFormat="1">
      <c r="A54" s="541">
        <v>5.2</v>
      </c>
      <c r="B54" s="822" t="s">
        <v>142</v>
      </c>
      <c r="C54" s="823"/>
      <c r="D54" s="824"/>
      <c r="E54" s="20">
        <f>VLOOKUP(A54,'Point Allocation'!$A$5:$J$15,MATCH(A7,'Point Allocation'!$A$5:$J$5,0),0)</f>
        <v>10</v>
      </c>
      <c r="F54" s="537"/>
      <c r="G54" s="31">
        <f>IFERROR(F54/$F$59,0)</f>
        <v>0</v>
      </c>
      <c r="H54" s="20">
        <f>E54*G54</f>
        <v>0</v>
      </c>
      <c r="Q54" s="52"/>
      <c r="R54" s="44"/>
    </row>
    <row r="55" spans="1:18" s="29" customFormat="1" ht="15.6">
      <c r="A55" s="60">
        <v>6</v>
      </c>
      <c r="B55" s="60" t="s">
        <v>202</v>
      </c>
      <c r="C55" s="48"/>
      <c r="D55" s="48"/>
      <c r="E55" s="8"/>
      <c r="F55" s="8"/>
      <c r="G55" s="22"/>
      <c r="H55" s="588"/>
      <c r="Q55" s="52"/>
      <c r="R55" s="44"/>
    </row>
    <row r="56" spans="1:18" s="29" customFormat="1">
      <c r="A56" s="591">
        <v>6.1</v>
      </c>
      <c r="B56" s="762"/>
      <c r="C56" s="763"/>
      <c r="D56" s="803"/>
      <c r="E56" s="537"/>
      <c r="F56" s="537"/>
      <c r="G56" s="31">
        <f>IFERROR(F56/$F$59,0)</f>
        <v>0</v>
      </c>
      <c r="H56" s="20">
        <f>E56*G56</f>
        <v>0</v>
      </c>
      <c r="Q56" s="52"/>
      <c r="R56" s="44"/>
    </row>
    <row r="57" spans="1:18" s="29" customFormat="1">
      <c r="A57" s="591">
        <v>6.2</v>
      </c>
      <c r="B57" s="762"/>
      <c r="C57" s="763"/>
      <c r="D57" s="803"/>
      <c r="E57" s="537"/>
      <c r="F57" s="537"/>
      <c r="G57" s="31">
        <f>IFERROR(F57/$F$59,0)</f>
        <v>0</v>
      </c>
      <c r="H57" s="20">
        <f>E57*G57</f>
        <v>0</v>
      </c>
      <c r="Q57" s="52"/>
      <c r="R57" s="44"/>
    </row>
    <row r="58" spans="1:18" s="29" customFormat="1">
      <c r="A58" s="591">
        <v>6.3</v>
      </c>
      <c r="B58" s="762"/>
      <c r="C58" s="763"/>
      <c r="D58" s="803"/>
      <c r="E58" s="537"/>
      <c r="F58" s="537"/>
      <c r="G58" s="31">
        <f>IFERROR(F58/$F$59,0)</f>
        <v>0</v>
      </c>
      <c r="H58" s="20">
        <f>E58*G58</f>
        <v>0</v>
      </c>
      <c r="Q58" s="52"/>
      <c r="R58" s="44"/>
    </row>
    <row r="59" spans="1:18" s="29" customFormat="1" ht="15.6">
      <c r="A59" s="592"/>
      <c r="B59" s="304"/>
      <c r="C59" s="305"/>
      <c r="D59" s="305"/>
      <c r="E59" s="306" t="s">
        <v>60</v>
      </c>
      <c r="F59" s="26">
        <f>SUM(F32,F35,F37,F38,F47,F48,F49,F50,F53,F54,F56,F57,F58)</f>
        <v>0</v>
      </c>
      <c r="G59" s="25">
        <f>SUM(G32,G35:G35,G37:G38,G47:G50,G53:G54,G56:G58)</f>
        <v>0</v>
      </c>
      <c r="H59" s="593">
        <f>IFERROR(SUM(H32:H58),0)</f>
        <v>0</v>
      </c>
      <c r="M59" s="61"/>
      <c r="Q59" s="52"/>
      <c r="R59" s="44"/>
    </row>
    <row r="60" spans="1:18" s="29" customFormat="1" ht="15.6" thickBot="1">
      <c r="A60" s="594"/>
      <c r="B60" s="361"/>
      <c r="C60" s="362"/>
      <c r="D60" s="362"/>
      <c r="E60" s="362"/>
      <c r="F60" s="362"/>
      <c r="G60" s="354"/>
      <c r="H60" s="595"/>
      <c r="Q60" s="52"/>
      <c r="R60" s="44"/>
    </row>
    <row r="61" spans="1:18" s="29" customFormat="1" ht="15.6">
      <c r="A61" s="896" t="s">
        <v>0</v>
      </c>
      <c r="B61" s="897"/>
      <c r="C61" s="461"/>
      <c r="D61" s="892" t="s">
        <v>4</v>
      </c>
      <c r="E61" s="894" t="s">
        <v>1</v>
      </c>
      <c r="F61" s="895"/>
      <c r="G61" s="890" t="s">
        <v>21</v>
      </c>
      <c r="H61" s="892" t="s">
        <v>62</v>
      </c>
      <c r="Q61" s="52"/>
      <c r="R61" s="44"/>
    </row>
    <row r="62" spans="1:18" s="29" customFormat="1" ht="31.2">
      <c r="A62" s="898"/>
      <c r="B62" s="899"/>
      <c r="C62" s="62"/>
      <c r="D62" s="893"/>
      <c r="E62" s="42" t="s">
        <v>117</v>
      </c>
      <c r="F62" s="42" t="s">
        <v>118</v>
      </c>
      <c r="G62" s="891"/>
      <c r="H62" s="893"/>
      <c r="I62" s="63"/>
      <c r="Q62" s="52"/>
      <c r="R62" s="44"/>
    </row>
    <row r="63" spans="1:18" s="29" customFormat="1" ht="15.6">
      <c r="A63" s="45" t="s">
        <v>208</v>
      </c>
      <c r="B63" s="45" t="s">
        <v>139</v>
      </c>
      <c r="C63" s="57"/>
      <c r="D63" s="64"/>
      <c r="E63" s="47"/>
      <c r="F63" s="47"/>
      <c r="G63" s="47"/>
      <c r="H63" s="596"/>
      <c r="I63" s="61"/>
      <c r="J63" s="61"/>
      <c r="K63" s="61"/>
      <c r="L63" s="61"/>
      <c r="Q63" s="52"/>
      <c r="R63" s="44"/>
    </row>
    <row r="64" spans="1:18" s="29" customFormat="1" ht="15" customHeight="1">
      <c r="A64" s="597" t="s">
        <v>314</v>
      </c>
      <c r="B64" s="837" t="s">
        <v>647</v>
      </c>
      <c r="C64" s="838"/>
      <c r="D64" s="5" t="s">
        <v>50</v>
      </c>
      <c r="E64" s="9">
        <v>3</v>
      </c>
      <c r="F64" s="9">
        <v>4</v>
      </c>
      <c r="G64" s="30"/>
      <c r="H64" s="20">
        <f>IF(G64&gt;=80%,F64,IF(G64&lt;65%,0,E64))</f>
        <v>0</v>
      </c>
      <c r="Q64" s="52"/>
      <c r="R64" s="44"/>
    </row>
    <row r="65" spans="1:18" s="29" customFormat="1">
      <c r="A65" s="597" t="s">
        <v>315</v>
      </c>
      <c r="B65" s="837" t="s">
        <v>646</v>
      </c>
      <c r="C65" s="838"/>
      <c r="D65" s="5" t="s">
        <v>50</v>
      </c>
      <c r="E65" s="9">
        <v>3</v>
      </c>
      <c r="F65" s="9">
        <v>4</v>
      </c>
      <c r="G65" s="30"/>
      <c r="H65" s="20">
        <f>IF(G65&gt;=80%,F65,IF(G65&lt;65%,0,E65))</f>
        <v>0</v>
      </c>
      <c r="Q65" s="52"/>
      <c r="R65" s="44"/>
    </row>
    <row r="66" spans="1:18" s="29" customFormat="1">
      <c r="A66" s="598" t="s">
        <v>316</v>
      </c>
      <c r="B66" s="837" t="s">
        <v>641</v>
      </c>
      <c r="C66" s="838"/>
      <c r="D66" s="5" t="s">
        <v>50</v>
      </c>
      <c r="E66" s="9">
        <v>3</v>
      </c>
      <c r="F66" s="9">
        <v>4</v>
      </c>
      <c r="G66" s="30"/>
      <c r="H66" s="20">
        <f>IF(G66&gt;=80%,F66,IF(G66&lt;65%,0,E66))</f>
        <v>0</v>
      </c>
      <c r="Q66" s="52"/>
      <c r="R66" s="44"/>
    </row>
    <row r="67" spans="1:18" s="29" customFormat="1" ht="51" customHeight="1">
      <c r="A67" s="597">
        <v>7.2</v>
      </c>
      <c r="B67" s="841" t="s">
        <v>319</v>
      </c>
      <c r="C67" s="841"/>
      <c r="D67" s="385" t="s">
        <v>50</v>
      </c>
      <c r="E67" s="546">
        <v>2</v>
      </c>
      <c r="F67" s="546">
        <v>2.5</v>
      </c>
      <c r="G67" s="518"/>
      <c r="H67" s="546">
        <f>IF(H38&gt;0,0,IF(G67&gt;=80%,F67,IF(G67&lt;65%,0,E67)))</f>
        <v>0</v>
      </c>
      <c r="I67" s="11"/>
      <c r="J67" s="11"/>
      <c r="K67" s="11"/>
      <c r="Q67" s="52"/>
      <c r="R67" s="44"/>
    </row>
    <row r="68" spans="1:18" s="29" customFormat="1" ht="15" customHeight="1">
      <c r="A68" s="597">
        <v>7.3</v>
      </c>
      <c r="B68" s="858" t="s">
        <v>215</v>
      </c>
      <c r="C68" s="859"/>
      <c r="D68" s="353"/>
      <c r="E68" s="353"/>
      <c r="F68" s="353"/>
      <c r="G68" s="519"/>
      <c r="H68" s="599"/>
      <c r="I68" s="11"/>
      <c r="J68" s="11"/>
      <c r="K68" s="11"/>
      <c r="Q68" s="52"/>
      <c r="R68" s="44"/>
    </row>
    <row r="69" spans="1:18" s="29" customFormat="1" ht="32.25" customHeight="1">
      <c r="A69" s="598" t="s">
        <v>209</v>
      </c>
      <c r="B69" s="839" t="s">
        <v>216</v>
      </c>
      <c r="C69" s="840"/>
      <c r="D69" s="980" t="s">
        <v>50</v>
      </c>
      <c r="E69" s="279">
        <v>1</v>
      </c>
      <c r="F69" s="279">
        <v>1.5</v>
      </c>
      <c r="G69" s="553"/>
      <c r="H69" s="279">
        <f>IF(H32+H38&gt;0,0.5,IF(G69&gt;=80%,F69,IF(G69&lt;65%,0,E69)))</f>
        <v>0</v>
      </c>
      <c r="J69" s="11"/>
      <c r="K69" s="11"/>
      <c r="Q69" s="52"/>
      <c r="R69" s="44"/>
    </row>
    <row r="70" spans="1:18" s="29" customFormat="1" ht="47.25" customHeight="1">
      <c r="A70" s="598" t="s">
        <v>210</v>
      </c>
      <c r="B70" s="839" t="s">
        <v>217</v>
      </c>
      <c r="C70" s="840"/>
      <c r="D70" s="981"/>
      <c r="E70" s="279">
        <v>1</v>
      </c>
      <c r="F70" s="279">
        <v>1.5</v>
      </c>
      <c r="G70" s="553"/>
      <c r="H70" s="279">
        <f>IF(H32+H38&gt;0,0.5,IF(G70&gt;=80%,F70,IF(G70&lt;65%,0,E70)))</f>
        <v>0</v>
      </c>
      <c r="Q70" s="52"/>
      <c r="R70" s="44"/>
    </row>
    <row r="71" spans="1:18" s="29" customFormat="1">
      <c r="A71" s="598" t="s">
        <v>222</v>
      </c>
      <c r="B71" s="839" t="s">
        <v>218</v>
      </c>
      <c r="C71" s="840"/>
      <c r="D71" s="981"/>
      <c r="E71" s="279">
        <v>1</v>
      </c>
      <c r="F71" s="279">
        <v>1.5</v>
      </c>
      <c r="G71" s="553"/>
      <c r="H71" s="279">
        <f>IF(H32+H38&gt;0,0.5,IF(G71&gt;=80%,F71,IF(G71&lt;65%,0,E71)))</f>
        <v>0</v>
      </c>
      <c r="Q71" s="52"/>
      <c r="R71" s="44"/>
    </row>
    <row r="72" spans="1:18" s="29" customFormat="1" ht="46.5" customHeight="1">
      <c r="A72" s="598" t="s">
        <v>211</v>
      </c>
      <c r="B72" s="839" t="s">
        <v>219</v>
      </c>
      <c r="C72" s="840"/>
      <c r="D72" s="982"/>
      <c r="E72" s="279">
        <v>1</v>
      </c>
      <c r="F72" s="279">
        <v>1.5</v>
      </c>
      <c r="G72" s="553"/>
      <c r="H72" s="279">
        <f>IF(H32+H38&gt;0,0.5,IF(G72&gt;=80%,F72,IF(G72&lt;65%,0,E72)))</f>
        <v>0</v>
      </c>
      <c r="Q72" s="52"/>
      <c r="R72" s="44"/>
    </row>
    <row r="73" spans="1:18" s="29" customFormat="1">
      <c r="A73" s="597">
        <v>7.4</v>
      </c>
      <c r="B73" s="923" t="s">
        <v>393</v>
      </c>
      <c r="C73" s="923"/>
      <c r="D73" s="332" t="s">
        <v>2</v>
      </c>
      <c r="E73" s="279">
        <v>1</v>
      </c>
      <c r="F73" s="279">
        <v>1.5</v>
      </c>
      <c r="G73" s="553"/>
      <c r="H73" s="279">
        <f>IF(G73&gt;=80%,F73,IF(G73&lt;65%,0,E73))</f>
        <v>0</v>
      </c>
      <c r="Q73" s="52"/>
      <c r="R73" s="44"/>
    </row>
    <row r="74" spans="1:18" s="29" customFormat="1" ht="15" customHeight="1">
      <c r="A74" s="600">
        <v>7.5</v>
      </c>
      <c r="B74" s="928" t="s">
        <v>380</v>
      </c>
      <c r="C74" s="928"/>
      <c r="D74" s="490" t="s">
        <v>377</v>
      </c>
      <c r="E74" s="979">
        <v>2</v>
      </c>
      <c r="F74" s="979"/>
      <c r="G74" s="552"/>
      <c r="H74" s="557">
        <f>IF(G74&gt;=5%,E74,0)</f>
        <v>0</v>
      </c>
      <c r="Q74" s="52"/>
      <c r="R74" s="44"/>
    </row>
    <row r="75" spans="1:18" s="29" customFormat="1" ht="15.6">
      <c r="A75" s="66" t="s">
        <v>212</v>
      </c>
      <c r="B75" s="66" t="s">
        <v>517</v>
      </c>
      <c r="C75" s="67"/>
      <c r="D75" s="68"/>
      <c r="E75" s="69"/>
      <c r="F75" s="69"/>
      <c r="G75" s="69"/>
      <c r="H75" s="601"/>
      <c r="Q75" s="52"/>
      <c r="R75" s="44"/>
    </row>
    <row r="76" spans="1:18" s="29" customFormat="1">
      <c r="A76" s="597">
        <v>8.1</v>
      </c>
      <c r="B76" s="836" t="s">
        <v>220</v>
      </c>
      <c r="C76" s="836"/>
      <c r="D76" s="5" t="s">
        <v>50</v>
      </c>
      <c r="E76" s="20">
        <v>2</v>
      </c>
      <c r="F76" s="20">
        <v>2.5</v>
      </c>
      <c r="G76" s="553"/>
      <c r="H76" s="20">
        <f>IF(G76&gt;=80%,F76,IF(G76&lt;65%,0,E76))</f>
        <v>0</v>
      </c>
      <c r="I76" s="70"/>
      <c r="Q76" s="52"/>
      <c r="R76" s="44"/>
    </row>
    <row r="77" spans="1:18" s="29" customFormat="1">
      <c r="A77" s="597">
        <v>8.1999999999999993</v>
      </c>
      <c r="B77" s="836" t="s">
        <v>221</v>
      </c>
      <c r="C77" s="836"/>
      <c r="D77" s="5" t="s">
        <v>50</v>
      </c>
      <c r="E77" s="20">
        <v>2</v>
      </c>
      <c r="F77" s="20">
        <v>2.5</v>
      </c>
      <c r="G77" s="553"/>
      <c r="H77" s="20">
        <f>IF(G77&gt;=80%,F77,IF(G77&lt;65%,0,E77))</f>
        <v>0</v>
      </c>
      <c r="I77" s="11"/>
      <c r="J77" s="11"/>
      <c r="K77" s="11"/>
      <c r="Q77" s="52"/>
      <c r="R77" s="44"/>
    </row>
    <row r="78" spans="1:18" s="29" customFormat="1" ht="30.6" customHeight="1">
      <c r="A78" s="602">
        <v>8.3000000000000007</v>
      </c>
      <c r="B78" s="825" t="s">
        <v>607</v>
      </c>
      <c r="C78" s="827"/>
      <c r="D78" s="420" t="s">
        <v>50</v>
      </c>
      <c r="E78" s="434">
        <v>2</v>
      </c>
      <c r="F78" s="434">
        <v>2.5</v>
      </c>
      <c r="G78" s="553"/>
      <c r="H78" s="279">
        <f>IF(H76&gt;0,0,IF(G78&gt;=80%,F78,IF(G78&lt;65%,0,E78)))</f>
        <v>0</v>
      </c>
      <c r="I78" s="11"/>
      <c r="J78" s="11"/>
      <c r="K78" s="11"/>
      <c r="Q78" s="52"/>
      <c r="R78" s="44"/>
    </row>
    <row r="79" spans="1:18" s="29" customFormat="1">
      <c r="A79" s="602">
        <v>8.4</v>
      </c>
      <c r="B79" s="917" t="s">
        <v>138</v>
      </c>
      <c r="C79" s="843"/>
      <c r="D79" s="420" t="s">
        <v>2</v>
      </c>
      <c r="E79" s="434">
        <v>2</v>
      </c>
      <c r="F79" s="434">
        <v>2.5</v>
      </c>
      <c r="G79" s="30"/>
      <c r="H79" s="20">
        <f>IF(G79&gt;=80%,F79,IF(G79&lt;65%,0,E79))</f>
        <v>0</v>
      </c>
      <c r="Q79" s="52"/>
      <c r="R79" s="44"/>
    </row>
    <row r="80" spans="1:18" s="29" customFormat="1" ht="15.6">
      <c r="A80" s="66" t="s">
        <v>213</v>
      </c>
      <c r="B80" s="66" t="s">
        <v>518</v>
      </c>
      <c r="C80" s="67"/>
      <c r="D80" s="68"/>
      <c r="E80" s="69"/>
      <c r="F80" s="69"/>
      <c r="G80" s="69"/>
      <c r="H80" s="601"/>
      <c r="Q80" s="52"/>
      <c r="R80" s="44"/>
    </row>
    <row r="81" spans="1:18" s="29" customFormat="1" ht="31.5" customHeight="1">
      <c r="A81" s="602">
        <v>9.1</v>
      </c>
      <c r="B81" s="978" t="s">
        <v>514</v>
      </c>
      <c r="C81" s="978"/>
      <c r="D81" s="420" t="s">
        <v>50</v>
      </c>
      <c r="E81" s="434" t="s">
        <v>49</v>
      </c>
      <c r="F81" s="434">
        <v>2.5</v>
      </c>
      <c r="G81" s="517">
        <f>F21</f>
        <v>0</v>
      </c>
      <c r="H81" s="434">
        <f>IF(G81&gt;=80%,F81,0)</f>
        <v>0</v>
      </c>
      <c r="Q81" s="52"/>
      <c r="R81" s="44"/>
    </row>
    <row r="82" spans="1:18" s="29" customFormat="1" ht="31.5" customHeight="1">
      <c r="A82" s="602">
        <v>9.1999999999999993</v>
      </c>
      <c r="B82" s="825" t="s">
        <v>608</v>
      </c>
      <c r="C82" s="827"/>
      <c r="D82" s="420" t="s">
        <v>50</v>
      </c>
      <c r="E82" s="434">
        <v>2</v>
      </c>
      <c r="F82" s="434">
        <v>2.5</v>
      </c>
      <c r="G82" s="553"/>
      <c r="H82" s="279">
        <f>IF(G82&gt;=80%,F82,IF(G82&lt;65%,0,E82))</f>
        <v>0</v>
      </c>
      <c r="Q82" s="52"/>
      <c r="R82" s="44"/>
    </row>
    <row r="83" spans="1:18" s="29" customFormat="1" ht="15.6">
      <c r="A83" s="71" t="s">
        <v>214</v>
      </c>
      <c r="B83" s="71" t="s">
        <v>202</v>
      </c>
      <c r="C83" s="57"/>
      <c r="D83" s="57"/>
      <c r="E83" s="72"/>
      <c r="F83" s="72"/>
      <c r="G83" s="73"/>
      <c r="H83" s="603"/>
      <c r="Q83" s="52"/>
      <c r="R83" s="44"/>
    </row>
    <row r="84" spans="1:18" s="29" customFormat="1">
      <c r="A84" s="597">
        <v>10.1</v>
      </c>
      <c r="B84" s="776"/>
      <c r="C84" s="776"/>
      <c r="D84" s="520"/>
      <c r="E84" s="537"/>
      <c r="F84" s="537"/>
      <c r="G84" s="553"/>
      <c r="H84" s="20">
        <f>IF(G84&gt;=80%,F84,IF(G84&lt;65%,0,E84))</f>
        <v>0</v>
      </c>
      <c r="Q84" s="52"/>
      <c r="R84" s="44"/>
    </row>
    <row r="85" spans="1:18" s="29" customFormat="1">
      <c r="A85" s="597">
        <v>10.199999999999999</v>
      </c>
      <c r="B85" s="776"/>
      <c r="C85" s="776"/>
      <c r="D85" s="520"/>
      <c r="E85" s="537"/>
      <c r="F85" s="537"/>
      <c r="G85" s="553"/>
      <c r="H85" s="20">
        <f>IF(G85&gt;=80%,F85,IF(G85&lt;65%,0,E85))</f>
        <v>0</v>
      </c>
      <c r="Q85" s="52"/>
      <c r="R85" s="44"/>
    </row>
    <row r="86" spans="1:18" s="29" customFormat="1">
      <c r="A86" s="597">
        <v>10.3</v>
      </c>
      <c r="B86" s="776"/>
      <c r="C86" s="776"/>
      <c r="D86" s="520"/>
      <c r="E86" s="537"/>
      <c r="F86" s="537"/>
      <c r="G86" s="553"/>
      <c r="H86" s="20">
        <f>IF(G86&gt;=80%,F86,IF(G86&lt;65%,0,E86))</f>
        <v>0</v>
      </c>
      <c r="Q86" s="52"/>
      <c r="R86" s="44"/>
    </row>
    <row r="87" spans="1:18" s="29" customFormat="1" ht="15.6">
      <c r="A87" s="604"/>
      <c r="B87" s="307"/>
      <c r="C87" s="305"/>
      <c r="D87" s="305"/>
      <c r="E87" s="308"/>
      <c r="F87" s="309"/>
      <c r="G87" s="310" t="s">
        <v>375</v>
      </c>
      <c r="H87" s="605">
        <f>IFERROR((SUM(H64:H86)),0)</f>
        <v>0</v>
      </c>
      <c r="Q87" s="52"/>
      <c r="R87" s="44"/>
    </row>
    <row r="88" spans="1:18" s="29" customFormat="1">
      <c r="A88" s="592"/>
      <c r="B88" s="307"/>
      <c r="C88" s="305"/>
      <c r="D88" s="305"/>
      <c r="E88" s="305"/>
      <c r="F88" s="305"/>
      <c r="G88" s="311"/>
      <c r="H88" s="571"/>
      <c r="Q88" s="52"/>
      <c r="R88" s="44"/>
    </row>
    <row r="89" spans="1:18" s="29" customFormat="1" ht="15.6">
      <c r="A89" s="592"/>
      <c r="B89" s="307"/>
      <c r="C89" s="305"/>
      <c r="D89" s="305"/>
      <c r="E89" s="305"/>
      <c r="F89" s="305"/>
      <c r="G89" s="312" t="s">
        <v>128</v>
      </c>
      <c r="H89" s="74">
        <f>IFERROR(MIN(G27,H59+H87),0)</f>
        <v>0</v>
      </c>
      <c r="Q89" s="52"/>
      <c r="R89" s="44"/>
    </row>
    <row r="90" spans="1:18" s="29" customFormat="1" ht="16.2" thickBot="1">
      <c r="A90" s="594"/>
      <c r="B90" s="361"/>
      <c r="C90" s="362"/>
      <c r="D90" s="362"/>
      <c r="E90" s="362"/>
      <c r="F90" s="362"/>
      <c r="G90" s="364"/>
      <c r="H90" s="606"/>
      <c r="Q90" s="52"/>
      <c r="R90" s="44"/>
    </row>
    <row r="91" spans="1:18" s="29" customFormat="1" ht="15.6">
      <c r="A91" s="607" t="s">
        <v>51</v>
      </c>
      <c r="B91" s="358"/>
      <c r="C91" s="358"/>
      <c r="D91" s="358"/>
      <c r="E91" s="358"/>
      <c r="F91" s="359" t="s">
        <v>42</v>
      </c>
      <c r="G91" s="360">
        <f>VLOOKUP($A$7,'Manpower allocation'!A4:D11,3,FALSE)*100</f>
        <v>40</v>
      </c>
      <c r="H91" s="608" t="s">
        <v>41</v>
      </c>
      <c r="I91" s="75">
        <f>VLOOKUP($A$7,'Manpower allocation'!A4:D11,3,FALSE)*100</f>
        <v>40</v>
      </c>
      <c r="Q91" s="52"/>
      <c r="R91" s="44"/>
    </row>
    <row r="92" spans="1:18" s="29" customFormat="1" ht="15.6">
      <c r="A92" s="592"/>
      <c r="B92" s="313"/>
      <c r="C92" s="308"/>
      <c r="D92" s="305"/>
      <c r="E92" s="305"/>
      <c r="F92" s="305"/>
      <c r="G92" s="314"/>
      <c r="H92" s="571"/>
      <c r="Q92" s="52"/>
      <c r="R92" s="44"/>
    </row>
    <row r="93" spans="1:18" s="29" customFormat="1" ht="46.8">
      <c r="A93" s="609" t="s">
        <v>0</v>
      </c>
      <c r="B93" s="556"/>
      <c r="C93" s="156"/>
      <c r="D93" s="76"/>
      <c r="E93" s="77" t="s">
        <v>17</v>
      </c>
      <c r="F93" s="78" t="s">
        <v>80</v>
      </c>
      <c r="G93" s="78" t="s">
        <v>20</v>
      </c>
      <c r="H93" s="550" t="s">
        <v>52</v>
      </c>
      <c r="Q93" s="52"/>
      <c r="R93" s="44"/>
    </row>
    <row r="94" spans="1:18" s="29" customFormat="1" ht="15.6">
      <c r="A94" s="79" t="s">
        <v>280</v>
      </c>
      <c r="B94" s="79" t="s">
        <v>298</v>
      </c>
      <c r="C94" s="80"/>
      <c r="D94" s="80"/>
      <c r="E94" s="81"/>
      <c r="F94" s="81"/>
      <c r="G94" s="81"/>
      <c r="H94" s="610"/>
      <c r="Q94" s="52"/>
      <c r="R94" s="44"/>
    </row>
    <row r="95" spans="1:18" s="29" customFormat="1" ht="15.6">
      <c r="A95" s="82">
        <v>1</v>
      </c>
      <c r="B95" s="82" t="s">
        <v>304</v>
      </c>
      <c r="C95" s="83"/>
      <c r="D95" s="83"/>
      <c r="E95" s="84"/>
      <c r="F95" s="84"/>
      <c r="G95" s="84"/>
      <c r="H95" s="611"/>
      <c r="Q95" s="52"/>
      <c r="R95" s="44"/>
    </row>
    <row r="96" spans="1:18" s="29" customFormat="1">
      <c r="A96" s="597">
        <v>1.1000000000000001</v>
      </c>
      <c r="B96" s="858" t="s">
        <v>271</v>
      </c>
      <c r="C96" s="823"/>
      <c r="D96" s="824"/>
      <c r="E96" s="85">
        <f>VLOOKUP(A96,'Point Allocation'!$A$20:$J$41,MATCH(A7,'Point Allocation'!$A$20:$J$20,0),0)</f>
        <v>30</v>
      </c>
      <c r="F96" s="86"/>
      <c r="G96" s="87">
        <f>IFERROR(F96/$F$120,0)</f>
        <v>0</v>
      </c>
      <c r="H96" s="612">
        <f>E96*G96</f>
        <v>0</v>
      </c>
      <c r="Q96" s="44"/>
      <c r="R96" s="44"/>
    </row>
    <row r="97" spans="1:18" s="29" customFormat="1" ht="15.6">
      <c r="A97" s="88">
        <v>2</v>
      </c>
      <c r="B97" s="88" t="s">
        <v>305</v>
      </c>
      <c r="C97" s="89"/>
      <c r="D97" s="90"/>
      <c r="E97" s="90"/>
      <c r="F97" s="91"/>
      <c r="G97" s="92"/>
      <c r="H97" s="613"/>
      <c r="Q97" s="52"/>
      <c r="R97" s="44"/>
    </row>
    <row r="98" spans="1:18" s="29" customFormat="1">
      <c r="A98" s="814">
        <v>2.1</v>
      </c>
      <c r="B98" s="822" t="s">
        <v>196</v>
      </c>
      <c r="C98" s="823"/>
      <c r="D98" s="824"/>
      <c r="E98" s="819">
        <f>VLOOKUP(A98,'Point Allocation'!$A$20:$J$41,MATCH(A7,'Point Allocation'!$A$20:$J$20,0),0)</f>
        <v>28</v>
      </c>
      <c r="F98" s="820"/>
      <c r="G98" s="821">
        <f>IFERROR(F98/$F$120,0)</f>
        <v>0</v>
      </c>
      <c r="H98" s="819">
        <f>E98*G98</f>
        <v>0</v>
      </c>
      <c r="Q98" s="52"/>
      <c r="R98" s="44"/>
    </row>
    <row r="99" spans="1:18" s="29" customFormat="1" ht="15.6">
      <c r="A99" s="878"/>
      <c r="B99" s="816" t="s">
        <v>119</v>
      </c>
      <c r="C99" s="817"/>
      <c r="D99" s="818"/>
      <c r="E99" s="819"/>
      <c r="F99" s="820"/>
      <c r="G99" s="821"/>
      <c r="H99" s="819"/>
      <c r="Q99" s="52"/>
      <c r="R99" s="44"/>
    </row>
    <row r="100" spans="1:18" s="29" customFormat="1">
      <c r="A100" s="814">
        <v>2.2000000000000002</v>
      </c>
      <c r="B100" s="825" t="s">
        <v>606</v>
      </c>
      <c r="C100" s="826"/>
      <c r="D100" s="827"/>
      <c r="E100" s="819">
        <f>VLOOKUP(A100,'Point Allocation'!$A$20:$J$41,MATCH(A7,'Point Allocation'!$A$20:$J$20,0),0)</f>
        <v>28</v>
      </c>
      <c r="F100" s="820"/>
      <c r="G100" s="821">
        <f>IFERROR(F100/$F$120,0)</f>
        <v>0</v>
      </c>
      <c r="H100" s="819">
        <f>E100*G100</f>
        <v>0</v>
      </c>
      <c r="Q100" s="52"/>
      <c r="R100" s="44"/>
    </row>
    <row r="101" spans="1:18" s="29" customFormat="1" ht="15.6">
      <c r="A101" s="815"/>
      <c r="B101" s="816" t="s">
        <v>119</v>
      </c>
      <c r="C101" s="817"/>
      <c r="D101" s="818"/>
      <c r="E101" s="819"/>
      <c r="F101" s="820"/>
      <c r="G101" s="821"/>
      <c r="H101" s="819"/>
      <c r="Q101" s="52"/>
      <c r="R101" s="44"/>
    </row>
    <row r="102" spans="1:18" s="29" customFormat="1" ht="15.6">
      <c r="A102" s="82">
        <v>3</v>
      </c>
      <c r="B102" s="82" t="s">
        <v>306</v>
      </c>
      <c r="C102" s="89"/>
      <c r="D102" s="89"/>
      <c r="E102" s="91"/>
      <c r="F102" s="91"/>
      <c r="G102" s="92"/>
      <c r="H102" s="614"/>
      <c r="Q102" s="52"/>
      <c r="R102" s="44"/>
    </row>
    <row r="103" spans="1:18" s="29" customFormat="1">
      <c r="A103" s="814">
        <v>3.1</v>
      </c>
      <c r="B103" s="822" t="s">
        <v>197</v>
      </c>
      <c r="C103" s="823"/>
      <c r="D103" s="824"/>
      <c r="E103" s="819">
        <f>VLOOKUP(A103,'Point Allocation'!$A$20:$J$41,MATCH(A7,'Point Allocation'!$A$20:$J$20,0),0)</f>
        <v>27</v>
      </c>
      <c r="F103" s="820"/>
      <c r="G103" s="821">
        <f>IFERROR(F103/$F$120,0)</f>
        <v>0</v>
      </c>
      <c r="H103" s="819">
        <f>E103*G103</f>
        <v>0</v>
      </c>
      <c r="Q103" s="52"/>
      <c r="R103" s="44"/>
    </row>
    <row r="104" spans="1:18" s="29" customFormat="1" ht="15.6">
      <c r="A104" s="878"/>
      <c r="B104" s="816" t="s">
        <v>267</v>
      </c>
      <c r="C104" s="817"/>
      <c r="D104" s="818"/>
      <c r="E104" s="819"/>
      <c r="F104" s="820"/>
      <c r="G104" s="821"/>
      <c r="H104" s="819"/>
      <c r="Q104" s="52"/>
      <c r="R104" s="44"/>
    </row>
    <row r="105" spans="1:18" s="29" customFormat="1" ht="15.6">
      <c r="A105" s="82">
        <v>4</v>
      </c>
      <c r="B105" s="82" t="s">
        <v>307</v>
      </c>
      <c r="C105" s="89"/>
      <c r="D105" s="89"/>
      <c r="E105" s="91"/>
      <c r="F105" s="91"/>
      <c r="G105" s="92"/>
      <c r="H105" s="614"/>
      <c r="Q105" s="52"/>
      <c r="R105" s="44"/>
    </row>
    <row r="106" spans="1:18" s="29" customFormat="1" ht="30" customHeight="1">
      <c r="A106" s="598" t="s">
        <v>194</v>
      </c>
      <c r="B106" s="833" t="s">
        <v>273</v>
      </c>
      <c r="C106" s="834"/>
      <c r="D106" s="835"/>
      <c r="E106" s="93">
        <f>VLOOKUP(A106,'Point Allocation'!$A$20:$J$41,MATCH(A7,'Point Allocation'!$A$20:$J$20,0),0)</f>
        <v>25</v>
      </c>
      <c r="F106" s="538"/>
      <c r="G106" s="539">
        <f>IFERROR(F106/$F$120,0)</f>
        <v>0</v>
      </c>
      <c r="H106" s="94">
        <f>E106*G106</f>
        <v>0</v>
      </c>
      <c r="Q106" s="939"/>
      <c r="R106" s="44"/>
    </row>
    <row r="107" spans="1:18" s="29" customFormat="1">
      <c r="A107" s="598" t="s">
        <v>195</v>
      </c>
      <c r="B107" s="833" t="s">
        <v>274</v>
      </c>
      <c r="C107" s="834"/>
      <c r="D107" s="835"/>
      <c r="E107" s="93">
        <f>VLOOKUP(A107,'Point Allocation'!$A$20:$J$41,MATCH(A7,'Point Allocation'!$A$20:$J$20,0),0)</f>
        <v>25</v>
      </c>
      <c r="F107" s="538"/>
      <c r="G107" s="539">
        <f>IFERROR(F107/$F$120,0)</f>
        <v>0</v>
      </c>
      <c r="H107" s="94">
        <f>E107*G107</f>
        <v>0</v>
      </c>
      <c r="Q107" s="939"/>
      <c r="R107" s="44"/>
    </row>
    <row r="108" spans="1:18" s="29" customFormat="1">
      <c r="A108" s="597">
        <v>4.2</v>
      </c>
      <c r="B108" s="848" t="s">
        <v>198</v>
      </c>
      <c r="C108" s="924"/>
      <c r="D108" s="849"/>
      <c r="E108" s="93">
        <f>VLOOKUP(A108,'Point Allocation'!$A$20:$J$41,MATCH(A7,'Point Allocation'!$A$20:$J$20,0),0)</f>
        <v>25</v>
      </c>
      <c r="F108" s="538"/>
      <c r="G108" s="539">
        <f>IFERROR(F108/$F$120,0)</f>
        <v>0</v>
      </c>
      <c r="H108" s="94">
        <f>E108*G108</f>
        <v>0</v>
      </c>
      <c r="Q108" s="52"/>
      <c r="R108" s="44"/>
    </row>
    <row r="109" spans="1:18" s="29" customFormat="1">
      <c r="A109" s="597">
        <v>4.3</v>
      </c>
      <c r="B109" s="925" t="s">
        <v>150</v>
      </c>
      <c r="C109" s="926"/>
      <c r="D109" s="927"/>
      <c r="E109" s="93">
        <f>VLOOKUP(A109,'Point Allocation'!$A$20:$J$41,MATCH(A7,'Point Allocation'!$A$20:$J$20,0),0)</f>
        <v>25</v>
      </c>
      <c r="F109" s="538"/>
      <c r="G109" s="539">
        <f>IFERROR(F109/$F$120,0)</f>
        <v>0</v>
      </c>
      <c r="H109" s="174">
        <f>E109*G109</f>
        <v>0</v>
      </c>
      <c r="Q109" s="52"/>
      <c r="R109" s="44"/>
    </row>
    <row r="110" spans="1:18" s="29" customFormat="1">
      <c r="A110" s="597">
        <v>4.4000000000000004</v>
      </c>
      <c r="B110" s="925" t="s">
        <v>320</v>
      </c>
      <c r="C110" s="926"/>
      <c r="D110" s="927"/>
      <c r="E110" s="93">
        <f>VLOOKUP(A110,'Point Allocation'!$A$20:$J$41,MATCH(A7,'Point Allocation'!$A$20:$J$20,0),0)</f>
        <v>22</v>
      </c>
      <c r="F110" s="538"/>
      <c r="G110" s="539">
        <f>IFERROR(F110/$F$120,0)</f>
        <v>0</v>
      </c>
      <c r="H110" s="174">
        <f>E110*G110</f>
        <v>0</v>
      </c>
      <c r="Q110" s="52"/>
      <c r="R110" s="44"/>
    </row>
    <row r="111" spans="1:18" s="29" customFormat="1" ht="15.6">
      <c r="A111" s="95" t="s">
        <v>281</v>
      </c>
      <c r="B111" s="95" t="s">
        <v>223</v>
      </c>
      <c r="C111" s="96"/>
      <c r="D111" s="97"/>
      <c r="E111" s="98"/>
      <c r="F111" s="99"/>
      <c r="G111" s="100"/>
      <c r="H111" s="615"/>
      <c r="Q111" s="52"/>
      <c r="R111" s="44"/>
    </row>
    <row r="112" spans="1:18" s="29" customFormat="1" ht="15.6">
      <c r="A112" s="82">
        <v>5</v>
      </c>
      <c r="B112" s="82" t="s">
        <v>224</v>
      </c>
      <c r="C112" s="89"/>
      <c r="D112" s="89"/>
      <c r="E112" s="91"/>
      <c r="F112" s="91"/>
      <c r="G112" s="92"/>
      <c r="H112" s="614"/>
      <c r="Q112" s="52"/>
      <c r="R112" s="44"/>
    </row>
    <row r="113" spans="1:18" s="29" customFormat="1">
      <c r="A113" s="597">
        <v>5.0999999999999996</v>
      </c>
      <c r="B113" s="822" t="s">
        <v>199</v>
      </c>
      <c r="C113" s="823"/>
      <c r="D113" s="824"/>
      <c r="E113" s="101">
        <f>VLOOKUP(A113,'Point Allocation'!$A$20:$J$41,MATCH(A7,'Point Allocation'!$A$20:$J$20,0),0)</f>
        <v>16</v>
      </c>
      <c r="F113" s="147"/>
      <c r="G113" s="539">
        <f>IFERROR(F113/$F$120,0)</f>
        <v>0</v>
      </c>
      <c r="H113" s="547">
        <f>E113*G113</f>
        <v>0</v>
      </c>
      <c r="Q113" s="52"/>
      <c r="R113" s="44"/>
    </row>
    <row r="114" spans="1:18" s="29" customFormat="1">
      <c r="A114" s="597">
        <v>5.2</v>
      </c>
      <c r="B114" s="822" t="s">
        <v>321</v>
      </c>
      <c r="C114" s="823"/>
      <c r="D114" s="824"/>
      <c r="E114" s="101">
        <f>VLOOKUP(A114,'Point Allocation'!$A$20:$J$41,MATCH(A7,'Point Allocation'!$A$20:$J$20,0),0)</f>
        <v>5</v>
      </c>
      <c r="F114" s="86"/>
      <c r="G114" s="539">
        <f>IFERROR(F114/$F$120,0)</f>
        <v>0</v>
      </c>
      <c r="H114" s="547">
        <f>E114*G114</f>
        <v>0</v>
      </c>
      <c r="Q114" s="52"/>
      <c r="R114" s="44"/>
    </row>
    <row r="115" spans="1:18" s="29" customFormat="1">
      <c r="A115" s="597">
        <v>5.3</v>
      </c>
      <c r="B115" s="822" t="s">
        <v>322</v>
      </c>
      <c r="C115" s="823"/>
      <c r="D115" s="824"/>
      <c r="E115" s="101">
        <f>VLOOKUP(A115,'Point Allocation'!$A$20:$J$41,MATCH(A7,'Point Allocation'!$A$20:$J$20,0),0)</f>
        <v>0</v>
      </c>
      <c r="F115" s="146"/>
      <c r="G115" s="539">
        <f>IFERROR(F115/$F$120,0)</f>
        <v>0</v>
      </c>
      <c r="H115" s="616">
        <f>E115*G115</f>
        <v>0</v>
      </c>
      <c r="Q115" s="52"/>
      <c r="R115" s="44"/>
    </row>
    <row r="116" spans="1:18" s="29" customFormat="1" ht="15.6">
      <c r="A116" s="102">
        <v>6</v>
      </c>
      <c r="B116" s="102" t="s">
        <v>202</v>
      </c>
      <c r="C116" s="89"/>
      <c r="D116" s="89"/>
      <c r="E116" s="91"/>
      <c r="F116" s="91"/>
      <c r="G116" s="92"/>
      <c r="H116" s="614"/>
      <c r="Q116" s="52"/>
      <c r="R116" s="44"/>
    </row>
    <row r="117" spans="1:18" s="29" customFormat="1">
      <c r="A117" s="386">
        <v>6.1</v>
      </c>
      <c r="B117" s="765"/>
      <c r="C117" s="766"/>
      <c r="D117" s="847"/>
      <c r="E117" s="538"/>
      <c r="F117" s="538"/>
      <c r="G117" s="539">
        <f>IFERROR(F117/$F$120,0)</f>
        <v>0</v>
      </c>
      <c r="H117" s="616">
        <f>E117*G117</f>
        <v>0</v>
      </c>
      <c r="Q117" s="52"/>
      <c r="R117" s="44"/>
    </row>
    <row r="118" spans="1:18" s="29" customFormat="1">
      <c r="A118" s="386">
        <v>6.2</v>
      </c>
      <c r="B118" s="765"/>
      <c r="C118" s="766"/>
      <c r="D118" s="847"/>
      <c r="E118" s="538"/>
      <c r="F118" s="538"/>
      <c r="G118" s="539">
        <f>IFERROR(F118/$F$120,0)</f>
        <v>0</v>
      </c>
      <c r="H118" s="616">
        <f>E118*G118</f>
        <v>0</v>
      </c>
      <c r="Q118" s="52"/>
      <c r="R118" s="44"/>
    </row>
    <row r="119" spans="1:18" s="29" customFormat="1">
      <c r="A119" s="386">
        <v>6.3</v>
      </c>
      <c r="B119" s="920"/>
      <c r="C119" s="920"/>
      <c r="D119" s="920"/>
      <c r="E119" s="538"/>
      <c r="F119" s="538"/>
      <c r="G119" s="539">
        <f>IFERROR(F119/$F$120,0)</f>
        <v>0</v>
      </c>
      <c r="H119" s="616">
        <f>E119*G119</f>
        <v>0</v>
      </c>
      <c r="Q119" s="52"/>
      <c r="R119" s="44"/>
    </row>
    <row r="120" spans="1:18" s="29" customFormat="1" ht="15.6">
      <c r="A120" s="604"/>
      <c r="B120" s="307"/>
      <c r="C120" s="305"/>
      <c r="D120" s="305"/>
      <c r="E120" s="312" t="s">
        <v>61</v>
      </c>
      <c r="F120" s="315">
        <f>SUM(F96:F119)+E19</f>
        <v>0</v>
      </c>
      <c r="G120" s="316">
        <f>SUM(G96:G119)+F19</f>
        <v>0</v>
      </c>
      <c r="H120" s="617">
        <f>IFERROR(SUM(H96:H119),0)</f>
        <v>0</v>
      </c>
      <c r="Q120" s="52"/>
      <c r="R120" s="44"/>
    </row>
    <row r="121" spans="1:18" s="29" customFormat="1" ht="15.6" thickBot="1">
      <c r="A121" s="594"/>
      <c r="B121" s="361"/>
      <c r="C121" s="362"/>
      <c r="D121" s="362"/>
      <c r="E121" s="362"/>
      <c r="F121" s="362"/>
      <c r="G121" s="354"/>
      <c r="H121" s="595"/>
      <c r="Q121" s="52"/>
      <c r="R121" s="44"/>
    </row>
    <row r="122" spans="1:18" s="29" customFormat="1" ht="31.2">
      <c r="A122" s="618" t="s">
        <v>0</v>
      </c>
      <c r="B122" s="458"/>
      <c r="C122" s="458"/>
      <c r="D122" s="549" t="s">
        <v>17</v>
      </c>
      <c r="E122" s="459" t="s">
        <v>80</v>
      </c>
      <c r="F122" s="460" t="s">
        <v>301</v>
      </c>
      <c r="G122" s="460" t="s">
        <v>302</v>
      </c>
      <c r="H122" s="549" t="s">
        <v>52</v>
      </c>
      <c r="Q122" s="52"/>
      <c r="R122" s="44"/>
    </row>
    <row r="123" spans="1:18" s="29" customFormat="1" ht="15.6">
      <c r="A123" s="79" t="s">
        <v>225</v>
      </c>
      <c r="B123" s="79" t="s">
        <v>299</v>
      </c>
      <c r="C123" s="80"/>
      <c r="D123" s="81"/>
      <c r="E123" s="81"/>
      <c r="F123" s="81"/>
      <c r="G123" s="81"/>
      <c r="H123" s="610"/>
      <c r="Q123" s="52"/>
      <c r="R123" s="44"/>
    </row>
    <row r="124" spans="1:18" s="29" customFormat="1" ht="15.6">
      <c r="A124" s="82">
        <v>7</v>
      </c>
      <c r="B124" s="82" t="s">
        <v>304</v>
      </c>
      <c r="C124" s="83"/>
      <c r="D124" s="84"/>
      <c r="E124" s="84"/>
      <c r="F124" s="84"/>
      <c r="G124" s="84"/>
      <c r="H124" s="611"/>
      <c r="Q124" s="52"/>
      <c r="R124" s="44"/>
    </row>
    <row r="125" spans="1:18" s="29" customFormat="1" ht="15" customHeight="1">
      <c r="A125" s="543">
        <v>7.1</v>
      </c>
      <c r="B125" s="858" t="s">
        <v>271</v>
      </c>
      <c r="C125" s="840"/>
      <c r="D125" s="94">
        <f>VLOOKUP(A125,'Point Allocation'!$A$20:$J$41,MATCH(A7,'Point Allocation'!$A$20:$J$20,0),0)</f>
        <v>10</v>
      </c>
      <c r="E125" s="85">
        <f>F96</f>
        <v>0</v>
      </c>
      <c r="F125" s="85">
        <f>F32</f>
        <v>0</v>
      </c>
      <c r="G125" s="87">
        <f>IFERROR(SUM(E125:F125)/SUM($E$143:$F$143),0)</f>
        <v>0</v>
      </c>
      <c r="H125" s="612">
        <f>D125*G125</f>
        <v>0</v>
      </c>
      <c r="Q125" s="52"/>
      <c r="R125" s="44"/>
    </row>
    <row r="126" spans="1:18" s="29" customFormat="1" ht="15.6">
      <c r="A126" s="88">
        <v>8</v>
      </c>
      <c r="B126" s="88" t="s">
        <v>305</v>
      </c>
      <c r="C126" s="89"/>
      <c r="D126" s="90"/>
      <c r="E126" s="91"/>
      <c r="F126" s="91"/>
      <c r="G126" s="92"/>
      <c r="H126" s="613"/>
      <c r="Q126" s="52"/>
      <c r="R126" s="44"/>
    </row>
    <row r="127" spans="1:18" s="29" customFormat="1">
      <c r="A127" s="814">
        <v>8.1</v>
      </c>
      <c r="B127" s="822" t="s">
        <v>303</v>
      </c>
      <c r="C127" s="824"/>
      <c r="D127" s="921">
        <f>VLOOKUP(A127,'Point Allocation'!$A$20:$J$41,MATCH(A7,'Point Allocation'!$A$20:$J$20,0),0)</f>
        <v>8</v>
      </c>
      <c r="E127" s="945">
        <f>F98</f>
        <v>0</v>
      </c>
      <c r="F127" s="946"/>
      <c r="G127" s="983">
        <f>IFERROR(SUM(E127:F128)/SUM($E$143:$F$143),0)</f>
        <v>0</v>
      </c>
      <c r="H127" s="819">
        <f>D127*G127</f>
        <v>0</v>
      </c>
      <c r="Q127" s="52"/>
      <c r="R127" s="44"/>
    </row>
    <row r="128" spans="1:18" s="29" customFormat="1" ht="15.6">
      <c r="A128" s="815"/>
      <c r="B128" s="816" t="s">
        <v>119</v>
      </c>
      <c r="C128" s="818"/>
      <c r="D128" s="922"/>
      <c r="E128" s="945"/>
      <c r="F128" s="946"/>
      <c r="G128" s="984"/>
      <c r="H128" s="819"/>
      <c r="Q128" s="52"/>
      <c r="R128" s="44"/>
    </row>
    <row r="129" spans="1:18" s="29" customFormat="1">
      <c r="A129" s="543">
        <v>8.1999999999999993</v>
      </c>
      <c r="B129" s="825" t="s">
        <v>606</v>
      </c>
      <c r="C129" s="827"/>
      <c r="D129" s="94">
        <f>VLOOKUP(A129,'Point Allocation'!$A$20:$J$41,MATCH(A7,'Point Allocation'!$A$20:$J$20,0),0)</f>
        <v>8</v>
      </c>
      <c r="E129" s="174">
        <f>F100</f>
        <v>0</v>
      </c>
      <c r="F129" s="555"/>
      <c r="G129" s="87">
        <f>IFERROR(SUM(E129:F129)/SUM($E$143:$F$143),0)</f>
        <v>0</v>
      </c>
      <c r="H129" s="94">
        <f>D129*G129</f>
        <v>0</v>
      </c>
      <c r="Q129" s="52"/>
      <c r="R129" s="44"/>
    </row>
    <row r="130" spans="1:18" s="29" customFormat="1" ht="15.6">
      <c r="A130" s="82">
        <v>9</v>
      </c>
      <c r="B130" s="82" t="s">
        <v>306</v>
      </c>
      <c r="C130" s="89"/>
      <c r="D130" s="91"/>
      <c r="E130" s="91"/>
      <c r="F130" s="91"/>
      <c r="G130" s="92"/>
      <c r="H130" s="614"/>
      <c r="Q130" s="52"/>
      <c r="R130" s="44"/>
    </row>
    <row r="131" spans="1:18" s="29" customFormat="1">
      <c r="A131" s="814">
        <v>9.1</v>
      </c>
      <c r="B131" s="822" t="s">
        <v>339</v>
      </c>
      <c r="C131" s="824"/>
      <c r="D131" s="921">
        <f>VLOOKUP(A131,'Point Allocation'!$A$20:$J$41,MATCH(A7,'Point Allocation'!$A$20:$J$20,0),0)</f>
        <v>6</v>
      </c>
      <c r="E131" s="946"/>
      <c r="F131" s="946"/>
      <c r="G131" s="821">
        <f>IFERROR(SUM(E131:F132)/SUM($E$143:$F$143),0)</f>
        <v>0</v>
      </c>
      <c r="H131" s="819">
        <f>D131*G131</f>
        <v>0</v>
      </c>
      <c r="Q131" s="52"/>
      <c r="R131" s="44"/>
    </row>
    <row r="132" spans="1:18" s="29" customFormat="1" ht="15.6">
      <c r="A132" s="815"/>
      <c r="B132" s="816" t="s">
        <v>5</v>
      </c>
      <c r="C132" s="818"/>
      <c r="D132" s="922"/>
      <c r="E132" s="946"/>
      <c r="F132" s="946"/>
      <c r="G132" s="821"/>
      <c r="H132" s="819"/>
      <c r="Q132" s="52"/>
      <c r="R132" s="44"/>
    </row>
    <row r="133" spans="1:18" s="29" customFormat="1" ht="15.6">
      <c r="A133" s="82">
        <v>10</v>
      </c>
      <c r="B133" s="82" t="s">
        <v>308</v>
      </c>
      <c r="C133" s="89"/>
      <c r="D133" s="91"/>
      <c r="E133" s="91"/>
      <c r="F133" s="91"/>
      <c r="G133" s="92"/>
      <c r="H133" s="614"/>
      <c r="Q133" s="52"/>
      <c r="R133" s="44"/>
    </row>
    <row r="134" spans="1:18" s="29" customFormat="1" ht="15" customHeight="1">
      <c r="A134" s="541">
        <v>10.1</v>
      </c>
      <c r="B134" s="822" t="s">
        <v>340</v>
      </c>
      <c r="C134" s="824"/>
      <c r="D134" s="94">
        <f>VLOOKUP(A134,'Point Allocation'!$A$20:$J$41,MATCH(A7,'Point Allocation'!$A$20:$J$20,0),0)</f>
        <v>4</v>
      </c>
      <c r="E134" s="555"/>
      <c r="F134" s="555"/>
      <c r="G134" s="87">
        <f>IFERROR(SUM(E134:F134)/SUM($E$143:$F$143),0)</f>
        <v>0</v>
      </c>
      <c r="H134" s="94">
        <f>D134*G134</f>
        <v>0</v>
      </c>
      <c r="Q134" s="52"/>
      <c r="R134" s="44"/>
    </row>
    <row r="135" spans="1:18" s="29" customFormat="1" ht="32.25" customHeight="1">
      <c r="A135" s="589">
        <v>10.199999999999999</v>
      </c>
      <c r="B135" s="825" t="s">
        <v>318</v>
      </c>
      <c r="C135" s="827"/>
      <c r="D135" s="94">
        <f>VLOOKUP(A135,'Point Allocation'!$A$20:$J$41,MATCH(A7,'Point Allocation'!$A$20:$J$20,0),0)</f>
        <v>4</v>
      </c>
      <c r="E135" s="173"/>
      <c r="F135" s="555"/>
      <c r="G135" s="539">
        <f>IFERROR(SUM(E135:F135)/SUM($E$143:$F$143),0)</f>
        <v>0</v>
      </c>
      <c r="H135" s="94">
        <f>D135*G135</f>
        <v>0</v>
      </c>
      <c r="Q135" s="52"/>
      <c r="R135" s="44"/>
    </row>
    <row r="136" spans="1:18" s="29" customFormat="1" ht="15.6">
      <c r="A136" s="95" t="s">
        <v>226</v>
      </c>
      <c r="B136" s="95" t="s">
        <v>248</v>
      </c>
      <c r="C136" s="96"/>
      <c r="D136" s="98"/>
      <c r="E136" s="99"/>
      <c r="F136" s="99"/>
      <c r="G136" s="100"/>
      <c r="H136" s="615"/>
      <c r="Q136" s="52"/>
      <c r="R136" s="44"/>
    </row>
    <row r="137" spans="1:18" s="29" customFormat="1" ht="15.6">
      <c r="A137" s="82">
        <v>11</v>
      </c>
      <c r="B137" s="82" t="s">
        <v>249</v>
      </c>
      <c r="C137" s="89"/>
      <c r="D137" s="91"/>
      <c r="E137" s="91"/>
      <c r="F137" s="91"/>
      <c r="G137" s="92"/>
      <c r="H137" s="614"/>
      <c r="Q137" s="52"/>
      <c r="R137" s="44"/>
    </row>
    <row r="138" spans="1:18" s="29" customFormat="1">
      <c r="A138" s="541">
        <v>11.1</v>
      </c>
      <c r="B138" s="822" t="s">
        <v>642</v>
      </c>
      <c r="C138" s="824"/>
      <c r="D138" s="94">
        <f>VLOOKUP(A138,'Point Allocation'!$A$20:$J$41,MATCH(A7,'Point Allocation'!$A$20:$J$20,0),0)</f>
        <v>2</v>
      </c>
      <c r="E138" s="555"/>
      <c r="F138" s="555"/>
      <c r="G138" s="539">
        <f>IFERROR(SUM(E138:F138)/SUM($E$143:$F$143),0)</f>
        <v>0</v>
      </c>
      <c r="H138" s="94">
        <f t="shared" ref="H138:H142" si="2">D138*G138</f>
        <v>0</v>
      </c>
      <c r="Q138" s="52"/>
      <c r="R138" s="44"/>
    </row>
    <row r="139" spans="1:18" s="29" customFormat="1">
      <c r="A139" s="619">
        <v>11.2</v>
      </c>
      <c r="B139" s="848" t="s">
        <v>310</v>
      </c>
      <c r="C139" s="849"/>
      <c r="D139" s="174">
        <f>VLOOKUP(A138,'Point Allocation'!$A$20:$J$41,MATCH(A7,'Point Allocation'!$A$20:$J$20,0),0)</f>
        <v>2</v>
      </c>
      <c r="E139" s="555"/>
      <c r="F139" s="555"/>
      <c r="G139" s="539">
        <f>IFERROR(SUM(E139:F139)/SUM($E$143:$F$143),0)</f>
        <v>0</v>
      </c>
      <c r="H139" s="94">
        <f t="shared" si="2"/>
        <v>0</v>
      </c>
      <c r="Q139" s="52"/>
      <c r="R139" s="44"/>
    </row>
    <row r="140" spans="1:18" s="29" customFormat="1">
      <c r="A140" s="541">
        <v>11.3</v>
      </c>
      <c r="B140" s="848" t="s">
        <v>317</v>
      </c>
      <c r="C140" s="849"/>
      <c r="D140" s="94">
        <f>VLOOKUP(A140,'Point Allocation'!$A$20:$J$41,MATCH(A7,'Point Allocation'!$A$20:$J$20,0),0)</f>
        <v>0</v>
      </c>
      <c r="E140" s="555"/>
      <c r="F140" s="555"/>
      <c r="G140" s="539">
        <f>IFERROR(SUM(E140:F140)/SUM($E$143:$F$143),0)</f>
        <v>0</v>
      </c>
      <c r="H140" s="94">
        <f t="shared" si="2"/>
        <v>0</v>
      </c>
      <c r="Q140" s="52"/>
      <c r="R140" s="44"/>
    </row>
    <row r="141" spans="1:18" s="29" customFormat="1">
      <c r="A141" s="620">
        <v>11.4</v>
      </c>
      <c r="B141" s="968"/>
      <c r="C141" s="969"/>
      <c r="D141" s="538"/>
      <c r="E141" s="555"/>
      <c r="F141" s="555"/>
      <c r="G141" s="539">
        <f>IFERROR(SUM(E141:F141)/SUM($E$143:$F$143),0)</f>
        <v>0</v>
      </c>
      <c r="H141" s="94">
        <f t="shared" si="2"/>
        <v>0</v>
      </c>
      <c r="Q141" s="52"/>
      <c r="R141" s="44"/>
    </row>
    <row r="142" spans="1:18" s="29" customFormat="1">
      <c r="A142" s="620">
        <v>11.5</v>
      </c>
      <c r="B142" s="968"/>
      <c r="C142" s="969"/>
      <c r="D142" s="538"/>
      <c r="E142" s="555"/>
      <c r="F142" s="555"/>
      <c r="G142" s="539">
        <f>IFERROR(SUM(E142:F142)/SUM($E$143:$F$143),0)</f>
        <v>0</v>
      </c>
      <c r="H142" s="94">
        <f t="shared" si="2"/>
        <v>0</v>
      </c>
      <c r="Q142" s="52"/>
      <c r="R142" s="44"/>
    </row>
    <row r="143" spans="1:18" s="29" customFormat="1" ht="15.6">
      <c r="A143" s="592"/>
      <c r="B143" s="307"/>
      <c r="C143" s="305"/>
      <c r="D143" s="312" t="s">
        <v>131</v>
      </c>
      <c r="E143" s="315">
        <f>SUM(E125:E142)</f>
        <v>0</v>
      </c>
      <c r="F143" s="317">
        <f>SUM(F125:F142)</f>
        <v>0</v>
      </c>
      <c r="G143" s="318">
        <f>SUM(G125:G142)</f>
        <v>0</v>
      </c>
      <c r="H143" s="621">
        <f>IFERROR(SUM(H125:H142),0)</f>
        <v>0</v>
      </c>
      <c r="Q143" s="52"/>
      <c r="R143" s="44"/>
    </row>
    <row r="144" spans="1:18" s="29" customFormat="1">
      <c r="A144" s="622"/>
      <c r="B144" s="307"/>
      <c r="C144" s="305"/>
      <c r="D144" s="305"/>
      <c r="E144" s="305"/>
      <c r="F144" s="305"/>
      <c r="G144" s="314"/>
      <c r="H144" s="571"/>
      <c r="Q144" s="52"/>
      <c r="R144" s="44"/>
    </row>
    <row r="145" spans="1:18" s="29" customFormat="1" ht="46.8">
      <c r="A145" s="970" t="s">
        <v>0</v>
      </c>
      <c r="B145" s="971"/>
      <c r="C145" s="163"/>
      <c r="D145" s="550" t="s">
        <v>57</v>
      </c>
      <c r="E145" s="550" t="s">
        <v>58</v>
      </c>
      <c r="F145" s="956" t="s">
        <v>59</v>
      </c>
      <c r="G145" s="956"/>
      <c r="H145" s="623" t="s">
        <v>62</v>
      </c>
      <c r="J145" s="103" t="s">
        <v>71</v>
      </c>
      <c r="K145" s="103">
        <v>1</v>
      </c>
      <c r="L145" s="103">
        <v>2</v>
      </c>
      <c r="M145" s="103">
        <v>3</v>
      </c>
      <c r="N145" s="103">
        <v>4</v>
      </c>
      <c r="O145" s="103">
        <v>5</v>
      </c>
      <c r="P145" s="103">
        <v>6</v>
      </c>
      <c r="Q145" s="52"/>
      <c r="R145" s="44"/>
    </row>
    <row r="146" spans="1:18" s="29" customFormat="1" ht="15.6">
      <c r="A146" s="126" t="s">
        <v>227</v>
      </c>
      <c r="B146" s="126" t="s">
        <v>139</v>
      </c>
      <c r="C146" s="162"/>
      <c r="D146" s="56"/>
      <c r="E146" s="56"/>
      <c r="F146" s="57"/>
      <c r="G146" s="104"/>
      <c r="H146" s="624"/>
      <c r="J146" s="103" t="s">
        <v>73</v>
      </c>
      <c r="K146" s="103" t="s">
        <v>72</v>
      </c>
      <c r="L146" s="103">
        <v>1</v>
      </c>
      <c r="M146" s="103">
        <v>2</v>
      </c>
      <c r="N146" s="103">
        <v>3</v>
      </c>
      <c r="O146" s="103">
        <v>4</v>
      </c>
      <c r="P146" s="103">
        <v>4</v>
      </c>
      <c r="Q146" s="52"/>
      <c r="R146" s="44"/>
    </row>
    <row r="147" spans="1:18" s="29" customFormat="1">
      <c r="A147" s="625" t="s">
        <v>228</v>
      </c>
      <c r="B147" s="386" t="s">
        <v>394</v>
      </c>
      <c r="C147" s="164" t="s">
        <v>55</v>
      </c>
      <c r="D147" s="820"/>
      <c r="E147" s="820"/>
      <c r="F147" s="949" t="str">
        <f>IF(D147&gt;9,D147/E147," ")</f>
        <v xml:space="preserve"> </v>
      </c>
      <c r="G147" s="949"/>
      <c r="H147" s="94">
        <f>IF(D147="",0,IF(D147&lt;9,2,IF((D147/E147)=0,2,IF((D147/E147)&lt;10%,1.5,IF((D147/E147)&lt;15%,1,IF((D147/E147)&lt;20%,0.5,0))))))</f>
        <v>0</v>
      </c>
      <c r="J147" s="103" t="s">
        <v>74</v>
      </c>
      <c r="K147" s="103" t="s">
        <v>72</v>
      </c>
      <c r="L147" s="103">
        <v>5</v>
      </c>
      <c r="M147" s="103">
        <v>15</v>
      </c>
      <c r="N147" s="103">
        <v>25</v>
      </c>
      <c r="O147" s="103">
        <v>35</v>
      </c>
      <c r="P147" s="103">
        <v>35</v>
      </c>
      <c r="Q147" s="52"/>
      <c r="R147" s="44"/>
    </row>
    <row r="148" spans="1:18" s="29" customFormat="1">
      <c r="A148" s="625" t="s">
        <v>229</v>
      </c>
      <c r="B148" s="386" t="s">
        <v>395</v>
      </c>
      <c r="C148" s="164" t="s">
        <v>56</v>
      </c>
      <c r="D148" s="820"/>
      <c r="E148" s="820"/>
      <c r="F148" s="950"/>
      <c r="G148" s="950"/>
      <c r="H148" s="94">
        <f>IF(E147="",0,IF(E147&lt;15,HLOOKUP(F148,J145:P152,4,FALSE),IF(E147&lt;45,HLOOKUP(F148,J145:P152,5,FALSE),IF(E147&lt;90,HLOOKUP(F148,J145:P152,6,FALSE),IF(E147&lt;135,HLOOKUP(F148,J145:P152,7,FALSE),IF(E147&gt;=135,HLOOKUP(F148,J145:P152,8,FALSE),3))))))</f>
        <v>0</v>
      </c>
      <c r="I148" s="54"/>
      <c r="J148" s="103" t="s">
        <v>75</v>
      </c>
      <c r="K148" s="103">
        <v>3</v>
      </c>
      <c r="L148" s="103">
        <v>3</v>
      </c>
      <c r="M148" s="103">
        <v>3</v>
      </c>
      <c r="N148" s="103">
        <v>2.5</v>
      </c>
      <c r="O148" s="103">
        <v>1.5</v>
      </c>
      <c r="P148" s="103">
        <v>0</v>
      </c>
      <c r="Q148" s="52"/>
      <c r="R148" s="44"/>
    </row>
    <row r="149" spans="1:18" s="29" customFormat="1">
      <c r="A149" s="592"/>
      <c r="B149" s="307"/>
      <c r="C149" s="314"/>
      <c r="D149" s="319"/>
      <c r="E149" s="319"/>
      <c r="F149" s="319"/>
      <c r="G149" s="319"/>
      <c r="H149" s="626"/>
      <c r="I149" s="54"/>
      <c r="J149" s="103" t="s">
        <v>76</v>
      </c>
      <c r="K149" s="103">
        <v>3</v>
      </c>
      <c r="L149" s="103">
        <v>3</v>
      </c>
      <c r="M149" s="103">
        <v>2.5</v>
      </c>
      <c r="N149" s="103">
        <v>1.5</v>
      </c>
      <c r="O149" s="103">
        <v>1</v>
      </c>
      <c r="P149" s="103">
        <v>0</v>
      </c>
      <c r="Q149" s="52"/>
      <c r="R149" s="44"/>
    </row>
    <row r="150" spans="1:18" s="29" customFormat="1" ht="15.6">
      <c r="A150" s="592"/>
      <c r="B150" s="320"/>
      <c r="C150" s="314"/>
      <c r="D150" s="314"/>
      <c r="E150" s="314"/>
      <c r="F150" s="305"/>
      <c r="G150" s="321"/>
      <c r="H150" s="627"/>
      <c r="I150" s="54"/>
      <c r="J150" s="103" t="s">
        <v>77</v>
      </c>
      <c r="K150" s="103">
        <v>3</v>
      </c>
      <c r="L150" s="103">
        <v>2.5</v>
      </c>
      <c r="M150" s="103">
        <v>1.5</v>
      </c>
      <c r="N150" s="103">
        <v>1</v>
      </c>
      <c r="O150" s="103">
        <v>0</v>
      </c>
      <c r="P150" s="103">
        <v>0</v>
      </c>
      <c r="Q150" s="52"/>
      <c r="R150" s="44"/>
    </row>
    <row r="151" spans="1:18" s="29" customFormat="1" ht="15.75" customHeight="1">
      <c r="A151" s="972" t="s">
        <v>0</v>
      </c>
      <c r="B151" s="973"/>
      <c r="C151" s="888"/>
      <c r="D151" s="974" t="s">
        <v>4</v>
      </c>
      <c r="E151" s="951" t="s">
        <v>1</v>
      </c>
      <c r="F151" s="952"/>
      <c r="G151" s="953" t="s">
        <v>21</v>
      </c>
      <c r="H151" s="947" t="s">
        <v>62</v>
      </c>
      <c r="I151" s="54"/>
      <c r="J151" s="103" t="s">
        <v>78</v>
      </c>
      <c r="K151" s="103">
        <v>3</v>
      </c>
      <c r="L151" s="103">
        <v>1.5</v>
      </c>
      <c r="M151" s="103">
        <v>1</v>
      </c>
      <c r="N151" s="103">
        <v>0</v>
      </c>
      <c r="O151" s="103">
        <v>0</v>
      </c>
      <c r="P151" s="103">
        <v>0</v>
      </c>
      <c r="Q151" s="52"/>
      <c r="R151" s="44"/>
    </row>
    <row r="152" spans="1:18" s="29" customFormat="1" ht="30" customHeight="1">
      <c r="A152" s="867"/>
      <c r="B152" s="868"/>
      <c r="C152" s="870"/>
      <c r="D152" s="952"/>
      <c r="E152" s="550" t="s">
        <v>64</v>
      </c>
      <c r="F152" s="550" t="s">
        <v>65</v>
      </c>
      <c r="G152" s="954"/>
      <c r="H152" s="948"/>
      <c r="I152" s="54"/>
      <c r="J152" s="103" t="s">
        <v>79</v>
      </c>
      <c r="K152" s="103">
        <v>3</v>
      </c>
      <c r="L152" s="103">
        <v>1</v>
      </c>
      <c r="M152" s="103">
        <v>0</v>
      </c>
      <c r="N152" s="103">
        <v>0</v>
      </c>
      <c r="O152" s="103">
        <v>0</v>
      </c>
      <c r="P152" s="103">
        <v>0</v>
      </c>
      <c r="Q152" s="52"/>
      <c r="R152" s="44"/>
    </row>
    <row r="153" spans="1:18" s="29" customFormat="1" ht="15.6">
      <c r="A153" s="105" t="s">
        <v>230</v>
      </c>
      <c r="B153" s="105" t="s">
        <v>516</v>
      </c>
      <c r="C153" s="106"/>
      <c r="D153" s="106"/>
      <c r="E153" s="106"/>
      <c r="F153" s="110"/>
      <c r="G153" s="111"/>
      <c r="H153" s="628"/>
      <c r="J153" s="103" t="s">
        <v>73</v>
      </c>
      <c r="K153" s="103" t="s">
        <v>72</v>
      </c>
      <c r="L153" s="103">
        <v>1</v>
      </c>
      <c r="M153" s="103">
        <v>2</v>
      </c>
      <c r="N153" s="103">
        <v>3</v>
      </c>
      <c r="O153" s="103">
        <v>4</v>
      </c>
      <c r="P153" s="103">
        <v>4</v>
      </c>
      <c r="Q153" s="52"/>
      <c r="R153" s="44"/>
    </row>
    <row r="154" spans="1:18" s="29" customFormat="1" ht="15.6">
      <c r="A154" s="149" t="s">
        <v>231</v>
      </c>
      <c r="B154" s="149" t="s">
        <v>517</v>
      </c>
      <c r="C154" s="150"/>
      <c r="D154" s="151"/>
      <c r="E154" s="152"/>
      <c r="F154" s="152"/>
      <c r="G154" s="153"/>
      <c r="H154" s="629"/>
      <c r="I154" s="54"/>
      <c r="Q154" s="52"/>
      <c r="R154" s="44"/>
    </row>
    <row r="155" spans="1:18" s="29" customFormat="1">
      <c r="A155" s="630" t="s">
        <v>232</v>
      </c>
      <c r="B155" s="825" t="s">
        <v>612</v>
      </c>
      <c r="C155" s="827"/>
      <c r="D155" s="522" t="s">
        <v>50</v>
      </c>
      <c r="E155" s="523">
        <v>2</v>
      </c>
      <c r="F155" s="523">
        <v>3</v>
      </c>
      <c r="G155" s="27"/>
      <c r="H155" s="434">
        <f t="shared" ref="H155:H166" si="3">IF(G155&gt;=80%,F155,IF(G155&lt;65%,0,E155))</f>
        <v>0</v>
      </c>
      <c r="Q155" s="52"/>
      <c r="R155" s="44"/>
    </row>
    <row r="156" spans="1:18" s="29" customFormat="1">
      <c r="A156" s="630" t="s">
        <v>233</v>
      </c>
      <c r="B156" s="917" t="s">
        <v>613</v>
      </c>
      <c r="C156" s="843"/>
      <c r="D156" s="483" t="s">
        <v>50</v>
      </c>
      <c r="E156" s="434">
        <v>2</v>
      </c>
      <c r="F156" s="434">
        <v>3</v>
      </c>
      <c r="G156" s="553"/>
      <c r="H156" s="434">
        <f>IF(G156&gt;=80%,F156,IF(G156&lt;65%,0,E156))</f>
        <v>0</v>
      </c>
      <c r="Q156" s="52"/>
      <c r="R156" s="44"/>
    </row>
    <row r="157" spans="1:18" s="29" customFormat="1">
      <c r="A157" s="631" t="s">
        <v>234</v>
      </c>
      <c r="B157" s="917" t="s">
        <v>563</v>
      </c>
      <c r="C157" s="843"/>
      <c r="D157" s="524" t="s">
        <v>50</v>
      </c>
      <c r="E157" s="554">
        <v>2</v>
      </c>
      <c r="F157" s="434">
        <v>2.5</v>
      </c>
      <c r="G157" s="551"/>
      <c r="H157" s="434">
        <f t="shared" ref="H157" si="4">IF(G157&gt;=80%,F157,IF(G157&lt;65%,0,E157))</f>
        <v>0</v>
      </c>
      <c r="Q157" s="52"/>
      <c r="R157" s="44"/>
    </row>
    <row r="158" spans="1:18" s="29" customFormat="1">
      <c r="A158" s="631" t="s">
        <v>235</v>
      </c>
      <c r="B158" s="917" t="s">
        <v>623</v>
      </c>
      <c r="C158" s="843"/>
      <c r="D158" s="524" t="s">
        <v>50</v>
      </c>
      <c r="E158" s="554">
        <v>2</v>
      </c>
      <c r="F158" s="434">
        <v>2.5</v>
      </c>
      <c r="G158" s="551"/>
      <c r="H158" s="434">
        <f>IF(G158&gt;=80%,F158,IF(G158&lt;65%,0,E158))</f>
        <v>0</v>
      </c>
      <c r="Q158" s="52"/>
      <c r="R158" s="44"/>
    </row>
    <row r="159" spans="1:18" s="29" customFormat="1">
      <c r="A159" s="630" t="s">
        <v>371</v>
      </c>
      <c r="B159" s="875" t="s">
        <v>379</v>
      </c>
      <c r="C159" s="876"/>
      <c r="D159" s="530" t="s">
        <v>50</v>
      </c>
      <c r="E159" s="523">
        <v>2</v>
      </c>
      <c r="F159" s="523">
        <v>2.5</v>
      </c>
      <c r="G159" s="529"/>
      <c r="H159" s="434">
        <f>IF(G159&gt;=80%,F159,IF(G159&lt;65%,0,E159))</f>
        <v>0</v>
      </c>
      <c r="Q159" s="52"/>
      <c r="R159" s="44"/>
    </row>
    <row r="160" spans="1:18" s="29" customFormat="1" ht="30">
      <c r="A160" s="871" t="s">
        <v>519</v>
      </c>
      <c r="B160" s="873" t="s">
        <v>397</v>
      </c>
      <c r="C160" s="940"/>
      <c r="D160" s="524" t="s">
        <v>402</v>
      </c>
      <c r="E160" s="964">
        <v>2.5</v>
      </c>
      <c r="F160" s="965"/>
      <c r="G160" s="933"/>
      <c r="H160" s="931">
        <f>IF(G160&gt;=35,E161,IF(G160&gt;=30,E160,0))</f>
        <v>0</v>
      </c>
      <c r="Q160" s="52"/>
      <c r="R160" s="44"/>
    </row>
    <row r="161" spans="1:18" s="29" customFormat="1" ht="30">
      <c r="A161" s="872"/>
      <c r="B161" s="941"/>
      <c r="C161" s="942"/>
      <c r="D161" s="524" t="s">
        <v>396</v>
      </c>
      <c r="E161" s="964">
        <v>3</v>
      </c>
      <c r="F161" s="965"/>
      <c r="G161" s="934"/>
      <c r="H161" s="932"/>
      <c r="Q161" s="52"/>
      <c r="R161" s="44"/>
    </row>
    <row r="162" spans="1:18" s="29" customFormat="1" ht="31.5" customHeight="1">
      <c r="A162" s="871" t="s">
        <v>520</v>
      </c>
      <c r="B162" s="873" t="s">
        <v>398</v>
      </c>
      <c r="C162" s="874"/>
      <c r="D162" s="524" t="s">
        <v>333</v>
      </c>
      <c r="E162" s="962">
        <v>4</v>
      </c>
      <c r="F162" s="963"/>
      <c r="G162" s="933"/>
      <c r="H162" s="931">
        <f>IF(G162&gt;=80,E162,IF(G162&gt;=70,E163,IF(G162&gt;=60,E164,IF(G162&gt;=50,E165,0))))</f>
        <v>0</v>
      </c>
      <c r="Q162" s="52"/>
      <c r="R162" s="44"/>
    </row>
    <row r="163" spans="1:18" s="29" customFormat="1" ht="31.5" customHeight="1">
      <c r="A163" s="975"/>
      <c r="B163" s="929"/>
      <c r="C163" s="930"/>
      <c r="D163" s="524" t="s">
        <v>334</v>
      </c>
      <c r="E163" s="962">
        <v>3</v>
      </c>
      <c r="F163" s="963"/>
      <c r="G163" s="935"/>
      <c r="H163" s="936"/>
      <c r="Q163" s="52"/>
      <c r="R163" s="44"/>
    </row>
    <row r="164" spans="1:18" s="29" customFormat="1" ht="31.5" customHeight="1">
      <c r="A164" s="975"/>
      <c r="B164" s="929"/>
      <c r="C164" s="930"/>
      <c r="D164" s="524" t="s">
        <v>368</v>
      </c>
      <c r="E164" s="962">
        <v>2</v>
      </c>
      <c r="F164" s="963"/>
      <c r="G164" s="935"/>
      <c r="H164" s="936"/>
      <c r="Q164" s="52"/>
      <c r="R164" s="44"/>
    </row>
    <row r="165" spans="1:18" s="29" customFormat="1" ht="31.5" customHeight="1">
      <c r="A165" s="872"/>
      <c r="B165" s="875"/>
      <c r="C165" s="876"/>
      <c r="D165" s="524" t="s">
        <v>369</v>
      </c>
      <c r="E165" s="962">
        <v>1</v>
      </c>
      <c r="F165" s="963"/>
      <c r="G165" s="934"/>
      <c r="H165" s="932"/>
      <c r="Q165" s="52"/>
      <c r="R165" s="44"/>
    </row>
    <row r="166" spans="1:18" s="29" customFormat="1" ht="31.5" customHeight="1">
      <c r="A166" s="871" t="s">
        <v>643</v>
      </c>
      <c r="B166" s="873" t="s">
        <v>614</v>
      </c>
      <c r="C166" s="874"/>
      <c r="D166" s="524" t="s">
        <v>66</v>
      </c>
      <c r="E166" s="525">
        <v>3.5</v>
      </c>
      <c r="F166" s="525">
        <v>4</v>
      </c>
      <c r="G166" s="27"/>
      <c r="H166" s="434">
        <f t="shared" si="3"/>
        <v>0</v>
      </c>
      <c r="Q166" s="52"/>
      <c r="R166" s="44"/>
    </row>
    <row r="167" spans="1:18" s="29" customFormat="1" ht="30">
      <c r="A167" s="872"/>
      <c r="B167" s="875"/>
      <c r="C167" s="876"/>
      <c r="D167" s="524" t="s">
        <v>67</v>
      </c>
      <c r="E167" s="525" t="s">
        <v>49</v>
      </c>
      <c r="F167" s="525">
        <v>3</v>
      </c>
      <c r="G167" s="27"/>
      <c r="H167" s="434">
        <f>IF(G167&gt;=80%,F167,0)</f>
        <v>0</v>
      </c>
      <c r="Q167" s="52"/>
      <c r="R167" s="44"/>
    </row>
    <row r="168" spans="1:18" s="29" customFormat="1" ht="15.6">
      <c r="A168" s="82">
        <v>14</v>
      </c>
      <c r="B168" s="470" t="s">
        <v>515</v>
      </c>
      <c r="C168" s="89"/>
      <c r="D168" s="151"/>
      <c r="E168" s="152"/>
      <c r="F168" s="152"/>
      <c r="G168" s="153"/>
      <c r="H168" s="629"/>
      <c r="Q168" s="52"/>
      <c r="R168" s="44"/>
    </row>
    <row r="169" spans="1:18" s="29" customFormat="1" ht="31.95" customHeight="1">
      <c r="A169" s="630" t="s">
        <v>236</v>
      </c>
      <c r="B169" s="875" t="s">
        <v>648</v>
      </c>
      <c r="C169" s="876"/>
      <c r="D169" s="527" t="s">
        <v>50</v>
      </c>
      <c r="E169" s="528">
        <v>2</v>
      </c>
      <c r="F169" s="528">
        <v>2.5</v>
      </c>
      <c r="G169" s="529"/>
      <c r="H169" s="9">
        <f>IF(G169&gt;=80%,F169,IF(G169&lt;65%,0,E169))</f>
        <v>0</v>
      </c>
      <c r="Q169" s="52"/>
      <c r="R169" s="44"/>
    </row>
    <row r="170" spans="1:18" s="29" customFormat="1">
      <c r="A170" s="630" t="s">
        <v>237</v>
      </c>
      <c r="B170" s="875" t="s">
        <v>615</v>
      </c>
      <c r="C170" s="876"/>
      <c r="D170" s="530" t="s">
        <v>50</v>
      </c>
      <c r="E170" s="523" t="s">
        <v>49</v>
      </c>
      <c r="F170" s="523">
        <v>2.5</v>
      </c>
      <c r="G170" s="526">
        <f>F23</f>
        <v>0</v>
      </c>
      <c r="H170" s="434">
        <f>IF(G170&gt;=80%,F170,0)</f>
        <v>0</v>
      </c>
      <c r="Q170" s="52"/>
      <c r="R170" s="44"/>
    </row>
    <row r="171" spans="1:18" s="29" customFormat="1" ht="32.25" customHeight="1">
      <c r="A171" s="630" t="s">
        <v>378</v>
      </c>
      <c r="B171" s="875" t="s">
        <v>617</v>
      </c>
      <c r="C171" s="876"/>
      <c r="D171" s="530" t="s">
        <v>50</v>
      </c>
      <c r="E171" s="523">
        <v>2</v>
      </c>
      <c r="F171" s="523">
        <v>3</v>
      </c>
      <c r="G171" s="529"/>
      <c r="H171" s="434">
        <f>IF(G171&gt;=80%,F171,IF(G171&lt;65%,0,E171))</f>
        <v>0</v>
      </c>
      <c r="Q171" s="52"/>
      <c r="R171" s="44"/>
    </row>
    <row r="172" spans="1:18" s="29" customFormat="1" ht="30" customHeight="1">
      <c r="A172" s="632" t="s">
        <v>521</v>
      </c>
      <c r="B172" s="825" t="s">
        <v>616</v>
      </c>
      <c r="C172" s="827"/>
      <c r="D172" s="420" t="s">
        <v>50</v>
      </c>
      <c r="E172" s="434">
        <v>2</v>
      </c>
      <c r="F172" s="434">
        <v>2.5</v>
      </c>
      <c r="G172" s="30"/>
      <c r="H172" s="434">
        <f>IF(G172&gt;=80%,F172,IF(G172&lt;65%,0,E172))</f>
        <v>0</v>
      </c>
      <c r="Q172" s="52"/>
      <c r="R172" s="44"/>
    </row>
    <row r="173" spans="1:18" s="29" customFormat="1" ht="15.6">
      <c r="A173" s="82">
        <v>15</v>
      </c>
      <c r="B173" s="82" t="s">
        <v>259</v>
      </c>
      <c r="C173" s="89"/>
      <c r="D173" s="151"/>
      <c r="E173" s="152"/>
      <c r="F173" s="152"/>
      <c r="G173" s="153"/>
      <c r="H173" s="629"/>
      <c r="Q173" s="52"/>
      <c r="R173" s="44"/>
    </row>
    <row r="174" spans="1:18" s="29" customFormat="1">
      <c r="A174" s="877" t="s">
        <v>238</v>
      </c>
      <c r="B174" s="879" t="s">
        <v>275</v>
      </c>
      <c r="C174" s="880"/>
      <c r="D174" s="943" t="s">
        <v>50</v>
      </c>
      <c r="E174" s="828">
        <v>2.5</v>
      </c>
      <c r="F174" s="828">
        <v>4</v>
      </c>
      <c r="G174" s="957"/>
      <c r="H174" s="828">
        <f>IF(G174&gt;=80%,F174,IF(G174&lt;65%,0,E174))</f>
        <v>0</v>
      </c>
      <c r="Q174" s="52"/>
      <c r="R174" s="44"/>
    </row>
    <row r="175" spans="1:18" s="29" customFormat="1" ht="15.6">
      <c r="A175" s="878"/>
      <c r="B175" s="810" t="s">
        <v>276</v>
      </c>
      <c r="C175" s="810"/>
      <c r="D175" s="944"/>
      <c r="E175" s="829"/>
      <c r="F175" s="829"/>
      <c r="G175" s="958"/>
      <c r="H175" s="829"/>
      <c r="Q175" s="52"/>
      <c r="R175" s="44"/>
    </row>
    <row r="176" spans="1:18" s="29" customFormat="1">
      <c r="A176" s="877" t="s">
        <v>239</v>
      </c>
      <c r="B176" s="858" t="s">
        <v>137</v>
      </c>
      <c r="C176" s="840"/>
      <c r="D176" s="937" t="s">
        <v>50</v>
      </c>
      <c r="E176" s="938">
        <v>2.5</v>
      </c>
      <c r="F176" s="938">
        <v>4</v>
      </c>
      <c r="G176" s="961"/>
      <c r="H176" s="811">
        <f>IF(G176&gt;=80%,F176,IF(G176&lt;65%,0,E176))</f>
        <v>0</v>
      </c>
      <c r="Q176" s="52"/>
      <c r="R176" s="44"/>
    </row>
    <row r="177" spans="1:18" s="29" customFormat="1" ht="15.6">
      <c r="A177" s="878"/>
      <c r="B177" s="810" t="s">
        <v>119</v>
      </c>
      <c r="C177" s="810"/>
      <c r="D177" s="937"/>
      <c r="E177" s="938"/>
      <c r="F177" s="938"/>
      <c r="G177" s="961"/>
      <c r="H177" s="811"/>
      <c r="Q177" s="52"/>
      <c r="R177" s="44"/>
    </row>
    <row r="178" spans="1:18" s="29" customFormat="1" ht="15.6">
      <c r="A178" s="102">
        <v>16</v>
      </c>
      <c r="B178" s="102" t="s">
        <v>202</v>
      </c>
      <c r="C178" s="89"/>
      <c r="D178" s="89"/>
      <c r="E178" s="91"/>
      <c r="F178" s="91"/>
      <c r="G178" s="92"/>
      <c r="H178" s="614"/>
      <c r="Q178" s="59"/>
      <c r="R178" s="44"/>
    </row>
    <row r="179" spans="1:18" s="29" customFormat="1">
      <c r="A179" s="598" t="s">
        <v>241</v>
      </c>
      <c r="B179" s="765"/>
      <c r="C179" s="766"/>
      <c r="D179" s="107"/>
      <c r="E179" s="538"/>
      <c r="F179" s="538"/>
      <c r="G179" s="65"/>
      <c r="H179" s="633">
        <f>IF(G179&gt;=80%,F179,IF(G179&lt;65%,0,E179))</f>
        <v>0</v>
      </c>
      <c r="Q179" s="52"/>
      <c r="R179" s="44"/>
    </row>
    <row r="180" spans="1:18" s="29" customFormat="1">
      <c r="A180" s="598" t="s">
        <v>242</v>
      </c>
      <c r="B180" s="765"/>
      <c r="C180" s="766"/>
      <c r="D180" s="107"/>
      <c r="E180" s="538"/>
      <c r="F180" s="538"/>
      <c r="G180" s="65"/>
      <c r="H180" s="633">
        <f>IF(G180&gt;=80%,F180,IF(G180&lt;65%,0,E180))</f>
        <v>0</v>
      </c>
      <c r="Q180" s="52"/>
      <c r="R180" s="44"/>
    </row>
    <row r="181" spans="1:18" s="29" customFormat="1">
      <c r="A181" s="598" t="s">
        <v>243</v>
      </c>
      <c r="B181" s="765"/>
      <c r="C181" s="766"/>
      <c r="D181" s="107"/>
      <c r="E181" s="538"/>
      <c r="F181" s="538"/>
      <c r="G181" s="65"/>
      <c r="H181" s="633">
        <f>IF(G181&gt;=80%,F181,IF(G181&lt;65%,0,E181))</f>
        <v>0</v>
      </c>
      <c r="Q181" s="52"/>
      <c r="R181" s="44"/>
    </row>
    <row r="182" spans="1:18" s="29" customFormat="1" ht="15.6">
      <c r="A182" s="604"/>
      <c r="B182" s="307"/>
      <c r="C182" s="305"/>
      <c r="D182" s="305"/>
      <c r="E182" s="305"/>
      <c r="F182" s="309"/>
      <c r="G182" s="310" t="s">
        <v>376</v>
      </c>
      <c r="H182" s="634">
        <f>IFERROR((SUM(H147:H181)),0)</f>
        <v>0</v>
      </c>
      <c r="Q182" s="52"/>
      <c r="R182" s="44"/>
    </row>
    <row r="183" spans="1:18" s="29" customFormat="1" ht="15.6" thickBot="1">
      <c r="A183" s="594"/>
      <c r="B183" s="361"/>
      <c r="C183" s="362"/>
      <c r="D183" s="362"/>
      <c r="E183" s="362"/>
      <c r="F183" s="362"/>
      <c r="G183" s="354"/>
      <c r="H183" s="595"/>
      <c r="Q183" s="52"/>
      <c r="R183" s="44"/>
    </row>
    <row r="184" spans="1:18" s="29" customFormat="1" ht="30.75" customHeight="1">
      <c r="A184" s="865" t="s">
        <v>0</v>
      </c>
      <c r="B184" s="866"/>
      <c r="C184" s="869"/>
      <c r="D184" s="856" t="s">
        <v>4</v>
      </c>
      <c r="E184" s="959" t="s">
        <v>1</v>
      </c>
      <c r="F184" s="960"/>
      <c r="G184" s="955" t="s">
        <v>21</v>
      </c>
      <c r="H184" s="856" t="s">
        <v>62</v>
      </c>
      <c r="Q184" s="52"/>
      <c r="R184" s="44"/>
    </row>
    <row r="185" spans="1:18" s="29" customFormat="1" ht="15.6">
      <c r="A185" s="867"/>
      <c r="B185" s="868"/>
      <c r="C185" s="870"/>
      <c r="D185" s="857"/>
      <c r="E185" s="550" t="s">
        <v>120</v>
      </c>
      <c r="F185" s="550" t="s">
        <v>121</v>
      </c>
      <c r="G185" s="956"/>
      <c r="H185" s="857"/>
      <c r="Q185" s="52"/>
      <c r="R185" s="44"/>
    </row>
    <row r="186" spans="1:18" s="29" customFormat="1" ht="15.6">
      <c r="A186" s="126" t="s">
        <v>240</v>
      </c>
      <c r="B186" s="105" t="s">
        <v>244</v>
      </c>
      <c r="C186" s="106"/>
      <c r="D186" s="106"/>
      <c r="E186" s="106"/>
      <c r="F186" s="110"/>
      <c r="G186" s="111"/>
      <c r="H186" s="628"/>
      <c r="Q186" s="52"/>
      <c r="R186" s="44"/>
    </row>
    <row r="187" spans="1:18" s="29" customFormat="1">
      <c r="A187" s="625" t="s">
        <v>277</v>
      </c>
      <c r="B187" s="858" t="s">
        <v>245</v>
      </c>
      <c r="C187" s="859"/>
      <c r="D187" s="5" t="s">
        <v>50</v>
      </c>
      <c r="E187" s="20">
        <v>-1</v>
      </c>
      <c r="F187" s="20">
        <v>-2</v>
      </c>
      <c r="G187" s="28"/>
      <c r="H187" s="20">
        <f>IF(G187&gt;=30%,F187,IF(G187=0%,0,E187))</f>
        <v>0</v>
      </c>
      <c r="Q187" s="52"/>
      <c r="R187" s="44"/>
    </row>
    <row r="188" spans="1:18" s="29" customFormat="1">
      <c r="A188" s="625" t="s">
        <v>278</v>
      </c>
      <c r="B188" s="858" t="s">
        <v>246</v>
      </c>
      <c r="C188" s="859"/>
      <c r="D188" s="5" t="s">
        <v>50</v>
      </c>
      <c r="E188" s="20">
        <v>-1</v>
      </c>
      <c r="F188" s="20">
        <v>-1.5</v>
      </c>
      <c r="G188" s="28"/>
      <c r="H188" s="20">
        <f>IF(G188&gt;=30%,F188,IF(G188=0%,0,E188))</f>
        <v>0</v>
      </c>
      <c r="Q188" s="52"/>
      <c r="R188" s="44"/>
    </row>
    <row r="189" spans="1:18" s="29" customFormat="1">
      <c r="A189" s="625" t="s">
        <v>279</v>
      </c>
      <c r="B189" s="858" t="s">
        <v>247</v>
      </c>
      <c r="C189" s="859"/>
      <c r="D189" s="5" t="s">
        <v>50</v>
      </c>
      <c r="E189" s="811">
        <v>-1</v>
      </c>
      <c r="F189" s="811"/>
      <c r="G189" s="553"/>
      <c r="H189" s="20">
        <f>IF(G189&gt;0%,E189,0)</f>
        <v>0</v>
      </c>
      <c r="Q189" s="52"/>
      <c r="R189" s="44"/>
    </row>
    <row r="190" spans="1:18" s="29" customFormat="1" ht="15.6">
      <c r="A190" s="604"/>
      <c r="B190" s="307"/>
      <c r="C190" s="305"/>
      <c r="D190" s="305"/>
      <c r="E190" s="305"/>
      <c r="F190" s="309"/>
      <c r="G190" s="310" t="s">
        <v>133</v>
      </c>
      <c r="H190" s="634">
        <f>IFERROR(MAX(SUM(H187:H189),-4),0)</f>
        <v>0</v>
      </c>
      <c r="Q190" s="44"/>
      <c r="R190" s="44"/>
    </row>
    <row r="191" spans="1:18" s="29" customFormat="1">
      <c r="A191" s="592"/>
      <c r="B191" s="307"/>
      <c r="C191" s="305"/>
      <c r="D191" s="305"/>
      <c r="E191" s="305"/>
      <c r="F191" s="305"/>
      <c r="G191" s="314"/>
      <c r="H191" s="571"/>
      <c r="Q191" s="52"/>
      <c r="R191" s="44"/>
    </row>
    <row r="192" spans="1:18" s="29" customFormat="1" ht="15.6">
      <c r="A192" s="592"/>
      <c r="B192" s="307"/>
      <c r="C192" s="305"/>
      <c r="D192" s="305"/>
      <c r="E192" s="305"/>
      <c r="F192" s="305"/>
      <c r="G192" s="312" t="s">
        <v>132</v>
      </c>
      <c r="H192" s="154">
        <f>IFERROR(MIN(SUM(H120+H143+H182+H190),G91),0)</f>
        <v>0</v>
      </c>
      <c r="Q192" s="52"/>
      <c r="R192" s="44"/>
    </row>
    <row r="193" spans="1:18" s="29" customFormat="1" ht="16.2" thickBot="1">
      <c r="A193" s="594"/>
      <c r="B193" s="361"/>
      <c r="C193" s="362"/>
      <c r="D193" s="362"/>
      <c r="E193" s="362"/>
      <c r="F193" s="362"/>
      <c r="G193" s="363"/>
      <c r="H193" s="606"/>
      <c r="Q193" s="52"/>
      <c r="R193" s="44"/>
    </row>
    <row r="194" spans="1:18" s="29" customFormat="1" ht="15.6">
      <c r="A194" s="635" t="s">
        <v>63</v>
      </c>
      <c r="B194" s="355"/>
      <c r="C194" s="355"/>
      <c r="D194" s="355"/>
      <c r="E194" s="355"/>
      <c r="F194" s="356" t="s">
        <v>42</v>
      </c>
      <c r="G194" s="357">
        <f>VLOOKUP($A$7,'Manpower allocation'!A4:D11,4,FALSE)*100</f>
        <v>15</v>
      </c>
      <c r="H194" s="636" t="s">
        <v>41</v>
      </c>
      <c r="I194" s="108">
        <f>VLOOKUP($A$7,'Manpower allocation'!A4:D11,4,FALSE)*100</f>
        <v>15</v>
      </c>
      <c r="Q194" s="52"/>
      <c r="R194" s="44"/>
    </row>
    <row r="195" spans="1:18" s="29" customFormat="1" ht="15.6">
      <c r="A195" s="592"/>
      <c r="B195" s="313"/>
      <c r="C195" s="305"/>
      <c r="D195" s="305"/>
      <c r="E195" s="305"/>
      <c r="F195" s="305"/>
      <c r="G195" s="314"/>
      <c r="H195" s="571"/>
      <c r="Q195" s="52"/>
      <c r="R195" s="44"/>
    </row>
    <row r="196" spans="1:18" s="29" customFormat="1" ht="46.8">
      <c r="A196" s="850" t="s">
        <v>0</v>
      </c>
      <c r="B196" s="851"/>
      <c r="C196" s="109"/>
      <c r="D196" s="545" t="s">
        <v>17</v>
      </c>
      <c r="E196" s="545" t="s">
        <v>124</v>
      </c>
      <c r="F196" s="545" t="s">
        <v>108</v>
      </c>
      <c r="G196" s="545" t="s">
        <v>18</v>
      </c>
      <c r="H196" s="545" t="s">
        <v>62</v>
      </c>
      <c r="Q196" s="52"/>
      <c r="R196" s="44"/>
    </row>
    <row r="197" spans="1:18" s="29" customFormat="1" ht="15.6">
      <c r="A197" s="105" t="s">
        <v>250</v>
      </c>
      <c r="B197" s="531" t="s">
        <v>618</v>
      </c>
      <c r="C197" s="106"/>
      <c r="D197" s="106"/>
      <c r="E197" s="106"/>
      <c r="F197" s="110"/>
      <c r="G197" s="111"/>
      <c r="H197" s="628"/>
      <c r="Q197" s="52"/>
      <c r="R197" s="44"/>
    </row>
    <row r="198" spans="1:18" s="29" customFormat="1" ht="15.6">
      <c r="A198" s="112">
        <v>1</v>
      </c>
      <c r="B198" s="112" t="s">
        <v>304</v>
      </c>
      <c r="C198" s="113"/>
      <c r="D198" s="114"/>
      <c r="E198" s="114"/>
      <c r="F198" s="114"/>
      <c r="G198" s="114"/>
      <c r="H198" s="637"/>
      <c r="Q198" s="52"/>
      <c r="R198" s="44"/>
    </row>
    <row r="199" spans="1:18" s="29" customFormat="1">
      <c r="A199" s="541">
        <v>1.1000000000000001</v>
      </c>
      <c r="B199" s="822" t="s">
        <v>271</v>
      </c>
      <c r="C199" s="824"/>
      <c r="D199" s="20">
        <f>VLOOKUP(A199,'Point Allocation'!$A$46:$J$55,MATCH(A7,'Point Allocation'!$A$46:$J$46,0),0)</f>
        <v>15</v>
      </c>
      <c r="E199" s="38"/>
      <c r="F199" s="38"/>
      <c r="G199" s="31">
        <f>MIN(IFERROR(F199/E199,0),100%)</f>
        <v>0</v>
      </c>
      <c r="H199" s="20">
        <f>D199*G199</f>
        <v>0</v>
      </c>
      <c r="Q199" s="52"/>
      <c r="R199" s="44"/>
    </row>
    <row r="200" spans="1:18" s="29" customFormat="1" ht="15.6">
      <c r="A200" s="115">
        <v>2</v>
      </c>
      <c r="B200" s="115" t="s">
        <v>305</v>
      </c>
      <c r="C200" s="116"/>
      <c r="D200" s="32"/>
      <c r="E200" s="33"/>
      <c r="F200" s="33"/>
      <c r="G200" s="34"/>
      <c r="H200" s="638"/>
      <c r="Q200" s="52"/>
      <c r="R200" s="44"/>
    </row>
    <row r="201" spans="1:18" s="29" customFormat="1" ht="33" customHeight="1">
      <c r="A201" s="544">
        <v>2.1</v>
      </c>
      <c r="B201" s="863" t="s">
        <v>251</v>
      </c>
      <c r="C201" s="864"/>
      <c r="D201" s="20">
        <f>VLOOKUP(A201,'Point Allocation'!$A$46:$J$55,MATCH(A7,'Point Allocation'!$A$46:$J$46,0),0)</f>
        <v>12</v>
      </c>
      <c r="E201" s="38"/>
      <c r="F201" s="38"/>
      <c r="G201" s="31">
        <f>MIN(IFERROR(F201/E201,0),100%)</f>
        <v>0</v>
      </c>
      <c r="H201" s="20">
        <f>D201*G201</f>
        <v>0</v>
      </c>
      <c r="Q201" s="52"/>
      <c r="R201" s="44"/>
    </row>
    <row r="202" spans="1:18" s="29" customFormat="1" ht="15.6">
      <c r="A202" s="112">
        <v>3</v>
      </c>
      <c r="B202" s="112" t="s">
        <v>309</v>
      </c>
      <c r="C202" s="117"/>
      <c r="D202" s="35"/>
      <c r="E202" s="35"/>
      <c r="F202" s="35"/>
      <c r="G202" s="34"/>
      <c r="H202" s="639"/>
      <c r="Q202" s="52"/>
      <c r="R202" s="44"/>
    </row>
    <row r="203" spans="1:18" s="29" customFormat="1">
      <c r="A203" s="540">
        <v>3.1</v>
      </c>
      <c r="B203" s="837" t="s">
        <v>400</v>
      </c>
      <c r="C203" s="838"/>
      <c r="D203" s="20">
        <f>VLOOKUP(A203,'Point Allocation'!$A$46:$J$55,MATCH(A7,'Point Allocation'!$A$46:$J$46,0),0)</f>
        <v>4</v>
      </c>
      <c r="E203" s="38"/>
      <c r="F203" s="38"/>
      <c r="G203" s="31">
        <f>MIN(IFERROR(F203/E203,0),100%)</f>
        <v>0</v>
      </c>
      <c r="H203" s="20">
        <f>D203*G203</f>
        <v>0</v>
      </c>
      <c r="Q203" s="52"/>
      <c r="R203" s="44"/>
    </row>
    <row r="204" spans="1:18" s="29" customFormat="1">
      <c r="A204" s="540">
        <v>3.2</v>
      </c>
      <c r="B204" s="837" t="s">
        <v>401</v>
      </c>
      <c r="C204" s="838"/>
      <c r="D204" s="20">
        <f>VLOOKUP(A204,'Point Allocation'!$A$46:$J$55,MATCH(A7,'Point Allocation'!$A$46:$J$46,0),0)</f>
        <v>4</v>
      </c>
      <c r="E204" s="165"/>
      <c r="F204" s="38"/>
      <c r="G204" s="31">
        <f>MIN(IFERROR(F204/E204,0),100%)</f>
        <v>0</v>
      </c>
      <c r="H204" s="20">
        <f>D204*G204</f>
        <v>0</v>
      </c>
      <c r="Q204" s="52"/>
      <c r="R204" s="44"/>
    </row>
    <row r="205" spans="1:18" s="29" customFormat="1">
      <c r="A205" s="543">
        <v>3.3</v>
      </c>
      <c r="B205" s="858" t="s">
        <v>161</v>
      </c>
      <c r="C205" s="859"/>
      <c r="D205" s="20">
        <f>VLOOKUP(A205,'Point Allocation'!$A$46:$J$55,MATCH(A7,'Point Allocation'!$A$46:$J$46,0),0)</f>
        <v>4</v>
      </c>
      <c r="E205" s="166"/>
      <c r="F205" s="537"/>
      <c r="G205" s="31">
        <f>MIN(IFERROR(F205/E205,0),100%)</f>
        <v>0</v>
      </c>
      <c r="H205" s="20">
        <f>D205*G205</f>
        <v>0</v>
      </c>
      <c r="Q205" s="52"/>
      <c r="R205" s="44"/>
    </row>
    <row r="206" spans="1:18" s="29" customFormat="1" ht="15.6">
      <c r="A206" s="592"/>
      <c r="B206" s="307"/>
      <c r="C206" s="305"/>
      <c r="D206" s="306" t="s">
        <v>6</v>
      </c>
      <c r="E206" s="283">
        <f>MAX(SUM(E199:E205),F206)</f>
        <v>0</v>
      </c>
      <c r="F206" s="283">
        <f>SUM(F199:F205)</f>
        <v>0</v>
      </c>
      <c r="G206" s="322">
        <f>IFERROR(MIN(F206/E206,100%),0)</f>
        <v>0</v>
      </c>
      <c r="H206" s="593">
        <f>IFERROR(SUM(H199:H205),0)</f>
        <v>0</v>
      </c>
      <c r="Q206" s="52"/>
      <c r="R206" s="44"/>
    </row>
    <row r="207" spans="1:18" s="29" customFormat="1" ht="15.6">
      <c r="A207" s="592"/>
      <c r="B207" s="320"/>
      <c r="C207" s="323"/>
      <c r="D207" s="324"/>
      <c r="E207" s="323"/>
      <c r="F207" s="323"/>
      <c r="G207" s="325"/>
      <c r="H207" s="317"/>
      <c r="Q207" s="52"/>
      <c r="R207" s="44"/>
    </row>
    <row r="208" spans="1:18" s="29" customFormat="1" ht="15.6">
      <c r="A208" s="850" t="s">
        <v>0</v>
      </c>
      <c r="B208" s="851"/>
      <c r="C208" s="860"/>
      <c r="D208" s="862" t="s">
        <v>4</v>
      </c>
      <c r="E208" s="862" t="s">
        <v>1</v>
      </c>
      <c r="F208" s="862"/>
      <c r="G208" s="881" t="s">
        <v>21</v>
      </c>
      <c r="H208" s="881" t="s">
        <v>62</v>
      </c>
      <c r="Q208" s="52"/>
      <c r="R208" s="44"/>
    </row>
    <row r="209" spans="1:18" s="29" customFormat="1" ht="30.75" customHeight="1">
      <c r="A209" s="852"/>
      <c r="B209" s="853"/>
      <c r="C209" s="861"/>
      <c r="D209" s="862"/>
      <c r="E209" s="545" t="s">
        <v>64</v>
      </c>
      <c r="F209" s="545" t="s">
        <v>65</v>
      </c>
      <c r="G209" s="881"/>
      <c r="H209" s="881"/>
      <c r="Q209" s="52"/>
      <c r="R209" s="44"/>
    </row>
    <row r="210" spans="1:18" s="29" customFormat="1" ht="15.6">
      <c r="A210" s="45" t="s">
        <v>253</v>
      </c>
      <c r="B210" s="45" t="s">
        <v>254</v>
      </c>
      <c r="C210" s="56"/>
      <c r="D210" s="56"/>
      <c r="E210" s="56"/>
      <c r="F210" s="57"/>
      <c r="G210" s="104"/>
      <c r="H210" s="624"/>
      <c r="Q210" s="52"/>
      <c r="R210" s="44"/>
    </row>
    <row r="211" spans="1:18" s="29" customFormat="1" ht="15.6">
      <c r="A211" s="118">
        <v>4</v>
      </c>
      <c r="B211" s="118" t="s">
        <v>307</v>
      </c>
      <c r="C211" s="116"/>
      <c r="D211" s="119"/>
      <c r="E211" s="120"/>
      <c r="F211" s="120"/>
      <c r="G211" s="121"/>
      <c r="H211" s="640"/>
      <c r="Q211" s="52"/>
      <c r="R211" s="44"/>
    </row>
    <row r="212" spans="1:18" s="29" customFormat="1">
      <c r="A212" s="541">
        <v>4.0999999999999996</v>
      </c>
      <c r="B212" s="822" t="s">
        <v>155</v>
      </c>
      <c r="C212" s="824"/>
      <c r="D212" s="5" t="s">
        <v>50</v>
      </c>
      <c r="E212" s="20" t="s">
        <v>49</v>
      </c>
      <c r="F212" s="20">
        <f>VLOOKUP(A212,'Point Allocation'!$A$46:$J$55,MATCH(A7,'Point Allocation'!$A$46:$J$46,0),0)</f>
        <v>1.5</v>
      </c>
      <c r="G212" s="553"/>
      <c r="H212" s="20">
        <f>IF(G212&gt;=80%,F212,0)</f>
        <v>0</v>
      </c>
      <c r="Q212" s="52"/>
      <c r="R212" s="44"/>
    </row>
    <row r="213" spans="1:18" s="29" customFormat="1">
      <c r="A213" s="541">
        <v>4.2</v>
      </c>
      <c r="B213" s="822" t="s">
        <v>152</v>
      </c>
      <c r="C213" s="824"/>
      <c r="D213" s="5" t="s">
        <v>50</v>
      </c>
      <c r="E213" s="20" t="s">
        <v>49</v>
      </c>
      <c r="F213" s="20">
        <f>VLOOKUP(A213,'Point Allocation'!$A$46:$J$55,MATCH(A7,'Point Allocation'!$A$46:$J$46,0),0)</f>
        <v>1.5</v>
      </c>
      <c r="G213" s="553"/>
      <c r="H213" s="20">
        <f>IF(G213&gt;=80%,F213,0)</f>
        <v>0</v>
      </c>
      <c r="Q213" s="52"/>
      <c r="R213" s="44"/>
    </row>
    <row r="214" spans="1:18" s="29" customFormat="1">
      <c r="A214" s="541">
        <v>4.3</v>
      </c>
      <c r="B214" s="822" t="s">
        <v>146</v>
      </c>
      <c r="C214" s="824"/>
      <c r="D214" s="5" t="s">
        <v>3</v>
      </c>
      <c r="E214" s="20" t="s">
        <v>49</v>
      </c>
      <c r="F214" s="20">
        <f>VLOOKUP(A214,'Point Allocation'!$A$46:$J$55,MATCH(A7,'Point Allocation'!$A$46:$J$46,0),0)</f>
        <v>1.5</v>
      </c>
      <c r="G214" s="553"/>
      <c r="H214" s="20">
        <f>IF(G214&gt;=80%,F214,0)</f>
        <v>0</v>
      </c>
      <c r="Q214" s="52"/>
      <c r="R214" s="44"/>
    </row>
    <row r="215" spans="1:18" s="29" customFormat="1">
      <c r="A215" s="542">
        <v>4.4000000000000004</v>
      </c>
      <c r="B215" s="848" t="s">
        <v>252</v>
      </c>
      <c r="C215" s="849"/>
      <c r="D215" s="5" t="s">
        <v>3</v>
      </c>
      <c r="E215" s="20" t="s">
        <v>49</v>
      </c>
      <c r="F215" s="20">
        <f>VLOOKUP(A215,'Point Allocation'!$A$46:$J$55,MATCH(A7,'Point Allocation'!$A$46:$J$46,0),0)</f>
        <v>1.5</v>
      </c>
      <c r="G215" s="553"/>
      <c r="H215" s="20">
        <f>IF(G215&gt;=80%,F215,0)</f>
        <v>0</v>
      </c>
      <c r="Q215" s="52"/>
      <c r="R215" s="44"/>
    </row>
    <row r="216" spans="1:18" s="29" customFormat="1" ht="15.6">
      <c r="A216" s="118">
        <v>5</v>
      </c>
      <c r="B216" s="118" t="s">
        <v>202</v>
      </c>
      <c r="C216" s="116"/>
      <c r="D216" s="122"/>
      <c r="E216" s="123"/>
      <c r="F216" s="123"/>
      <c r="G216" s="124"/>
      <c r="H216" s="641"/>
      <c r="Q216" s="52"/>
      <c r="R216" s="44"/>
    </row>
    <row r="217" spans="1:18" s="29" customFormat="1">
      <c r="A217" s="591">
        <v>5.0999999999999996</v>
      </c>
      <c r="B217" s="765"/>
      <c r="C217" s="847"/>
      <c r="D217" s="391"/>
      <c r="E217" s="537"/>
      <c r="F217" s="537"/>
      <c r="G217" s="553"/>
      <c r="H217" s="633">
        <f>IF(G217&gt;=80%,F217,IF(G217&lt;65%,0,E217))</f>
        <v>0</v>
      </c>
      <c r="Q217" s="52"/>
      <c r="R217" s="44"/>
    </row>
    <row r="218" spans="1:18" s="29" customFormat="1">
      <c r="A218" s="591">
        <v>5.2</v>
      </c>
      <c r="B218" s="765"/>
      <c r="C218" s="847"/>
      <c r="D218" s="391"/>
      <c r="E218" s="537"/>
      <c r="F218" s="537"/>
      <c r="G218" s="553"/>
      <c r="H218" s="633">
        <f>IF(G218&gt;=80%,F218,IF(G218&lt;65%,0,E218))</f>
        <v>0</v>
      </c>
      <c r="Q218" s="52"/>
      <c r="R218" s="44"/>
    </row>
    <row r="219" spans="1:18" s="29" customFormat="1">
      <c r="A219" s="591">
        <v>5.3</v>
      </c>
      <c r="B219" s="765"/>
      <c r="C219" s="847"/>
      <c r="D219" s="391"/>
      <c r="E219" s="537"/>
      <c r="F219" s="537"/>
      <c r="G219" s="553"/>
      <c r="H219" s="633">
        <f>IF(G219&gt;=80%,F219,IF(G219&lt;65%,0,E219))</f>
        <v>0</v>
      </c>
      <c r="Q219" s="52"/>
      <c r="R219" s="44"/>
    </row>
    <row r="220" spans="1:18" s="29" customFormat="1" ht="15.6">
      <c r="A220" s="592"/>
      <c r="B220" s="326"/>
      <c r="C220" s="326"/>
      <c r="D220" s="314"/>
      <c r="E220" s="314"/>
      <c r="F220" s="314"/>
      <c r="G220" s="312" t="s">
        <v>7</v>
      </c>
      <c r="H220" s="617">
        <f>IFERROR(SUM(H212:H215,H217:H219),0)</f>
        <v>0</v>
      </c>
      <c r="Q220" s="52"/>
      <c r="R220" s="44"/>
    </row>
    <row r="221" spans="1:18" s="29" customFormat="1">
      <c r="A221" s="592"/>
      <c r="B221" s="307"/>
      <c r="C221" s="305"/>
      <c r="D221" s="305"/>
      <c r="E221" s="305"/>
      <c r="F221" s="305"/>
      <c r="G221" s="314"/>
      <c r="H221" s="571"/>
      <c r="Q221" s="52"/>
      <c r="R221" s="44"/>
    </row>
    <row r="222" spans="1:18" s="29" customFormat="1" ht="15.6">
      <c r="A222" s="850" t="s">
        <v>0</v>
      </c>
      <c r="B222" s="851"/>
      <c r="C222" s="860"/>
      <c r="D222" s="881" t="s">
        <v>4</v>
      </c>
      <c r="E222" s="862" t="s">
        <v>1</v>
      </c>
      <c r="F222" s="862"/>
      <c r="G222" s="881" t="s">
        <v>21</v>
      </c>
      <c r="H222" s="881" t="s">
        <v>62</v>
      </c>
      <c r="Q222" s="52"/>
      <c r="R222" s="44"/>
    </row>
    <row r="223" spans="1:18" s="29" customFormat="1" ht="31.2">
      <c r="A223" s="852"/>
      <c r="B223" s="853"/>
      <c r="C223" s="861"/>
      <c r="D223" s="862"/>
      <c r="E223" s="545" t="s">
        <v>64</v>
      </c>
      <c r="F223" s="545" t="s">
        <v>65</v>
      </c>
      <c r="G223" s="881"/>
      <c r="H223" s="881"/>
      <c r="Q223" s="52"/>
      <c r="R223" s="44"/>
    </row>
    <row r="224" spans="1:18" s="29" customFormat="1" ht="15.6">
      <c r="A224" s="105" t="s">
        <v>255</v>
      </c>
      <c r="B224" s="105" t="s">
        <v>518</v>
      </c>
      <c r="C224" s="125"/>
      <c r="D224" s="126"/>
      <c r="E224" s="126"/>
      <c r="F224" s="127"/>
      <c r="G224" s="128"/>
      <c r="H224" s="127"/>
      <c r="Q224" s="52"/>
      <c r="R224" s="44"/>
    </row>
    <row r="225" spans="1:18" s="29" customFormat="1" ht="15.6">
      <c r="A225" s="625" t="s">
        <v>188</v>
      </c>
      <c r="B225" s="822" t="s">
        <v>256</v>
      </c>
      <c r="C225" s="824"/>
      <c r="D225" s="94" t="s">
        <v>2</v>
      </c>
      <c r="E225" s="94">
        <v>1</v>
      </c>
      <c r="F225" s="94">
        <v>2</v>
      </c>
      <c r="G225" s="65"/>
      <c r="H225" s="94">
        <f>IF(G225&gt;=80%,F225,IF(G225&lt;65%,0,E225))</f>
        <v>0</v>
      </c>
      <c r="J225" s="131"/>
      <c r="Q225" s="52"/>
      <c r="R225" s="44"/>
    </row>
    <row r="226" spans="1:18" s="29" customFormat="1">
      <c r="A226" s="575" t="s">
        <v>189</v>
      </c>
      <c r="B226" s="825" t="s">
        <v>619</v>
      </c>
      <c r="C226" s="827"/>
      <c r="D226" s="94" t="s">
        <v>50</v>
      </c>
      <c r="E226" s="94">
        <v>0.5</v>
      </c>
      <c r="F226" s="94">
        <v>1</v>
      </c>
      <c r="G226" s="65"/>
      <c r="H226" s="94">
        <f>IF(G226&gt;=80%,F226,IF(G226&lt;65%,0,E226))</f>
        <v>0</v>
      </c>
      <c r="Q226" s="52"/>
      <c r="R226" s="44"/>
    </row>
    <row r="227" spans="1:18" s="29" customFormat="1" ht="15.6">
      <c r="A227" s="592"/>
      <c r="B227" s="307"/>
      <c r="C227" s="305"/>
      <c r="D227" s="305"/>
      <c r="E227" s="305"/>
      <c r="F227" s="308"/>
      <c r="G227" s="312" t="s">
        <v>109</v>
      </c>
      <c r="H227" s="129">
        <f>IFERROR(SUM(H225:H226),0)</f>
        <v>0</v>
      </c>
      <c r="Q227" s="52"/>
      <c r="R227" s="44"/>
    </row>
    <row r="228" spans="1:18" s="29" customFormat="1">
      <c r="A228" s="592"/>
      <c r="B228" s="307"/>
      <c r="C228" s="305"/>
      <c r="D228" s="305"/>
      <c r="E228" s="305"/>
      <c r="F228" s="305"/>
      <c r="G228" s="314"/>
      <c r="H228" s="571"/>
      <c r="Q228" s="52"/>
      <c r="R228" s="44"/>
    </row>
    <row r="229" spans="1:18" s="29" customFormat="1" ht="15.6">
      <c r="A229" s="592"/>
      <c r="B229" s="307"/>
      <c r="C229" s="305"/>
      <c r="D229" s="305"/>
      <c r="E229" s="305"/>
      <c r="F229" s="305"/>
      <c r="G229" s="312" t="s">
        <v>110</v>
      </c>
      <c r="H229" s="129">
        <f>IFERROR(MIN(SUM(H206+H220+H227),G194),0)</f>
        <v>0</v>
      </c>
      <c r="Q229" s="52"/>
      <c r="R229" s="44"/>
    </row>
    <row r="230" spans="1:18" s="29" customFormat="1" ht="16.2" thickBot="1">
      <c r="A230" s="594"/>
      <c r="B230" s="361"/>
      <c r="C230" s="362"/>
      <c r="D230" s="362"/>
      <c r="E230" s="362"/>
      <c r="F230" s="362"/>
      <c r="G230" s="364"/>
      <c r="H230" s="606"/>
      <c r="Q230" s="52"/>
      <c r="R230" s="44"/>
    </row>
    <row r="231" spans="1:18" s="29" customFormat="1" ht="15.6">
      <c r="A231" s="642" t="s">
        <v>129</v>
      </c>
      <c r="B231" s="455"/>
      <c r="C231" s="455"/>
      <c r="D231" s="455"/>
      <c r="E231" s="455"/>
      <c r="F231" s="456" t="s">
        <v>42</v>
      </c>
      <c r="G231" s="457">
        <v>20</v>
      </c>
      <c r="H231" s="643" t="s">
        <v>41</v>
      </c>
      <c r="Q231" s="52"/>
      <c r="R231" s="44"/>
    </row>
    <row r="232" spans="1:18" s="29" customFormat="1" ht="15.6">
      <c r="A232" s="592"/>
      <c r="B232" s="329"/>
      <c r="C232" s="305"/>
      <c r="D232" s="305"/>
      <c r="E232" s="305"/>
      <c r="F232" s="305"/>
      <c r="G232" s="314"/>
      <c r="H232" s="571"/>
      <c r="Q232" s="52"/>
      <c r="R232" s="44"/>
    </row>
    <row r="233" spans="1:18" s="29" customFormat="1" ht="33" customHeight="1">
      <c r="A233" s="854" t="s">
        <v>0</v>
      </c>
      <c r="B233" s="855"/>
      <c r="C233" s="132"/>
      <c r="D233" s="132"/>
      <c r="E233" s="133" t="s">
        <v>4</v>
      </c>
      <c r="F233" s="133" t="s">
        <v>69</v>
      </c>
      <c r="G233" s="134" t="s">
        <v>21</v>
      </c>
      <c r="H233" s="644" t="s">
        <v>62</v>
      </c>
      <c r="Q233" s="52"/>
      <c r="R233" s="44"/>
    </row>
    <row r="234" spans="1:18" s="29" customFormat="1" ht="15.6">
      <c r="A234" s="105" t="s">
        <v>257</v>
      </c>
      <c r="B234" s="105" t="s">
        <v>258</v>
      </c>
      <c r="C234" s="106"/>
      <c r="D234" s="106"/>
      <c r="E234" s="106"/>
      <c r="F234" s="57"/>
      <c r="G234" s="135"/>
      <c r="H234" s="645"/>
      <c r="I234" s="130"/>
      <c r="Q234" s="52"/>
      <c r="R234" s="44"/>
    </row>
    <row r="235" spans="1:18" s="29" customFormat="1" ht="15.6">
      <c r="A235" s="591">
        <v>1.1000000000000001</v>
      </c>
      <c r="B235" s="816" t="s">
        <v>122</v>
      </c>
      <c r="C235" s="817"/>
      <c r="D235" s="818"/>
      <c r="E235" s="155"/>
      <c r="F235" s="136"/>
      <c r="G235" s="137"/>
      <c r="H235" s="547">
        <f t="shared" ref="H235:H240" si="5">F235*G235</f>
        <v>0</v>
      </c>
      <c r="Q235" s="52"/>
      <c r="R235" s="44"/>
    </row>
    <row r="236" spans="1:18" s="29" customFormat="1" ht="15.6">
      <c r="A236" s="589">
        <v>1.2</v>
      </c>
      <c r="B236" s="844" t="s">
        <v>123</v>
      </c>
      <c r="C236" s="845"/>
      <c r="D236" s="846"/>
      <c r="E236" s="155"/>
      <c r="F236" s="136"/>
      <c r="G236" s="137"/>
      <c r="H236" s="547">
        <f t="shared" si="5"/>
        <v>0</v>
      </c>
      <c r="Q236" s="52"/>
      <c r="R236" s="44"/>
    </row>
    <row r="237" spans="1:18" s="29" customFormat="1" ht="15.6">
      <c r="A237" s="591">
        <v>1.3</v>
      </c>
      <c r="B237" s="816" t="s">
        <v>114</v>
      </c>
      <c r="C237" s="817"/>
      <c r="D237" s="818"/>
      <c r="E237" s="155"/>
      <c r="F237" s="136"/>
      <c r="G237" s="137"/>
      <c r="H237" s="547">
        <f t="shared" si="5"/>
        <v>0</v>
      </c>
      <c r="Q237" s="52"/>
      <c r="R237" s="44"/>
    </row>
    <row r="238" spans="1:18" s="29" customFormat="1" ht="15.6">
      <c r="A238" s="591">
        <v>1.4</v>
      </c>
      <c r="B238" s="816" t="s">
        <v>282</v>
      </c>
      <c r="C238" s="817"/>
      <c r="D238" s="818"/>
      <c r="E238" s="155"/>
      <c r="F238" s="136"/>
      <c r="G238" s="137"/>
      <c r="H238" s="547">
        <f t="shared" si="5"/>
        <v>0</v>
      </c>
      <c r="Q238" s="52"/>
      <c r="R238" s="44"/>
    </row>
    <row r="239" spans="1:18" s="29" customFormat="1" ht="15.6">
      <c r="A239" s="591">
        <v>1.5</v>
      </c>
      <c r="B239" s="816"/>
      <c r="C239" s="817"/>
      <c r="D239" s="818"/>
      <c r="E239" s="155"/>
      <c r="F239" s="136"/>
      <c r="G239" s="137"/>
      <c r="H239" s="547">
        <f t="shared" si="5"/>
        <v>0</v>
      </c>
      <c r="Q239" s="52"/>
      <c r="R239" s="44"/>
    </row>
    <row r="240" spans="1:18" s="29" customFormat="1" ht="15.6">
      <c r="A240" s="591">
        <v>1.6</v>
      </c>
      <c r="B240" s="816"/>
      <c r="C240" s="817"/>
      <c r="D240" s="818"/>
      <c r="E240" s="155"/>
      <c r="F240" s="136"/>
      <c r="G240" s="137"/>
      <c r="H240" s="547">
        <f t="shared" si="5"/>
        <v>0</v>
      </c>
      <c r="Q240" s="52"/>
      <c r="R240" s="44"/>
    </row>
    <row r="241" spans="1:18" s="29" customFormat="1" ht="15.6">
      <c r="A241" s="105" t="s">
        <v>260</v>
      </c>
      <c r="B241" s="105" t="s">
        <v>259</v>
      </c>
      <c r="C241" s="106"/>
      <c r="D241" s="106"/>
      <c r="E241" s="106"/>
      <c r="F241" s="57"/>
      <c r="G241" s="135"/>
      <c r="H241" s="645"/>
      <c r="Q241" s="52"/>
      <c r="R241" s="44"/>
    </row>
    <row r="242" spans="1:18" s="29" customFormat="1" ht="30.6" customHeight="1">
      <c r="A242" s="620">
        <v>2.1</v>
      </c>
      <c r="B242" s="825" t="s">
        <v>620</v>
      </c>
      <c r="C242" s="842"/>
      <c r="D242" s="843"/>
      <c r="E242" s="148" t="s">
        <v>367</v>
      </c>
      <c r="F242" s="389">
        <v>2</v>
      </c>
      <c r="G242" s="390"/>
      <c r="H242" s="547">
        <f>IFERROR(VLOOKUP(E242,J243:K246,2,FALSE),0)</f>
        <v>0</v>
      </c>
      <c r="J242" s="29" t="s">
        <v>367</v>
      </c>
      <c r="K242" s="29">
        <v>0</v>
      </c>
      <c r="Q242" s="52"/>
      <c r="R242" s="44"/>
    </row>
    <row r="243" spans="1:18" s="29" customFormat="1" ht="15.6">
      <c r="A243" s="592"/>
      <c r="B243" s="304"/>
      <c r="C243" s="305"/>
      <c r="D243" s="305"/>
      <c r="E243" s="305"/>
      <c r="F243" s="305"/>
      <c r="G243" s="312" t="s">
        <v>130</v>
      </c>
      <c r="H243" s="138">
        <f>IFERROR(MIN(SUM(H235:H242),G231),0)</f>
        <v>0</v>
      </c>
      <c r="J243" s="29" t="s">
        <v>363</v>
      </c>
      <c r="K243" s="29">
        <v>2</v>
      </c>
      <c r="Q243" s="44"/>
      <c r="R243" s="44"/>
    </row>
    <row r="244" spans="1:18" s="29" customFormat="1">
      <c r="A244" s="592"/>
      <c r="B244" s="307"/>
      <c r="C244" s="305"/>
      <c r="D244" s="305"/>
      <c r="E244" s="305"/>
      <c r="F244" s="305"/>
      <c r="G244" s="314"/>
      <c r="H244" s="571"/>
      <c r="J244" s="29" t="s">
        <v>364</v>
      </c>
      <c r="K244" s="29">
        <v>2</v>
      </c>
      <c r="Q244" s="44"/>
      <c r="R244" s="44"/>
    </row>
    <row r="245" spans="1:18" s="29" customFormat="1" ht="15.6">
      <c r="A245" s="592"/>
      <c r="B245" s="307"/>
      <c r="C245" s="305"/>
      <c r="D245" s="305"/>
      <c r="E245" s="305"/>
      <c r="F245" s="305"/>
      <c r="G245" s="312" t="s">
        <v>68</v>
      </c>
      <c r="H245" s="617">
        <f>IFERROR(H89+H192+H229+H243,0)</f>
        <v>0</v>
      </c>
      <c r="J245" s="29" t="s">
        <v>365</v>
      </c>
      <c r="K245" s="29">
        <v>2</v>
      </c>
      <c r="Q245" s="44"/>
      <c r="R245" s="44"/>
    </row>
    <row r="246" spans="1:18" s="29" customFormat="1">
      <c r="A246" s="592"/>
      <c r="B246" s="307"/>
      <c r="C246" s="305"/>
      <c r="D246" s="305"/>
      <c r="E246" s="305"/>
      <c r="F246" s="305"/>
      <c r="G246" s="314"/>
      <c r="H246" s="571"/>
      <c r="J246" s="29" t="s">
        <v>366</v>
      </c>
      <c r="K246" s="29">
        <v>2</v>
      </c>
      <c r="Q246" s="52"/>
      <c r="R246" s="44"/>
    </row>
    <row r="247" spans="1:18" s="29" customFormat="1" ht="15.75" customHeight="1">
      <c r="A247" s="592"/>
      <c r="B247" s="327" t="s">
        <v>37</v>
      </c>
      <c r="C247" s="314"/>
      <c r="D247" s="809" t="s">
        <v>372</v>
      </c>
      <c r="E247" s="809"/>
      <c r="F247" s="809"/>
      <c r="G247" s="314"/>
      <c r="H247" s="646"/>
      <c r="Q247" s="52"/>
      <c r="R247" s="44"/>
    </row>
    <row r="248" spans="1:18" s="29" customFormat="1" ht="15.6">
      <c r="A248" s="592"/>
      <c r="B248" s="328"/>
      <c r="C248" s="314"/>
      <c r="D248" s="809"/>
      <c r="E248" s="809"/>
      <c r="F248" s="809"/>
      <c r="G248" s="314"/>
      <c r="H248" s="646"/>
      <c r="Q248" s="52"/>
      <c r="R248" s="44"/>
    </row>
    <row r="249" spans="1:18" s="29" customFormat="1" ht="15.6">
      <c r="A249" s="647" t="s">
        <v>261</v>
      </c>
      <c r="B249" s="328" t="s">
        <v>99</v>
      </c>
      <c r="C249" s="347">
        <f>IFERROR(SUM(G32+G35+G37+G38+G47+G50),0)</f>
        <v>0</v>
      </c>
      <c r="D249" s="314" t="s">
        <v>265</v>
      </c>
      <c r="E249" s="137"/>
      <c r="F249" s="314" t="s">
        <v>266</v>
      </c>
      <c r="G249" s="139">
        <f>MIN(IFERROR(SUM(C249+E249),0),100%)</f>
        <v>0</v>
      </c>
      <c r="H249" s="571"/>
      <c r="L249" s="52"/>
      <c r="M249" s="44"/>
    </row>
    <row r="250" spans="1:18" s="29" customFormat="1" ht="15.6">
      <c r="A250" s="647" t="s">
        <v>262</v>
      </c>
      <c r="B250" s="328" t="s">
        <v>100</v>
      </c>
      <c r="C250" s="347">
        <f>IFERROR(SUM(F19+G96+G98+G100+G103+G106+G107+G108+G109+G110),0)</f>
        <v>0</v>
      </c>
      <c r="D250" s="314" t="s">
        <v>265</v>
      </c>
      <c r="E250" s="137"/>
      <c r="F250" s="314" t="s">
        <v>266</v>
      </c>
      <c r="G250" s="139">
        <f>MIN(IFERROR(SUM(C250+E250),0),100%)</f>
        <v>0</v>
      </c>
      <c r="H250" s="571"/>
      <c r="L250" s="52"/>
      <c r="M250" s="44"/>
    </row>
    <row r="251" spans="1:18" s="29" customFormat="1" ht="15.6">
      <c r="A251" s="647" t="s">
        <v>263</v>
      </c>
      <c r="B251" s="328" t="s">
        <v>101</v>
      </c>
      <c r="C251" s="347">
        <f>IFERROR(G206,0)</f>
        <v>0</v>
      </c>
      <c r="D251" s="314" t="s">
        <v>265</v>
      </c>
      <c r="E251" s="137"/>
      <c r="F251" s="286" t="s">
        <v>266</v>
      </c>
      <c r="G251" s="139">
        <f>MIN(IFERROR(SUM(C251+E251),0),100%)</f>
        <v>0</v>
      </c>
      <c r="H251" s="562"/>
      <c r="I251" s="3"/>
      <c r="J251" s="3"/>
      <c r="K251" s="3"/>
      <c r="L251" s="52"/>
      <c r="M251" s="44"/>
    </row>
    <row r="252" spans="1:18" s="29" customFormat="1">
      <c r="A252" s="622"/>
      <c r="B252" s="320"/>
      <c r="C252" s="323"/>
      <c r="D252" s="323"/>
      <c r="E252" s="323"/>
      <c r="F252" s="323"/>
      <c r="G252" s="648"/>
      <c r="H252" s="649"/>
      <c r="J252" s="3"/>
      <c r="K252" s="3"/>
      <c r="L252" s="3"/>
      <c r="M252" s="3"/>
      <c r="N252" s="3"/>
      <c r="O252" s="3"/>
      <c r="P252" s="3"/>
      <c r="Q252" s="52"/>
      <c r="R252" s="44"/>
    </row>
    <row r="253" spans="1:18" s="29" customFormat="1">
      <c r="A253" s="161"/>
      <c r="B253" s="3"/>
      <c r="C253" s="3"/>
      <c r="D253" s="3"/>
      <c r="E253" s="3"/>
      <c r="F253" s="3"/>
      <c r="G253" s="10"/>
      <c r="H253" s="3"/>
      <c r="J253" s="3"/>
      <c r="K253" s="3"/>
      <c r="L253" s="3"/>
      <c r="M253" s="3"/>
      <c r="N253" s="3"/>
      <c r="O253" s="3"/>
      <c r="P253" s="3"/>
      <c r="Q253" s="52"/>
      <c r="R253" s="44"/>
    </row>
    <row r="254" spans="1:18" s="29" customFormat="1">
      <c r="A254" s="161"/>
      <c r="B254" s="3"/>
      <c r="C254" s="3"/>
      <c r="D254" s="3"/>
      <c r="E254" s="3"/>
      <c r="F254" s="3"/>
      <c r="G254" s="10"/>
      <c r="H254" s="3"/>
      <c r="J254" s="3"/>
      <c r="K254" s="3"/>
      <c r="L254" s="3"/>
      <c r="M254" s="3"/>
      <c r="N254" s="3"/>
      <c r="O254" s="3"/>
      <c r="P254" s="3"/>
      <c r="Q254" s="52"/>
      <c r="R254" s="44"/>
    </row>
    <row r="255" spans="1:18" s="29" customFormat="1">
      <c r="A255" s="161"/>
      <c r="B255" s="3"/>
      <c r="C255" s="3"/>
      <c r="D255" s="3"/>
      <c r="E255" s="3"/>
      <c r="F255" s="3"/>
      <c r="G255" s="10"/>
      <c r="H255" s="3"/>
      <c r="J255" s="3"/>
      <c r="K255" s="3"/>
      <c r="L255" s="3"/>
      <c r="M255" s="3"/>
      <c r="N255" s="3"/>
      <c r="O255" s="3"/>
      <c r="P255" s="3"/>
      <c r="Q255" s="52"/>
      <c r="R255" s="44"/>
    </row>
    <row r="256" spans="1:18" s="29" customFormat="1">
      <c r="A256" s="161"/>
      <c r="B256" s="3"/>
      <c r="C256" s="3"/>
      <c r="D256" s="3"/>
      <c r="E256" s="3"/>
      <c r="F256" s="3"/>
      <c r="G256" s="10"/>
      <c r="H256" s="3"/>
      <c r="J256" s="3"/>
      <c r="K256" s="3"/>
      <c r="L256" s="3"/>
      <c r="M256" s="3"/>
      <c r="N256" s="3"/>
      <c r="O256" s="3"/>
      <c r="P256" s="3"/>
      <c r="Q256" s="44"/>
      <c r="R256" s="44"/>
    </row>
    <row r="257" spans="1:18" s="29" customFormat="1">
      <c r="A257" s="161"/>
      <c r="B257" s="3"/>
      <c r="C257" s="3"/>
      <c r="D257" s="3"/>
      <c r="E257" s="3"/>
      <c r="F257" s="3"/>
      <c r="G257" s="10"/>
      <c r="H257" s="3"/>
      <c r="J257" s="3"/>
      <c r="K257" s="3"/>
      <c r="L257" s="3"/>
      <c r="M257" s="3"/>
      <c r="N257" s="3"/>
      <c r="O257" s="3"/>
      <c r="P257" s="3"/>
      <c r="Q257" s="44"/>
      <c r="R257" s="44"/>
    </row>
    <row r="258" spans="1:18" s="29" customFormat="1">
      <c r="A258" s="161"/>
      <c r="B258" s="3"/>
      <c r="C258" s="3"/>
      <c r="D258" s="3"/>
      <c r="E258" s="3"/>
      <c r="F258" s="3"/>
      <c r="G258" s="10"/>
      <c r="H258" s="3"/>
      <c r="J258" s="3"/>
      <c r="K258" s="3"/>
      <c r="L258" s="3"/>
      <c r="M258" s="3"/>
      <c r="N258" s="3"/>
      <c r="O258" s="3"/>
      <c r="P258" s="3"/>
      <c r="Q258" s="44"/>
      <c r="R258" s="44"/>
    </row>
    <row r="259" spans="1:18" s="29" customFormat="1">
      <c r="A259" s="161"/>
      <c r="B259" s="3"/>
      <c r="C259" s="3"/>
      <c r="D259" s="3"/>
      <c r="E259" s="3"/>
      <c r="F259" s="3"/>
      <c r="G259" s="10"/>
      <c r="H259" s="3"/>
      <c r="J259" s="3"/>
      <c r="K259" s="3"/>
      <c r="L259" s="3"/>
      <c r="M259" s="3"/>
      <c r="N259" s="3"/>
      <c r="O259" s="3"/>
      <c r="P259" s="3"/>
      <c r="Q259" s="44"/>
      <c r="R259" s="44"/>
    </row>
  </sheetData>
  <sheetProtection algorithmName="SHA-512" hashValue="u9M45Gyxwfh5FR2fF3iESpzOdZZJoka0EOzxVX/Zg7xK5lwX9MEZF8lChvWjtIUt2sfteJ/k8w7iUarGnznQ/w==" saltValue="W+thMBIdD80go6yCKeOlyA==" spinCount="100000" sheet="1" selectLockedCells="1"/>
  <mergeCells count="236">
    <mergeCell ref="Q106:Q107"/>
    <mergeCell ref="A166:A167"/>
    <mergeCell ref="A162:A165"/>
    <mergeCell ref="B162:C165"/>
    <mergeCell ref="A131:A132"/>
    <mergeCell ref="B139:C139"/>
    <mergeCell ref="B140:C140"/>
    <mergeCell ref="B141:C141"/>
    <mergeCell ref="B142:C142"/>
    <mergeCell ref="A145:B145"/>
    <mergeCell ref="B158:C158"/>
    <mergeCell ref="A160:A161"/>
    <mergeCell ref="B160:C161"/>
    <mergeCell ref="B166:C167"/>
    <mergeCell ref="B107:D107"/>
    <mergeCell ref="E160:F160"/>
    <mergeCell ref="G160:G161"/>
    <mergeCell ref="H160:H161"/>
    <mergeCell ref="E161:F161"/>
    <mergeCell ref="H162:H165"/>
    <mergeCell ref="E163:F163"/>
    <mergeCell ref="E164:F164"/>
    <mergeCell ref="A98:A99"/>
    <mergeCell ref="B98:D98"/>
    <mergeCell ref="A103:A104"/>
    <mergeCell ref="B115:D115"/>
    <mergeCell ref="B117:D117"/>
    <mergeCell ref="A4:B4"/>
    <mergeCell ref="A7:B7"/>
    <mergeCell ref="D7:G7"/>
    <mergeCell ref="B50:D50"/>
    <mergeCell ref="B66:C66"/>
    <mergeCell ref="A11:B12"/>
    <mergeCell ref="B40:D40"/>
    <mergeCell ref="B41:D41"/>
    <mergeCell ref="B37:D37"/>
    <mergeCell ref="B22:C22"/>
    <mergeCell ref="E11:E12"/>
    <mergeCell ref="F11:F12"/>
    <mergeCell ref="B14:C14"/>
    <mergeCell ref="B15:C15"/>
    <mergeCell ref="B16:C16"/>
    <mergeCell ref="D11:D12"/>
    <mergeCell ref="B113:D113"/>
    <mergeCell ref="B17:C17"/>
    <mergeCell ref="A32:A33"/>
    <mergeCell ref="E32:E33"/>
    <mergeCell ref="F32:F33"/>
    <mergeCell ref="G32:G33"/>
    <mergeCell ref="H32:H33"/>
    <mergeCell ref="B33:D33"/>
    <mergeCell ref="B35:D35"/>
    <mergeCell ref="B19:C19"/>
    <mergeCell ref="B20:C20"/>
    <mergeCell ref="B21:C21"/>
    <mergeCell ref="B32:D32"/>
    <mergeCell ref="B23:C23"/>
    <mergeCell ref="B24:C24"/>
    <mergeCell ref="B25:C25"/>
    <mergeCell ref="B54:D54"/>
    <mergeCell ref="B69:C69"/>
    <mergeCell ref="B64:C64"/>
    <mergeCell ref="A38:A39"/>
    <mergeCell ref="B38:D39"/>
    <mergeCell ref="E38:E39"/>
    <mergeCell ref="H38:H39"/>
    <mergeCell ref="E40:E45"/>
    <mergeCell ref="H40:H45"/>
    <mergeCell ref="B43:D43"/>
    <mergeCell ref="B48:D48"/>
    <mergeCell ref="B49:D49"/>
    <mergeCell ref="B56:D56"/>
    <mergeCell ref="B57:D57"/>
    <mergeCell ref="B58:D58"/>
    <mergeCell ref="A61:B62"/>
    <mergeCell ref="B42:D42"/>
    <mergeCell ref="B53:D53"/>
    <mergeCell ref="B44:D44"/>
    <mergeCell ref="B45:D45"/>
    <mergeCell ref="B47:D47"/>
    <mergeCell ref="B68:C68"/>
    <mergeCell ref="B67:C67"/>
    <mergeCell ref="B65:C65"/>
    <mergeCell ref="H208:H209"/>
    <mergeCell ref="B129:C129"/>
    <mergeCell ref="B134:C134"/>
    <mergeCell ref="B135:C135"/>
    <mergeCell ref="E98:E99"/>
    <mergeCell ref="F98:F99"/>
    <mergeCell ref="G98:G99"/>
    <mergeCell ref="H98:H99"/>
    <mergeCell ref="B101:D101"/>
    <mergeCell ref="B108:D108"/>
    <mergeCell ref="B103:D103"/>
    <mergeCell ref="B104:D104"/>
    <mergeCell ref="B99:D99"/>
    <mergeCell ref="H100:H101"/>
    <mergeCell ref="E103:E104"/>
    <mergeCell ref="F103:F104"/>
    <mergeCell ref="B170:C170"/>
    <mergeCell ref="H151:H152"/>
    <mergeCell ref="G174:G175"/>
    <mergeCell ref="H174:H175"/>
    <mergeCell ref="B172:C172"/>
    <mergeCell ref="B169:C169"/>
    <mergeCell ref="D176:D177"/>
    <mergeCell ref="E176:E177"/>
    <mergeCell ref="B81:C81"/>
    <mergeCell ref="B77:C77"/>
    <mergeCell ref="B79:C79"/>
    <mergeCell ref="B96:D96"/>
    <mergeCell ref="B74:C74"/>
    <mergeCell ref="G208:G209"/>
    <mergeCell ref="B155:C155"/>
    <mergeCell ref="B156:C156"/>
    <mergeCell ref="B157:C157"/>
    <mergeCell ref="B176:C176"/>
    <mergeCell ref="E100:E101"/>
    <mergeCell ref="F100:F101"/>
    <mergeCell ref="G100:G101"/>
    <mergeCell ref="E127:E128"/>
    <mergeCell ref="F127:F128"/>
    <mergeCell ref="G127:G128"/>
    <mergeCell ref="E165:F165"/>
    <mergeCell ref="E162:F162"/>
    <mergeCell ref="G162:G165"/>
    <mergeCell ref="E174:E175"/>
    <mergeCell ref="F174:F175"/>
    <mergeCell ref="G103:G104"/>
    <mergeCell ref="F176:F177"/>
    <mergeCell ref="G176:G177"/>
    <mergeCell ref="H103:H104"/>
    <mergeCell ref="B106:D106"/>
    <mergeCell ref="A151:B152"/>
    <mergeCell ref="C151:C152"/>
    <mergeCell ref="D151:D152"/>
    <mergeCell ref="E151:F151"/>
    <mergeCell ref="G151:G152"/>
    <mergeCell ref="B138:C138"/>
    <mergeCell ref="H127:H128"/>
    <mergeCell ref="D131:D132"/>
    <mergeCell ref="E131:E132"/>
    <mergeCell ref="F131:F132"/>
    <mergeCell ref="G131:G132"/>
    <mergeCell ref="H131:H132"/>
    <mergeCell ref="F145:G145"/>
    <mergeCell ref="E147:E148"/>
    <mergeCell ref="F147:G147"/>
    <mergeCell ref="F148:G148"/>
    <mergeCell ref="D147:D148"/>
    <mergeCell ref="B218:C218"/>
    <mergeCell ref="B219:C219"/>
    <mergeCell ref="A222:B223"/>
    <mergeCell ref="C222:C223"/>
    <mergeCell ref="D222:D223"/>
    <mergeCell ref="B203:C203"/>
    <mergeCell ref="B204:C204"/>
    <mergeCell ref="B205:C205"/>
    <mergeCell ref="B217:C217"/>
    <mergeCell ref="B212:C212"/>
    <mergeCell ref="B213:C213"/>
    <mergeCell ref="B214:C214"/>
    <mergeCell ref="B215:C215"/>
    <mergeCell ref="A174:A175"/>
    <mergeCell ref="B82:C82"/>
    <mergeCell ref="B84:C84"/>
    <mergeCell ref="B85:C85"/>
    <mergeCell ref="B86:C86"/>
    <mergeCell ref="B131:C131"/>
    <mergeCell ref="B132:C132"/>
    <mergeCell ref="B109:D109"/>
    <mergeCell ref="B110:D110"/>
    <mergeCell ref="B114:D114"/>
    <mergeCell ref="B118:D118"/>
    <mergeCell ref="B100:D100"/>
    <mergeCell ref="B119:D119"/>
    <mergeCell ref="B125:C125"/>
    <mergeCell ref="A127:A128"/>
    <mergeCell ref="D127:D128"/>
    <mergeCell ref="B128:C128"/>
    <mergeCell ref="B127:C127"/>
    <mergeCell ref="A100:A101"/>
    <mergeCell ref="B174:C174"/>
    <mergeCell ref="D174:D175"/>
    <mergeCell ref="B175:C175"/>
    <mergeCell ref="B171:C171"/>
    <mergeCell ref="B159:C159"/>
    <mergeCell ref="D61:D62"/>
    <mergeCell ref="E61:F61"/>
    <mergeCell ref="G61:G62"/>
    <mergeCell ref="H61:H62"/>
    <mergeCell ref="D69:D72"/>
    <mergeCell ref="B72:C72"/>
    <mergeCell ref="E74:F74"/>
    <mergeCell ref="B76:C76"/>
    <mergeCell ref="B78:C78"/>
    <mergeCell ref="B70:C70"/>
    <mergeCell ref="B71:C71"/>
    <mergeCell ref="B73:C73"/>
    <mergeCell ref="H176:H177"/>
    <mergeCell ref="B177:C177"/>
    <mergeCell ref="B181:C181"/>
    <mergeCell ref="A184:B185"/>
    <mergeCell ref="C184:C185"/>
    <mergeCell ref="D184:D185"/>
    <mergeCell ref="E184:F184"/>
    <mergeCell ref="G184:G185"/>
    <mergeCell ref="H184:H185"/>
    <mergeCell ref="B179:C179"/>
    <mergeCell ref="B180:C180"/>
    <mergeCell ref="A176:A177"/>
    <mergeCell ref="B187:C187"/>
    <mergeCell ref="B188:C188"/>
    <mergeCell ref="B189:C189"/>
    <mergeCell ref="E189:F189"/>
    <mergeCell ref="A196:B196"/>
    <mergeCell ref="B199:C199"/>
    <mergeCell ref="B201:C201"/>
    <mergeCell ref="A208:B209"/>
    <mergeCell ref="C208:C209"/>
    <mergeCell ref="D208:D209"/>
    <mergeCell ref="E208:F208"/>
    <mergeCell ref="B240:D240"/>
    <mergeCell ref="B242:D242"/>
    <mergeCell ref="D247:F248"/>
    <mergeCell ref="H222:H223"/>
    <mergeCell ref="B225:C225"/>
    <mergeCell ref="B226:C226"/>
    <mergeCell ref="A233:B233"/>
    <mergeCell ref="B235:D235"/>
    <mergeCell ref="B236:D236"/>
    <mergeCell ref="B237:D237"/>
    <mergeCell ref="B238:D238"/>
    <mergeCell ref="B239:D239"/>
    <mergeCell ref="E222:F222"/>
    <mergeCell ref="G222:G223"/>
  </mergeCells>
  <dataValidations count="3">
    <dataValidation type="list" allowBlank="1" showInputMessage="1" showErrorMessage="1" sqref="E242" xr:uid="{CDCAED78-2166-4C58-BF9D-8C5AC4226E10}">
      <formula1>$J$242:$J$246</formula1>
    </dataValidation>
    <dataValidation type="list" allowBlank="1" showInputMessage="1" showErrorMessage="1" sqref="F148:G148" xr:uid="{DAF628AA-CB6C-4D04-BDE5-CBB2350ACB52}">
      <formula1>$K$145:$P$145</formula1>
    </dataValidation>
    <dataValidation type="list" allowBlank="1" showInputMessage="1" showErrorMessage="1" sqref="A7:B7" xr:uid="{1112DD3C-16A1-446A-B507-BE4260F08921}">
      <formula1>$J$1:$J$6</formula1>
    </dataValidation>
  </dataValidations>
  <pageMargins left="0.25" right="0.25" top="0.75" bottom="0.75" header="0.3" footer="0.3"/>
  <pageSetup paperSize="9" scale="55" fitToHeight="4" orientation="portrait" r:id="rId1"/>
  <headerFooter>
    <oddFooter>&amp;F</oddFooter>
  </headerFooter>
  <rowBreaks count="3" manualBreakCount="3">
    <brk id="60" max="14" man="1"/>
    <brk id="121" max="14" man="1"/>
    <brk id="183"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259"/>
  <sheetViews>
    <sheetView zoomScale="80" zoomScaleNormal="80" zoomScaleSheetLayoutView="100" workbookViewId="0">
      <selection activeCell="A7" sqref="A7:B7"/>
    </sheetView>
  </sheetViews>
  <sheetFormatPr defaultColWidth="9.109375" defaultRowHeight="15"/>
  <cols>
    <col min="1" max="1" width="7" style="160"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29" style="3" hidden="1" customWidth="1"/>
    <col min="10" max="10" width="45.6640625" style="3" hidden="1" customWidth="1"/>
    <col min="11" max="15" width="9.109375" style="3" hidden="1" customWidth="1"/>
    <col min="16" max="16" width="9.6640625" style="3" hidden="1" customWidth="1"/>
    <col min="17" max="17" width="9.109375" style="3" customWidth="1"/>
    <col min="18" max="16384" width="9.109375" style="3"/>
  </cols>
  <sheetData>
    <row r="1" spans="1:15" ht="15.6">
      <c r="A1" s="558" t="s">
        <v>89</v>
      </c>
      <c r="B1" s="559"/>
      <c r="C1" s="559"/>
      <c r="D1" s="559"/>
      <c r="E1" s="559"/>
      <c r="F1" s="559"/>
      <c r="G1" s="559"/>
      <c r="H1" s="560"/>
      <c r="J1" s="3" t="s">
        <v>40</v>
      </c>
    </row>
    <row r="2" spans="1:15">
      <c r="A2" s="561"/>
      <c r="B2" s="264"/>
      <c r="C2" s="264"/>
      <c r="D2" s="264"/>
      <c r="E2" s="264"/>
      <c r="F2" s="264"/>
      <c r="G2" s="265"/>
      <c r="H2" s="562"/>
      <c r="I2" s="6"/>
      <c r="J2" s="6" t="s">
        <v>384</v>
      </c>
    </row>
    <row r="3" spans="1:15" ht="15.6">
      <c r="A3" s="563" t="s">
        <v>336</v>
      </c>
      <c r="B3" s="264"/>
      <c r="C3" s="264"/>
      <c r="D3" s="331" t="s">
        <v>134</v>
      </c>
      <c r="E3" s="331" t="s">
        <v>135</v>
      </c>
      <c r="F3" s="331" t="s">
        <v>136</v>
      </c>
      <c r="G3" s="289" t="s">
        <v>104</v>
      </c>
      <c r="H3" s="564" t="s">
        <v>62</v>
      </c>
      <c r="I3" s="6"/>
      <c r="J3" s="6" t="s">
        <v>44</v>
      </c>
    </row>
    <row r="4" spans="1:15" ht="15.6">
      <c r="A4" s="966">
        <f>Summary!A6</f>
        <v>0</v>
      </c>
      <c r="B4" s="967"/>
      <c r="C4" s="264"/>
      <c r="D4" s="74">
        <f>H89</f>
        <v>0</v>
      </c>
      <c r="E4" s="154">
        <f>H192</f>
        <v>0</v>
      </c>
      <c r="F4" s="129">
        <f>H229</f>
        <v>0</v>
      </c>
      <c r="G4" s="138">
        <f>H243</f>
        <v>0</v>
      </c>
      <c r="H4" s="565">
        <f>H245</f>
        <v>0</v>
      </c>
      <c r="I4" s="6"/>
      <c r="J4" s="6" t="s">
        <v>15</v>
      </c>
    </row>
    <row r="5" spans="1:15">
      <c r="A5" s="561"/>
      <c r="B5" s="264"/>
      <c r="C5" s="264"/>
      <c r="D5" s="264"/>
      <c r="E5" s="264"/>
      <c r="F5" s="264"/>
      <c r="G5" s="265"/>
      <c r="H5" s="562"/>
      <c r="I5" s="6"/>
      <c r="J5" s="6" t="s">
        <v>16</v>
      </c>
    </row>
    <row r="6" spans="1:15" s="4" customFormat="1" ht="15.6">
      <c r="A6" s="563" t="s">
        <v>90</v>
      </c>
      <c r="B6" s="296"/>
      <c r="C6" s="296"/>
      <c r="D6" s="297" t="s">
        <v>35</v>
      </c>
      <c r="E6" s="264"/>
      <c r="F6" s="264"/>
      <c r="G6" s="265"/>
      <c r="H6" s="562"/>
      <c r="I6" s="6"/>
      <c r="J6" s="6" t="s">
        <v>383</v>
      </c>
      <c r="K6" s="3"/>
      <c r="L6" s="3"/>
      <c r="M6" s="3"/>
    </row>
    <row r="7" spans="1:15" ht="15.75" customHeight="1">
      <c r="A7" s="976" t="s">
        <v>384</v>
      </c>
      <c r="B7" s="977"/>
      <c r="D7" s="761">
        <f>Summary!A100</f>
        <v>0</v>
      </c>
      <c r="E7" s="779"/>
      <c r="F7" s="779"/>
      <c r="G7" s="780"/>
      <c r="H7" s="566"/>
      <c r="I7" s="29"/>
      <c r="J7" s="29" t="s">
        <v>382</v>
      </c>
    </row>
    <row r="8" spans="1:15" ht="15.6" thickBot="1">
      <c r="A8" s="561"/>
      <c r="B8" s="298"/>
      <c r="C8" s="264"/>
      <c r="D8" s="264"/>
      <c r="E8" s="264"/>
      <c r="F8" s="264"/>
      <c r="G8" s="265"/>
      <c r="H8" s="562"/>
    </row>
    <row r="9" spans="1:15" ht="16.2" thickBot="1">
      <c r="A9" s="567" t="s">
        <v>125</v>
      </c>
      <c r="B9" s="140"/>
      <c r="C9" s="140"/>
      <c r="D9" s="140"/>
      <c r="E9" s="140"/>
      <c r="F9" s="141"/>
      <c r="G9" s="16"/>
      <c r="H9" s="568"/>
    </row>
    <row r="10" spans="1:15">
      <c r="A10" s="561"/>
      <c r="B10" s="299"/>
      <c r="C10" s="264"/>
      <c r="D10" s="264"/>
      <c r="E10" s="264"/>
      <c r="F10" s="264"/>
      <c r="G10" s="265"/>
      <c r="H10" s="562"/>
    </row>
    <row r="11" spans="1:15" ht="15.75" customHeight="1">
      <c r="A11" s="905" t="s">
        <v>0</v>
      </c>
      <c r="B11" s="906"/>
      <c r="C11" s="144"/>
      <c r="D11" s="883" t="s">
        <v>4</v>
      </c>
      <c r="E11" s="882" t="s">
        <v>80</v>
      </c>
      <c r="F11" s="882" t="s">
        <v>21</v>
      </c>
      <c r="G11" s="300"/>
      <c r="H11" s="569"/>
    </row>
    <row r="12" spans="1:15" ht="15.75" customHeight="1">
      <c r="A12" s="907"/>
      <c r="B12" s="908"/>
      <c r="C12" s="145"/>
      <c r="D12" s="884"/>
      <c r="E12" s="882"/>
      <c r="F12" s="882"/>
      <c r="G12" s="300"/>
      <c r="H12" s="569"/>
    </row>
    <row r="13" spans="1:15" s="29" customFormat="1" ht="15.6">
      <c r="A13" s="570" t="s">
        <v>127</v>
      </c>
      <c r="B13" s="167"/>
      <c r="C13" s="167"/>
      <c r="D13" s="167"/>
      <c r="E13" s="170"/>
      <c r="F13" s="170"/>
      <c r="G13" s="301"/>
      <c r="H13" s="571"/>
      <c r="N13" s="44"/>
      <c r="O13" s="44"/>
    </row>
    <row r="14" spans="1:15">
      <c r="A14" s="572">
        <v>1</v>
      </c>
      <c r="B14" s="826" t="s">
        <v>268</v>
      </c>
      <c r="C14" s="827"/>
      <c r="D14" s="511" t="s">
        <v>2</v>
      </c>
      <c r="E14" s="512" t="s">
        <v>49</v>
      </c>
      <c r="F14" s="30"/>
      <c r="G14" s="573" t="str">
        <f>IF(F14&lt;65%,"To comply with min. 65%"," ")</f>
        <v>To comply with min. 65%</v>
      </c>
      <c r="H14" s="574"/>
    </row>
    <row r="15" spans="1:15">
      <c r="A15" s="575">
        <v>2</v>
      </c>
      <c r="B15" s="826" t="s">
        <v>590</v>
      </c>
      <c r="C15" s="827"/>
      <c r="D15" s="513" t="s">
        <v>50</v>
      </c>
      <c r="E15" s="514" t="s">
        <v>49</v>
      </c>
      <c r="F15" s="553"/>
      <c r="G15" s="573" t="str">
        <f>IF(F15&lt;80%,"To comply with min. 80%"," ")</f>
        <v>To comply with min. 80%</v>
      </c>
      <c r="H15" s="562"/>
    </row>
    <row r="16" spans="1:15" ht="15" customHeight="1">
      <c r="A16" s="572">
        <v>3</v>
      </c>
      <c r="B16" s="826" t="s">
        <v>589</v>
      </c>
      <c r="C16" s="827"/>
      <c r="D16" s="513" t="s">
        <v>50</v>
      </c>
      <c r="E16" s="514" t="s">
        <v>49</v>
      </c>
      <c r="F16" s="553"/>
      <c r="G16" s="573" t="str">
        <f>IF(F16&lt;80%,"To comply with min. 80%"," ")</f>
        <v>To comply with min. 80%</v>
      </c>
      <c r="H16" s="569"/>
    </row>
    <row r="17" spans="1:18">
      <c r="A17" s="572">
        <v>4</v>
      </c>
      <c r="B17" s="826" t="s">
        <v>591</v>
      </c>
      <c r="C17" s="827"/>
      <c r="D17" s="515" t="s">
        <v>3</v>
      </c>
      <c r="E17" s="514" t="s">
        <v>49</v>
      </c>
      <c r="F17" s="553"/>
      <c r="G17" s="573" t="str">
        <f>IF(F17&lt;65%,"To comply with min. 65%"," ")</f>
        <v>To comply with min. 65%</v>
      </c>
      <c r="H17" s="569"/>
    </row>
    <row r="18" spans="1:18" s="29" customFormat="1" ht="15.6">
      <c r="A18" s="576" t="s">
        <v>126</v>
      </c>
      <c r="B18" s="167"/>
      <c r="C18" s="167"/>
      <c r="D18" s="167"/>
      <c r="E18" s="168"/>
      <c r="F18" s="169"/>
      <c r="G18" s="534"/>
      <c r="H18" s="571"/>
      <c r="J18" s="10"/>
      <c r="N18" s="44"/>
      <c r="O18" s="44"/>
    </row>
    <row r="19" spans="1:18" ht="32.25" customHeight="1">
      <c r="A19" s="577">
        <v>5</v>
      </c>
      <c r="B19" s="886" t="s">
        <v>269</v>
      </c>
      <c r="C19" s="887"/>
      <c r="D19" s="143" t="s">
        <v>3</v>
      </c>
      <c r="E19" s="537"/>
      <c r="F19" s="31">
        <f>IFERROR(E19/$F$120,0)</f>
        <v>0</v>
      </c>
      <c r="G19" s="573" t="str">
        <f>IF(OR($A$7=$J$2,$A$7=$J$3),IF(E19=0,"Please input wall length"," ")," ")</f>
        <v>Please input wall length</v>
      </c>
      <c r="H19" s="569"/>
    </row>
    <row r="20" spans="1:18">
      <c r="A20" s="577" t="s">
        <v>509</v>
      </c>
      <c r="B20" s="826" t="s">
        <v>270</v>
      </c>
      <c r="C20" s="827"/>
      <c r="D20" s="516" t="s">
        <v>50</v>
      </c>
      <c r="E20" s="514" t="s">
        <v>49</v>
      </c>
      <c r="F20" s="30"/>
      <c r="G20" s="573" t="str">
        <f>IF(OR($A$7=$J$2,$A$7=$J$3),IF(F20&lt;65%,"To comply with min. 65%"," ")," ")</f>
        <v>To comply with min. 65%</v>
      </c>
      <c r="H20" s="569"/>
    </row>
    <row r="21" spans="1:18">
      <c r="A21" s="577" t="s">
        <v>510</v>
      </c>
      <c r="B21" s="826" t="s">
        <v>592</v>
      </c>
      <c r="C21" s="827"/>
      <c r="D21" s="516" t="s">
        <v>50</v>
      </c>
      <c r="E21" s="514" t="s">
        <v>49</v>
      </c>
      <c r="F21" s="30"/>
      <c r="G21" s="573" t="str">
        <f>IF(OR($A$7=$J$2,$A$7=$J$3),IF(F21&lt;60%,"To comply with min. 60%"," ")," ")</f>
        <v>To comply with min. 60%</v>
      </c>
      <c r="H21" s="569"/>
    </row>
    <row r="22" spans="1:18">
      <c r="A22" s="577" t="s">
        <v>511</v>
      </c>
      <c r="B22" s="826" t="s">
        <v>593</v>
      </c>
      <c r="C22" s="827"/>
      <c r="D22" s="516" t="s">
        <v>50</v>
      </c>
      <c r="E22" s="514" t="s">
        <v>49</v>
      </c>
      <c r="F22" s="30"/>
      <c r="G22" s="573" t="str">
        <f>IF(OR($A$7=$J$2,$A$7=$J$3),IF(F22&lt;65%,"To comply with min. 65%"," ")," ")</f>
        <v>To comply with min. 65%</v>
      </c>
      <c r="H22" s="569"/>
    </row>
    <row r="23" spans="1:18">
      <c r="A23" s="577" t="s">
        <v>512</v>
      </c>
      <c r="B23" s="826" t="s">
        <v>594</v>
      </c>
      <c r="C23" s="827"/>
      <c r="D23" s="516" t="s">
        <v>50</v>
      </c>
      <c r="E23" s="514" t="s">
        <v>49</v>
      </c>
      <c r="F23" s="30"/>
      <c r="G23" s="573" t="str">
        <f>IF(OR($A$7=$J$2,$A$7=$J$3),IF(F23&lt;60%,"To comply with min. 60%"," ")," ")</f>
        <v>To comply with min. 60%</v>
      </c>
      <c r="H23" s="569"/>
    </row>
    <row r="24" spans="1:18">
      <c r="A24" s="577" t="s">
        <v>283</v>
      </c>
      <c r="B24" s="826" t="s">
        <v>595</v>
      </c>
      <c r="C24" s="827"/>
      <c r="D24" s="513" t="s">
        <v>50</v>
      </c>
      <c r="E24" s="514" t="s">
        <v>49</v>
      </c>
      <c r="F24" s="553"/>
      <c r="G24" s="573" t="str">
        <f>IF(OR($A$7=$J$2,$A$7=$J$3),IF(F24&lt;65%,"To comply with min. 65%"," ")," ")</f>
        <v>To comply with min. 65%</v>
      </c>
      <c r="H24" s="569"/>
    </row>
    <row r="25" spans="1:18">
      <c r="A25" s="577" t="s">
        <v>513</v>
      </c>
      <c r="B25" s="826" t="s">
        <v>596</v>
      </c>
      <c r="C25" s="827"/>
      <c r="D25" s="513" t="s">
        <v>50</v>
      </c>
      <c r="E25" s="514" t="s">
        <v>49</v>
      </c>
      <c r="F25" s="553"/>
      <c r="G25" s="573" t="str">
        <f>IF(OR($A$7=$J$2,$A$7=$J$3),IF(F25&lt;80%,"To comply with min. 80%"," ")," ")</f>
        <v>To comply with min. 80%</v>
      </c>
      <c r="H25" s="569"/>
    </row>
    <row r="26" spans="1:18">
      <c r="A26" s="561"/>
      <c r="B26" s="264"/>
      <c r="C26" s="264"/>
      <c r="D26" s="264"/>
      <c r="E26" s="264"/>
      <c r="F26" s="264"/>
      <c r="G26" s="265"/>
      <c r="H26" s="562"/>
      <c r="J26" s="6"/>
    </row>
    <row r="27" spans="1:18" ht="15.6">
      <c r="A27" s="578" t="s">
        <v>43</v>
      </c>
      <c r="B27" s="157"/>
      <c r="C27" s="157"/>
      <c r="D27" s="157"/>
      <c r="E27" s="157"/>
      <c r="F27" s="158" t="s">
        <v>42</v>
      </c>
      <c r="G27" s="159">
        <f>VLOOKUP($A$7,'Manpower allocation'!A4:D11,2,FALSE)*100</f>
        <v>45</v>
      </c>
      <c r="H27" s="579" t="s">
        <v>41</v>
      </c>
      <c r="I27" s="365">
        <f>VLOOKUP($A$7,'Manpower allocation'!A4:D11,2,FALSE)*100</f>
        <v>45</v>
      </c>
      <c r="J27" s="6"/>
    </row>
    <row r="28" spans="1:18" ht="15.6">
      <c r="A28" s="561"/>
      <c r="B28" s="302"/>
      <c r="C28" s="303"/>
      <c r="D28" s="264"/>
      <c r="E28" s="264"/>
      <c r="F28" s="264"/>
      <c r="G28" s="265"/>
      <c r="H28" s="562"/>
      <c r="J28" s="6"/>
    </row>
    <row r="29" spans="1:18" s="29" customFormat="1" ht="46.8">
      <c r="A29" s="580" t="s">
        <v>0</v>
      </c>
      <c r="B29" s="40"/>
      <c r="C29" s="40"/>
      <c r="D29" s="41"/>
      <c r="E29" s="42" t="s">
        <v>17</v>
      </c>
      <c r="F29" s="42" t="s">
        <v>113</v>
      </c>
      <c r="G29" s="42" t="s">
        <v>18</v>
      </c>
      <c r="H29" s="42" t="s">
        <v>52</v>
      </c>
      <c r="J29" s="43"/>
      <c r="Q29" s="44"/>
      <c r="R29" s="44"/>
    </row>
    <row r="30" spans="1:18" s="29" customFormat="1" ht="15.6">
      <c r="A30" s="581" t="s">
        <v>187</v>
      </c>
      <c r="B30" s="45" t="s">
        <v>203</v>
      </c>
      <c r="C30" s="46"/>
      <c r="D30" s="46"/>
      <c r="E30" s="47"/>
      <c r="F30" s="47"/>
      <c r="G30" s="47"/>
      <c r="H30" s="582"/>
      <c r="Q30" s="44"/>
      <c r="R30" s="44"/>
    </row>
    <row r="31" spans="1:18" s="29" customFormat="1" ht="15.6">
      <c r="A31" s="583">
        <v>1</v>
      </c>
      <c r="B31" s="39" t="s">
        <v>304</v>
      </c>
      <c r="C31" s="40"/>
      <c r="D31" s="48"/>
      <c r="E31" s="40"/>
      <c r="F31" s="49"/>
      <c r="G31" s="49"/>
      <c r="H31" s="584"/>
      <c r="Q31" s="44"/>
      <c r="R31" s="44"/>
    </row>
    <row r="32" spans="1:18" s="29" customFormat="1">
      <c r="A32" s="918">
        <v>1.1000000000000001</v>
      </c>
      <c r="B32" s="836" t="s">
        <v>271</v>
      </c>
      <c r="C32" s="885"/>
      <c r="D32" s="885"/>
      <c r="E32" s="811">
        <f>VLOOKUP(A32,'Point Allocation'!$A$5:$J$15,MATCH(A7,'Point Allocation'!$A$5:$J$5,0),0)</f>
        <v>45</v>
      </c>
      <c r="F32" s="812"/>
      <c r="G32" s="813">
        <f>IFERROR(F32/$F$59,0)</f>
        <v>0</v>
      </c>
      <c r="H32" s="811">
        <f>E32*G32</f>
        <v>0</v>
      </c>
      <c r="Q32" s="44"/>
      <c r="R32" s="44"/>
    </row>
    <row r="33" spans="1:18" s="29" customFormat="1" ht="15.6">
      <c r="A33" s="919"/>
      <c r="B33" s="810" t="s">
        <v>358</v>
      </c>
      <c r="C33" s="810"/>
      <c r="D33" s="810"/>
      <c r="E33" s="811"/>
      <c r="F33" s="812"/>
      <c r="G33" s="813">
        <f t="shared" ref="G33" si="0">IFERROR(F33/$F$59,0)</f>
        <v>0</v>
      </c>
      <c r="H33" s="811"/>
      <c r="Q33" s="44"/>
      <c r="R33" s="44"/>
    </row>
    <row r="34" spans="1:18" s="29" customFormat="1" ht="15.6">
      <c r="A34" s="583">
        <v>2</v>
      </c>
      <c r="B34" s="39" t="s">
        <v>305</v>
      </c>
      <c r="C34" s="50"/>
      <c r="D34" s="48"/>
      <c r="E34" s="51"/>
      <c r="F34" s="8"/>
      <c r="G34" s="22"/>
      <c r="H34" s="585"/>
      <c r="Q34" s="52"/>
      <c r="R34" s="44"/>
    </row>
    <row r="35" spans="1:18" s="29" customFormat="1">
      <c r="A35" s="586">
        <v>2.1</v>
      </c>
      <c r="B35" s="858" t="s">
        <v>192</v>
      </c>
      <c r="C35" s="859"/>
      <c r="D35" s="840"/>
      <c r="E35" s="20">
        <f>VLOOKUP(A35,'Point Allocation'!$A$5:$J$15,MATCH(A7,'Point Allocation'!$A$5:$J$5,0),0)</f>
        <v>42</v>
      </c>
      <c r="F35" s="537"/>
      <c r="G35" s="31">
        <f>IFERROR(F35/$F$59,0)</f>
        <v>0</v>
      </c>
      <c r="H35" s="20">
        <f>E35*G35</f>
        <v>0</v>
      </c>
      <c r="Q35" s="52"/>
      <c r="R35" s="44"/>
    </row>
    <row r="36" spans="1:18" s="29" customFormat="1" ht="15.6">
      <c r="A36" s="583">
        <v>3</v>
      </c>
      <c r="B36" s="39" t="s">
        <v>306</v>
      </c>
      <c r="C36" s="50"/>
      <c r="D36" s="48"/>
      <c r="E36" s="51"/>
      <c r="F36" s="8"/>
      <c r="G36" s="22"/>
      <c r="H36" s="585"/>
      <c r="Q36" s="52"/>
      <c r="R36" s="44"/>
    </row>
    <row r="37" spans="1:18" s="29" customFormat="1" ht="15" customHeight="1">
      <c r="A37" s="586">
        <v>3.1</v>
      </c>
      <c r="B37" s="858" t="s">
        <v>640</v>
      </c>
      <c r="C37" s="859"/>
      <c r="D37" s="840"/>
      <c r="E37" s="20">
        <f>VLOOKUP(A37,'Point Allocation'!$A$5:$J$15,MATCH(A7,'Point Allocation'!$A$5:$J$5,0),0)</f>
        <v>39</v>
      </c>
      <c r="F37" s="37"/>
      <c r="G37" s="31">
        <f>IFERROR(F37/$F$59,0)</f>
        <v>0</v>
      </c>
      <c r="H37" s="546">
        <f>E37*G37</f>
        <v>0</v>
      </c>
      <c r="Q37" s="52"/>
      <c r="R37" s="44"/>
    </row>
    <row r="38" spans="1:18" s="29" customFormat="1" ht="31.5" customHeight="1">
      <c r="A38" s="909">
        <v>3.2</v>
      </c>
      <c r="B38" s="863" t="s">
        <v>296</v>
      </c>
      <c r="C38" s="911"/>
      <c r="D38" s="864"/>
      <c r="E38" s="828">
        <f>VLOOKUP(A38,'Point Allocation'!$A$5:$J$15,MATCH(A7,'Point Allocation'!$A$5:$J$5,0),0)</f>
        <v>39</v>
      </c>
      <c r="F38" s="37"/>
      <c r="G38" s="31">
        <f>IFERROR(F38/$F$59,0)</f>
        <v>0</v>
      </c>
      <c r="H38" s="828">
        <f>IF(SUM(I40:I45)&gt;=4,E38*G38,0)</f>
        <v>0</v>
      </c>
      <c r="Q38" s="52"/>
      <c r="R38" s="44"/>
    </row>
    <row r="39" spans="1:18" s="29" customFormat="1" ht="46.95" customHeight="1">
      <c r="A39" s="910"/>
      <c r="B39" s="912"/>
      <c r="C39" s="913"/>
      <c r="D39" s="914"/>
      <c r="E39" s="829"/>
      <c r="F39" s="521" t="s">
        <v>601</v>
      </c>
      <c r="G39" s="53" t="s">
        <v>116</v>
      </c>
      <c r="H39" s="829"/>
      <c r="Q39" s="52"/>
      <c r="R39" s="44"/>
    </row>
    <row r="40" spans="1:18" s="29" customFormat="1" ht="112.2" customHeight="1">
      <c r="A40" s="587" t="s">
        <v>181</v>
      </c>
      <c r="B40" s="830" t="s">
        <v>323</v>
      </c>
      <c r="C40" s="831"/>
      <c r="D40" s="832"/>
      <c r="E40" s="900"/>
      <c r="F40" s="536" t="s">
        <v>609</v>
      </c>
      <c r="G40" s="552"/>
      <c r="H40" s="889"/>
      <c r="I40" s="54">
        <f t="shared" ref="I40:I45" si="1">IF(G40&gt;=65%,1,0)</f>
        <v>0</v>
      </c>
      <c r="Q40" s="52"/>
      <c r="R40" s="44"/>
    </row>
    <row r="41" spans="1:18" s="29" customFormat="1" ht="63" customHeight="1">
      <c r="A41" s="587" t="s">
        <v>182</v>
      </c>
      <c r="B41" s="833" t="s">
        <v>204</v>
      </c>
      <c r="C41" s="834"/>
      <c r="D41" s="835"/>
      <c r="E41" s="900"/>
      <c r="F41" s="483" t="s">
        <v>598</v>
      </c>
      <c r="G41" s="553"/>
      <c r="H41" s="889"/>
      <c r="I41" s="54">
        <f t="shared" si="1"/>
        <v>0</v>
      </c>
      <c r="Q41" s="52"/>
      <c r="R41" s="44"/>
    </row>
    <row r="42" spans="1:18" s="29" customFormat="1" ht="48.75" customHeight="1">
      <c r="A42" s="587" t="s">
        <v>190</v>
      </c>
      <c r="B42" s="833" t="s">
        <v>205</v>
      </c>
      <c r="C42" s="834"/>
      <c r="D42" s="835"/>
      <c r="E42" s="900"/>
      <c r="F42" s="483" t="s">
        <v>611</v>
      </c>
      <c r="G42" s="553"/>
      <c r="H42" s="889"/>
      <c r="I42" s="54">
        <f t="shared" si="1"/>
        <v>0</v>
      </c>
      <c r="Q42" s="52"/>
      <c r="R42" s="44"/>
    </row>
    <row r="43" spans="1:18" s="29" customFormat="1" ht="45">
      <c r="A43" s="587" t="s">
        <v>183</v>
      </c>
      <c r="B43" s="833" t="s">
        <v>206</v>
      </c>
      <c r="C43" s="834"/>
      <c r="D43" s="835"/>
      <c r="E43" s="900"/>
      <c r="F43" s="483" t="s">
        <v>597</v>
      </c>
      <c r="G43" s="553"/>
      <c r="H43" s="889"/>
      <c r="I43" s="54">
        <f t="shared" si="1"/>
        <v>0</v>
      </c>
      <c r="Q43" s="52"/>
      <c r="R43" s="44"/>
    </row>
    <row r="44" spans="1:18" s="29" customFormat="1" ht="63" customHeight="1">
      <c r="A44" s="587" t="s">
        <v>191</v>
      </c>
      <c r="B44" s="833" t="s">
        <v>207</v>
      </c>
      <c r="C44" s="834"/>
      <c r="D44" s="835"/>
      <c r="E44" s="900"/>
      <c r="F44" s="483" t="s">
        <v>599</v>
      </c>
      <c r="G44" s="553"/>
      <c r="H44" s="889"/>
      <c r="I44" s="54">
        <f t="shared" si="1"/>
        <v>0</v>
      </c>
      <c r="Q44" s="52"/>
      <c r="R44" s="44"/>
    </row>
    <row r="45" spans="1:18" s="29" customFormat="1" ht="31.5" customHeight="1">
      <c r="A45" s="587" t="s">
        <v>184</v>
      </c>
      <c r="B45" s="915" t="s">
        <v>610</v>
      </c>
      <c r="C45" s="916"/>
      <c r="D45" s="886"/>
      <c r="E45" s="901"/>
      <c r="F45" s="483" t="s">
        <v>600</v>
      </c>
      <c r="G45" s="553"/>
      <c r="H45" s="829"/>
      <c r="I45" s="54">
        <f t="shared" si="1"/>
        <v>0</v>
      </c>
      <c r="Q45" s="52"/>
      <c r="R45" s="44"/>
    </row>
    <row r="46" spans="1:18" s="29" customFormat="1" ht="15.6">
      <c r="A46" s="583" t="s">
        <v>185</v>
      </c>
      <c r="B46" s="39" t="s">
        <v>307</v>
      </c>
      <c r="C46" s="55"/>
      <c r="D46" s="48"/>
      <c r="E46" s="51"/>
      <c r="F46" s="36"/>
      <c r="G46" s="23"/>
      <c r="H46" s="588"/>
      <c r="Q46" s="52"/>
      <c r="R46" s="44"/>
    </row>
    <row r="47" spans="1:18" s="29" customFormat="1" ht="31.5" customHeight="1">
      <c r="A47" s="543">
        <v>4.0999999999999996</v>
      </c>
      <c r="B47" s="858" t="s">
        <v>602</v>
      </c>
      <c r="C47" s="859"/>
      <c r="D47" s="840"/>
      <c r="E47" s="20">
        <f>VLOOKUP(A47,'Point Allocation'!$A$5:$J$15,MATCH(A7,'Point Allocation'!$A$5:$J$5,0),0)</f>
        <v>35</v>
      </c>
      <c r="F47" s="537"/>
      <c r="G47" s="31">
        <f>IFERROR(F47/$F$59,0)</f>
        <v>0</v>
      </c>
      <c r="H47" s="20">
        <f>E47*G47</f>
        <v>0</v>
      </c>
      <c r="Q47" s="52"/>
      <c r="R47" s="44"/>
    </row>
    <row r="48" spans="1:18" s="29" customFormat="1">
      <c r="A48" s="589">
        <v>4.2</v>
      </c>
      <c r="B48" s="825" t="s">
        <v>313</v>
      </c>
      <c r="C48" s="826"/>
      <c r="D48" s="827"/>
      <c r="E48" s="20">
        <f>VLOOKUP(A48,'Point Allocation'!$A$5:$J$15,MATCH(A7,'Point Allocation'!$A$5:$J$5,0),0)</f>
        <v>35</v>
      </c>
      <c r="F48" s="537"/>
      <c r="G48" s="31">
        <f>IFERROR(F48/$F$59,0)</f>
        <v>0</v>
      </c>
      <c r="H48" s="20">
        <f>E48*G48</f>
        <v>0</v>
      </c>
      <c r="Q48" s="52"/>
      <c r="R48" s="44"/>
    </row>
    <row r="49" spans="1:18" s="29" customFormat="1">
      <c r="A49" s="589">
        <v>4.3</v>
      </c>
      <c r="B49" s="902" t="s">
        <v>311</v>
      </c>
      <c r="C49" s="903"/>
      <c r="D49" s="904"/>
      <c r="E49" s="20">
        <f>VLOOKUP(A49,'Point Allocation'!$A$5:$J$15,MATCH(A7,'Point Allocation'!$A$5:$J$5,0),0)</f>
        <v>28</v>
      </c>
      <c r="F49" s="537"/>
      <c r="G49" s="31">
        <f>IFERROR(F49/$F$59,0)</f>
        <v>0</v>
      </c>
      <c r="H49" s="20">
        <f>E49*G49</f>
        <v>0</v>
      </c>
      <c r="Q49" s="52"/>
      <c r="R49" s="44"/>
    </row>
    <row r="50" spans="1:18" s="29" customFormat="1">
      <c r="A50" s="543">
        <v>4.4000000000000004</v>
      </c>
      <c r="B50" s="858" t="s">
        <v>312</v>
      </c>
      <c r="C50" s="859"/>
      <c r="D50" s="840"/>
      <c r="E50" s="20">
        <f>VLOOKUP(A50,'Point Allocation'!$A$5:$J$15,MATCH(A7,'Point Allocation'!$A$5:$J$5,0),0)</f>
        <v>28</v>
      </c>
      <c r="F50" s="537"/>
      <c r="G50" s="31">
        <f>IFERROR(F50/$F$59,0)</f>
        <v>0</v>
      </c>
      <c r="H50" s="20">
        <f>E50*G50</f>
        <v>0</v>
      </c>
      <c r="Q50" s="52"/>
      <c r="R50" s="44"/>
    </row>
    <row r="51" spans="1:18" s="58" customFormat="1" ht="15.6">
      <c r="A51" s="581" t="s">
        <v>186</v>
      </c>
      <c r="B51" s="45" t="s">
        <v>200</v>
      </c>
      <c r="C51" s="56"/>
      <c r="D51" s="57"/>
      <c r="E51" s="7"/>
      <c r="F51" s="7"/>
      <c r="G51" s="24"/>
      <c r="H51" s="590"/>
      <c r="I51" s="29"/>
      <c r="J51" s="29"/>
      <c r="K51" s="29"/>
      <c r="L51" s="29"/>
      <c r="M51" s="29"/>
      <c r="Q51" s="59"/>
    </row>
    <row r="52" spans="1:18" s="58" customFormat="1" ht="15.6">
      <c r="A52" s="39">
        <v>5</v>
      </c>
      <c r="B52" s="39" t="s">
        <v>201</v>
      </c>
      <c r="C52" s="48"/>
      <c r="D52" s="48"/>
      <c r="E52" s="8"/>
      <c r="F52" s="8"/>
      <c r="G52" s="22"/>
      <c r="H52" s="588"/>
      <c r="I52" s="29"/>
      <c r="J52" s="29"/>
      <c r="K52" s="29"/>
      <c r="L52" s="29"/>
      <c r="M52" s="29"/>
      <c r="Q52" s="59"/>
    </row>
    <row r="53" spans="1:18" s="29" customFormat="1">
      <c r="A53" s="541">
        <v>5.0999999999999996</v>
      </c>
      <c r="B53" s="822" t="s">
        <v>193</v>
      </c>
      <c r="C53" s="823"/>
      <c r="D53" s="824"/>
      <c r="E53" s="20">
        <f>VLOOKUP(A53,'Point Allocation'!$A$5:$J$15,MATCH(A7,'Point Allocation'!$A$5:$J$5,0),0)</f>
        <v>22</v>
      </c>
      <c r="F53" s="537"/>
      <c r="G53" s="31">
        <f>IFERROR(F53/$F$59,0)</f>
        <v>0</v>
      </c>
      <c r="H53" s="20">
        <f>E53*G53</f>
        <v>0</v>
      </c>
      <c r="Q53" s="52"/>
      <c r="R53" s="44"/>
    </row>
    <row r="54" spans="1:18" s="29" customFormat="1">
      <c r="A54" s="541">
        <v>5.2</v>
      </c>
      <c r="B54" s="822" t="s">
        <v>142</v>
      </c>
      <c r="C54" s="823"/>
      <c r="D54" s="824"/>
      <c r="E54" s="20">
        <f>VLOOKUP(A54,'Point Allocation'!$A$5:$J$15,MATCH(A7,'Point Allocation'!$A$5:$J$5,0),0)</f>
        <v>10</v>
      </c>
      <c r="F54" s="537"/>
      <c r="G54" s="31">
        <f>IFERROR(F54/$F$59,0)</f>
        <v>0</v>
      </c>
      <c r="H54" s="20">
        <f>E54*G54</f>
        <v>0</v>
      </c>
      <c r="Q54" s="52"/>
      <c r="R54" s="44"/>
    </row>
    <row r="55" spans="1:18" s="29" customFormat="1" ht="15.6">
      <c r="A55" s="60">
        <v>6</v>
      </c>
      <c r="B55" s="60" t="s">
        <v>202</v>
      </c>
      <c r="C55" s="48"/>
      <c r="D55" s="48"/>
      <c r="E55" s="8"/>
      <c r="F55" s="8"/>
      <c r="G55" s="22"/>
      <c r="H55" s="588"/>
      <c r="Q55" s="52"/>
      <c r="R55" s="44"/>
    </row>
    <row r="56" spans="1:18" s="29" customFormat="1">
      <c r="A56" s="591">
        <v>6.1</v>
      </c>
      <c r="B56" s="762"/>
      <c r="C56" s="763"/>
      <c r="D56" s="803"/>
      <c r="E56" s="537"/>
      <c r="F56" s="537"/>
      <c r="G56" s="31">
        <f>IFERROR(F56/$F$59,0)</f>
        <v>0</v>
      </c>
      <c r="H56" s="20">
        <f>E56*G56</f>
        <v>0</v>
      </c>
      <c r="Q56" s="52"/>
      <c r="R56" s="44"/>
    </row>
    <row r="57" spans="1:18" s="29" customFormat="1">
      <c r="A57" s="591">
        <v>6.2</v>
      </c>
      <c r="B57" s="762"/>
      <c r="C57" s="763"/>
      <c r="D57" s="803"/>
      <c r="E57" s="537"/>
      <c r="F57" s="537"/>
      <c r="G57" s="31">
        <f>IFERROR(F57/$F$59,0)</f>
        <v>0</v>
      </c>
      <c r="H57" s="20">
        <f>E57*G57</f>
        <v>0</v>
      </c>
      <c r="Q57" s="52"/>
      <c r="R57" s="44"/>
    </row>
    <row r="58" spans="1:18" s="29" customFormat="1">
      <c r="A58" s="591">
        <v>6.3</v>
      </c>
      <c r="B58" s="762"/>
      <c r="C58" s="763"/>
      <c r="D58" s="803"/>
      <c r="E58" s="537"/>
      <c r="F58" s="537"/>
      <c r="G58" s="31">
        <f>IFERROR(F58/$F$59,0)</f>
        <v>0</v>
      </c>
      <c r="H58" s="20">
        <f>E58*G58</f>
        <v>0</v>
      </c>
      <c r="Q58" s="52"/>
      <c r="R58" s="44"/>
    </row>
    <row r="59" spans="1:18" s="29" customFormat="1" ht="15.6">
      <c r="A59" s="592"/>
      <c r="B59" s="304"/>
      <c r="C59" s="305"/>
      <c r="D59" s="305"/>
      <c r="E59" s="306" t="s">
        <v>60</v>
      </c>
      <c r="F59" s="26">
        <f>SUM(F32,F35,F37,F38,F47,F48,F49,F50,F53,F54,F56,F57,F58)</f>
        <v>0</v>
      </c>
      <c r="G59" s="25">
        <f>SUM(G32,G35:G35,G37:G38,G47:G50,G53:G54,G56:G58)</f>
        <v>0</v>
      </c>
      <c r="H59" s="593">
        <f>IFERROR(SUM(H32:H58),0)</f>
        <v>0</v>
      </c>
      <c r="M59" s="61"/>
      <c r="Q59" s="52"/>
      <c r="R59" s="44"/>
    </row>
    <row r="60" spans="1:18" s="29" customFormat="1" ht="15.6" thickBot="1">
      <c r="A60" s="594"/>
      <c r="B60" s="361"/>
      <c r="C60" s="362"/>
      <c r="D60" s="362"/>
      <c r="E60" s="362"/>
      <c r="F60" s="362"/>
      <c r="G60" s="354"/>
      <c r="H60" s="595"/>
      <c r="Q60" s="52"/>
      <c r="R60" s="44"/>
    </row>
    <row r="61" spans="1:18" s="29" customFormat="1" ht="15.6">
      <c r="A61" s="896" t="s">
        <v>0</v>
      </c>
      <c r="B61" s="897"/>
      <c r="C61" s="461"/>
      <c r="D61" s="892" t="s">
        <v>4</v>
      </c>
      <c r="E61" s="894" t="s">
        <v>1</v>
      </c>
      <c r="F61" s="895"/>
      <c r="G61" s="890" t="s">
        <v>21</v>
      </c>
      <c r="H61" s="892" t="s">
        <v>62</v>
      </c>
      <c r="Q61" s="52"/>
      <c r="R61" s="44"/>
    </row>
    <row r="62" spans="1:18" s="29" customFormat="1" ht="31.2">
      <c r="A62" s="898"/>
      <c r="B62" s="899"/>
      <c r="C62" s="62"/>
      <c r="D62" s="893"/>
      <c r="E62" s="42" t="s">
        <v>117</v>
      </c>
      <c r="F62" s="42" t="s">
        <v>118</v>
      </c>
      <c r="G62" s="891"/>
      <c r="H62" s="893"/>
      <c r="I62" s="63"/>
      <c r="Q62" s="52"/>
      <c r="R62" s="44"/>
    </row>
    <row r="63" spans="1:18" s="29" customFormat="1" ht="15.6">
      <c r="A63" s="45" t="s">
        <v>208</v>
      </c>
      <c r="B63" s="45" t="s">
        <v>139</v>
      </c>
      <c r="C63" s="57"/>
      <c r="D63" s="64"/>
      <c r="E63" s="47"/>
      <c r="F63" s="47"/>
      <c r="G63" s="47"/>
      <c r="H63" s="596"/>
      <c r="I63" s="61"/>
      <c r="J63" s="61"/>
      <c r="K63" s="61"/>
      <c r="L63" s="61"/>
      <c r="Q63" s="52"/>
      <c r="R63" s="44"/>
    </row>
    <row r="64" spans="1:18" s="29" customFormat="1" ht="15" customHeight="1">
      <c r="A64" s="597" t="s">
        <v>314</v>
      </c>
      <c r="B64" s="837" t="s">
        <v>647</v>
      </c>
      <c r="C64" s="838"/>
      <c r="D64" s="5" t="s">
        <v>50</v>
      </c>
      <c r="E64" s="9">
        <v>3</v>
      </c>
      <c r="F64" s="9">
        <v>4</v>
      </c>
      <c r="G64" s="30"/>
      <c r="H64" s="20">
        <f>IF(G64&gt;=80%,F64,IF(G64&lt;65%,0,E64))</f>
        <v>0</v>
      </c>
      <c r="Q64" s="52"/>
      <c r="R64" s="44"/>
    </row>
    <row r="65" spans="1:18" s="29" customFormat="1">
      <c r="A65" s="597" t="s">
        <v>315</v>
      </c>
      <c r="B65" s="837" t="s">
        <v>646</v>
      </c>
      <c r="C65" s="838"/>
      <c r="D65" s="5" t="s">
        <v>50</v>
      </c>
      <c r="E65" s="9">
        <v>3</v>
      </c>
      <c r="F65" s="9">
        <v>4</v>
      </c>
      <c r="G65" s="30"/>
      <c r="H65" s="20">
        <f>IF(G65&gt;=80%,F65,IF(G65&lt;65%,0,E65))</f>
        <v>0</v>
      </c>
      <c r="Q65" s="52"/>
      <c r="R65" s="44"/>
    </row>
    <row r="66" spans="1:18" s="29" customFormat="1">
      <c r="A66" s="598" t="s">
        <v>316</v>
      </c>
      <c r="B66" s="837" t="s">
        <v>641</v>
      </c>
      <c r="C66" s="838"/>
      <c r="D66" s="5" t="s">
        <v>50</v>
      </c>
      <c r="E66" s="9">
        <v>3</v>
      </c>
      <c r="F66" s="9">
        <v>4</v>
      </c>
      <c r="G66" s="30"/>
      <c r="H66" s="20">
        <f>IF(G66&gt;=80%,F66,IF(G66&lt;65%,0,E66))</f>
        <v>0</v>
      </c>
      <c r="Q66" s="52"/>
      <c r="R66" s="44"/>
    </row>
    <row r="67" spans="1:18" s="29" customFormat="1" ht="51" customHeight="1">
      <c r="A67" s="597">
        <v>7.2</v>
      </c>
      <c r="B67" s="841" t="s">
        <v>319</v>
      </c>
      <c r="C67" s="841"/>
      <c r="D67" s="385" t="s">
        <v>50</v>
      </c>
      <c r="E67" s="546">
        <v>2</v>
      </c>
      <c r="F67" s="546">
        <v>2.5</v>
      </c>
      <c r="G67" s="518"/>
      <c r="H67" s="546">
        <f>IF(H38&gt;0,0,IF(G67&gt;=80%,F67,IF(G67&lt;65%,0,E67)))</f>
        <v>0</v>
      </c>
      <c r="I67" s="11"/>
      <c r="J67" s="11"/>
      <c r="K67" s="11"/>
      <c r="Q67" s="52"/>
      <c r="R67" s="44"/>
    </row>
    <row r="68" spans="1:18" s="29" customFormat="1" ht="15" customHeight="1">
      <c r="A68" s="597">
        <v>7.3</v>
      </c>
      <c r="B68" s="858" t="s">
        <v>215</v>
      </c>
      <c r="C68" s="859"/>
      <c r="D68" s="353"/>
      <c r="E68" s="353"/>
      <c r="F68" s="353"/>
      <c r="G68" s="519"/>
      <c r="H68" s="599"/>
      <c r="I68" s="11"/>
      <c r="J68" s="11"/>
      <c r="K68" s="11"/>
      <c r="Q68" s="52"/>
      <c r="R68" s="44"/>
    </row>
    <row r="69" spans="1:18" s="29" customFormat="1" ht="32.25" customHeight="1">
      <c r="A69" s="598" t="s">
        <v>209</v>
      </c>
      <c r="B69" s="839" t="s">
        <v>216</v>
      </c>
      <c r="C69" s="840"/>
      <c r="D69" s="980" t="s">
        <v>50</v>
      </c>
      <c r="E69" s="279">
        <v>1</v>
      </c>
      <c r="F69" s="279">
        <v>1.5</v>
      </c>
      <c r="G69" s="553"/>
      <c r="H69" s="279">
        <f>IF(H32+H38&gt;0,0.5,IF(G69&gt;=80%,F69,IF(G69&lt;65%,0,E69)))</f>
        <v>0</v>
      </c>
      <c r="J69" s="11"/>
      <c r="K69" s="11"/>
      <c r="Q69" s="52"/>
      <c r="R69" s="44"/>
    </row>
    <row r="70" spans="1:18" s="29" customFormat="1" ht="47.25" customHeight="1">
      <c r="A70" s="598" t="s">
        <v>210</v>
      </c>
      <c r="B70" s="839" t="s">
        <v>217</v>
      </c>
      <c r="C70" s="840"/>
      <c r="D70" s="981"/>
      <c r="E70" s="279">
        <v>1</v>
      </c>
      <c r="F70" s="279">
        <v>1.5</v>
      </c>
      <c r="G70" s="553"/>
      <c r="H70" s="279">
        <f>IF(H32+H38&gt;0,0.5,IF(G70&gt;=80%,F70,IF(G70&lt;65%,0,E70)))</f>
        <v>0</v>
      </c>
      <c r="Q70" s="52"/>
      <c r="R70" s="44"/>
    </row>
    <row r="71" spans="1:18" s="29" customFormat="1">
      <c r="A71" s="598" t="s">
        <v>222</v>
      </c>
      <c r="B71" s="839" t="s">
        <v>218</v>
      </c>
      <c r="C71" s="840"/>
      <c r="D71" s="981"/>
      <c r="E71" s="279">
        <v>1</v>
      </c>
      <c r="F71" s="279">
        <v>1.5</v>
      </c>
      <c r="G71" s="553"/>
      <c r="H71" s="279">
        <f>IF(H32+H38&gt;0,0.5,IF(G71&gt;=80%,F71,IF(G71&lt;65%,0,E71)))</f>
        <v>0</v>
      </c>
      <c r="Q71" s="52"/>
      <c r="R71" s="44"/>
    </row>
    <row r="72" spans="1:18" s="29" customFormat="1" ht="46.5" customHeight="1">
      <c r="A72" s="598" t="s">
        <v>211</v>
      </c>
      <c r="B72" s="839" t="s">
        <v>219</v>
      </c>
      <c r="C72" s="840"/>
      <c r="D72" s="982"/>
      <c r="E72" s="279">
        <v>1</v>
      </c>
      <c r="F72" s="279">
        <v>1.5</v>
      </c>
      <c r="G72" s="553"/>
      <c r="H72" s="279">
        <f>IF(H32+H38&gt;0,0.5,IF(G72&gt;=80%,F72,IF(G72&lt;65%,0,E72)))</f>
        <v>0</v>
      </c>
      <c r="Q72" s="52"/>
      <c r="R72" s="44"/>
    </row>
    <row r="73" spans="1:18" s="29" customFormat="1">
      <c r="A73" s="597">
        <v>7.4</v>
      </c>
      <c r="B73" s="923" t="s">
        <v>393</v>
      </c>
      <c r="C73" s="923"/>
      <c r="D73" s="332" t="s">
        <v>2</v>
      </c>
      <c r="E73" s="279">
        <v>1</v>
      </c>
      <c r="F73" s="279">
        <v>1.5</v>
      </c>
      <c r="G73" s="553"/>
      <c r="H73" s="279">
        <f>IF(G73&gt;=80%,F73,IF(G73&lt;65%,0,E73))</f>
        <v>0</v>
      </c>
      <c r="Q73" s="52"/>
      <c r="R73" s="44"/>
    </row>
    <row r="74" spans="1:18" s="29" customFormat="1" ht="15" customHeight="1">
      <c r="A74" s="600">
        <v>7.5</v>
      </c>
      <c r="B74" s="928" t="s">
        <v>380</v>
      </c>
      <c r="C74" s="928"/>
      <c r="D74" s="490" t="s">
        <v>377</v>
      </c>
      <c r="E74" s="979">
        <v>2</v>
      </c>
      <c r="F74" s="979"/>
      <c r="G74" s="552"/>
      <c r="H74" s="557">
        <f>IF(G74&gt;=5%,E74,0)</f>
        <v>0</v>
      </c>
      <c r="Q74" s="52"/>
      <c r="R74" s="44"/>
    </row>
    <row r="75" spans="1:18" s="29" customFormat="1" ht="15.6">
      <c r="A75" s="66" t="s">
        <v>212</v>
      </c>
      <c r="B75" s="66" t="s">
        <v>517</v>
      </c>
      <c r="C75" s="67"/>
      <c r="D75" s="68"/>
      <c r="E75" s="69"/>
      <c r="F75" s="69"/>
      <c r="G75" s="69"/>
      <c r="H75" s="601"/>
      <c r="Q75" s="52"/>
      <c r="R75" s="44"/>
    </row>
    <row r="76" spans="1:18" s="29" customFormat="1">
      <c r="A76" s="597">
        <v>8.1</v>
      </c>
      <c r="B76" s="836" t="s">
        <v>220</v>
      </c>
      <c r="C76" s="836"/>
      <c r="D76" s="5" t="s">
        <v>50</v>
      </c>
      <c r="E76" s="20">
        <v>2</v>
      </c>
      <c r="F76" s="20">
        <v>2.5</v>
      </c>
      <c r="G76" s="553"/>
      <c r="H76" s="20">
        <f>IF(G76&gt;=80%,F76,IF(G76&lt;65%,0,E76))</f>
        <v>0</v>
      </c>
      <c r="I76" s="70"/>
      <c r="Q76" s="52"/>
      <c r="R76" s="44"/>
    </row>
    <row r="77" spans="1:18" s="29" customFormat="1">
      <c r="A77" s="597">
        <v>8.1999999999999993</v>
      </c>
      <c r="B77" s="836" t="s">
        <v>221</v>
      </c>
      <c r="C77" s="836"/>
      <c r="D77" s="5" t="s">
        <v>50</v>
      </c>
      <c r="E77" s="20">
        <v>2</v>
      </c>
      <c r="F77" s="20">
        <v>2.5</v>
      </c>
      <c r="G77" s="553"/>
      <c r="H77" s="20">
        <f>IF(G77&gt;=80%,F77,IF(G77&lt;65%,0,E77))</f>
        <v>0</v>
      </c>
      <c r="I77" s="11"/>
      <c r="J77" s="11"/>
      <c r="K77" s="11"/>
      <c r="Q77" s="52"/>
      <c r="R77" s="44"/>
    </row>
    <row r="78" spans="1:18" s="29" customFormat="1" ht="30.6" customHeight="1">
      <c r="A78" s="602">
        <v>8.3000000000000007</v>
      </c>
      <c r="B78" s="825" t="s">
        <v>607</v>
      </c>
      <c r="C78" s="827"/>
      <c r="D78" s="420" t="s">
        <v>50</v>
      </c>
      <c r="E78" s="434">
        <v>2</v>
      </c>
      <c r="F78" s="434">
        <v>2.5</v>
      </c>
      <c r="G78" s="553"/>
      <c r="H78" s="279">
        <f>IF(H76&gt;0,0,IF(G78&gt;=80%,F78,IF(G78&lt;65%,0,E78)))</f>
        <v>0</v>
      </c>
      <c r="I78" s="11"/>
      <c r="J78" s="11"/>
      <c r="K78" s="11"/>
      <c r="Q78" s="52"/>
      <c r="R78" s="44"/>
    </row>
    <row r="79" spans="1:18" s="29" customFormat="1">
      <c r="A79" s="602">
        <v>8.4</v>
      </c>
      <c r="B79" s="917" t="s">
        <v>138</v>
      </c>
      <c r="C79" s="843"/>
      <c r="D79" s="420" t="s">
        <v>2</v>
      </c>
      <c r="E79" s="434">
        <v>2</v>
      </c>
      <c r="F79" s="434">
        <v>2.5</v>
      </c>
      <c r="G79" s="30"/>
      <c r="H79" s="20">
        <f>IF(G79&gt;=80%,F79,IF(G79&lt;65%,0,E79))</f>
        <v>0</v>
      </c>
      <c r="Q79" s="52"/>
      <c r="R79" s="44"/>
    </row>
    <row r="80" spans="1:18" s="29" customFormat="1" ht="15.6">
      <c r="A80" s="66" t="s">
        <v>213</v>
      </c>
      <c r="B80" s="66" t="s">
        <v>518</v>
      </c>
      <c r="C80" s="67"/>
      <c r="D80" s="68"/>
      <c r="E80" s="69"/>
      <c r="F80" s="69"/>
      <c r="G80" s="69"/>
      <c r="H80" s="601"/>
      <c r="Q80" s="52"/>
      <c r="R80" s="44"/>
    </row>
    <row r="81" spans="1:18" s="29" customFormat="1" ht="31.5" customHeight="1">
      <c r="A81" s="602">
        <v>9.1</v>
      </c>
      <c r="B81" s="978" t="s">
        <v>514</v>
      </c>
      <c r="C81" s="978"/>
      <c r="D81" s="420" t="s">
        <v>50</v>
      </c>
      <c r="E81" s="434" t="s">
        <v>49</v>
      </c>
      <c r="F81" s="434">
        <v>2.5</v>
      </c>
      <c r="G81" s="517">
        <f>F21</f>
        <v>0</v>
      </c>
      <c r="H81" s="434">
        <f>IF(G81&gt;=80%,F81,0)</f>
        <v>0</v>
      </c>
      <c r="Q81" s="52"/>
      <c r="R81" s="44"/>
    </row>
    <row r="82" spans="1:18" s="29" customFormat="1" ht="31.5" customHeight="1">
      <c r="A82" s="602">
        <v>9.1999999999999993</v>
      </c>
      <c r="B82" s="825" t="s">
        <v>608</v>
      </c>
      <c r="C82" s="827"/>
      <c r="D82" s="420" t="s">
        <v>50</v>
      </c>
      <c r="E82" s="434">
        <v>2</v>
      </c>
      <c r="F82" s="434">
        <v>2.5</v>
      </c>
      <c r="G82" s="553"/>
      <c r="H82" s="279">
        <f>IF(G82&gt;=80%,F82,IF(G82&lt;65%,0,E82))</f>
        <v>0</v>
      </c>
      <c r="Q82" s="52"/>
      <c r="R82" s="44"/>
    </row>
    <row r="83" spans="1:18" s="29" customFormat="1" ht="15.6">
      <c r="A83" s="71" t="s">
        <v>214</v>
      </c>
      <c r="B83" s="71" t="s">
        <v>202</v>
      </c>
      <c r="C83" s="57"/>
      <c r="D83" s="57"/>
      <c r="E83" s="72"/>
      <c r="F83" s="72"/>
      <c r="G83" s="73"/>
      <c r="H83" s="603"/>
      <c r="Q83" s="52"/>
      <c r="R83" s="44"/>
    </row>
    <row r="84" spans="1:18" s="29" customFormat="1">
      <c r="A84" s="597">
        <v>10.1</v>
      </c>
      <c r="B84" s="776"/>
      <c r="C84" s="776"/>
      <c r="D84" s="520"/>
      <c r="E84" s="537"/>
      <c r="F84" s="537"/>
      <c r="G84" s="553"/>
      <c r="H84" s="20">
        <f>IF(G84&gt;=80%,F84,IF(G84&lt;65%,0,E84))</f>
        <v>0</v>
      </c>
      <c r="Q84" s="52"/>
      <c r="R84" s="44"/>
    </row>
    <row r="85" spans="1:18" s="29" customFormat="1">
      <c r="A85" s="597">
        <v>10.199999999999999</v>
      </c>
      <c r="B85" s="776"/>
      <c r="C85" s="776"/>
      <c r="D85" s="520"/>
      <c r="E85" s="537"/>
      <c r="F85" s="537"/>
      <c r="G85" s="553"/>
      <c r="H85" s="20">
        <f>IF(G85&gt;=80%,F85,IF(G85&lt;65%,0,E85))</f>
        <v>0</v>
      </c>
      <c r="Q85" s="52"/>
      <c r="R85" s="44"/>
    </row>
    <row r="86" spans="1:18" s="29" customFormat="1">
      <c r="A86" s="597">
        <v>10.3</v>
      </c>
      <c r="B86" s="776"/>
      <c r="C86" s="776"/>
      <c r="D86" s="520"/>
      <c r="E86" s="537"/>
      <c r="F86" s="537"/>
      <c r="G86" s="553"/>
      <c r="H86" s="20">
        <f>IF(G86&gt;=80%,F86,IF(G86&lt;65%,0,E86))</f>
        <v>0</v>
      </c>
      <c r="Q86" s="52"/>
      <c r="R86" s="44"/>
    </row>
    <row r="87" spans="1:18" s="29" customFormat="1" ht="15.6">
      <c r="A87" s="604"/>
      <c r="B87" s="307"/>
      <c r="C87" s="305"/>
      <c r="D87" s="305"/>
      <c r="E87" s="308"/>
      <c r="F87" s="309"/>
      <c r="G87" s="310" t="s">
        <v>375</v>
      </c>
      <c r="H87" s="605">
        <f>IFERROR((SUM(H64:H86)),0)</f>
        <v>0</v>
      </c>
      <c r="Q87" s="52"/>
      <c r="R87" s="44"/>
    </row>
    <row r="88" spans="1:18" s="29" customFormat="1">
      <c r="A88" s="592"/>
      <c r="B88" s="307"/>
      <c r="C88" s="305"/>
      <c r="D88" s="305"/>
      <c r="E88" s="305"/>
      <c r="F88" s="305"/>
      <c r="G88" s="311"/>
      <c r="H88" s="571"/>
      <c r="Q88" s="52"/>
      <c r="R88" s="44"/>
    </row>
    <row r="89" spans="1:18" s="29" customFormat="1" ht="15.6">
      <c r="A89" s="592"/>
      <c r="B89" s="307"/>
      <c r="C89" s="305"/>
      <c r="D89" s="305"/>
      <c r="E89" s="305"/>
      <c r="F89" s="305"/>
      <c r="G89" s="312" t="s">
        <v>128</v>
      </c>
      <c r="H89" s="74">
        <f>IFERROR(MIN(G27,H59+H87),0)</f>
        <v>0</v>
      </c>
      <c r="Q89" s="52"/>
      <c r="R89" s="44"/>
    </row>
    <row r="90" spans="1:18" s="29" customFormat="1" ht="16.2" thickBot="1">
      <c r="A90" s="594"/>
      <c r="B90" s="361"/>
      <c r="C90" s="362"/>
      <c r="D90" s="362"/>
      <c r="E90" s="362"/>
      <c r="F90" s="362"/>
      <c r="G90" s="364"/>
      <c r="H90" s="606"/>
      <c r="Q90" s="52"/>
      <c r="R90" s="44"/>
    </row>
    <row r="91" spans="1:18" s="29" customFormat="1" ht="15.6">
      <c r="A91" s="607" t="s">
        <v>51</v>
      </c>
      <c r="B91" s="358"/>
      <c r="C91" s="358"/>
      <c r="D91" s="358"/>
      <c r="E91" s="358"/>
      <c r="F91" s="359" t="s">
        <v>42</v>
      </c>
      <c r="G91" s="360">
        <f>VLOOKUP($A$7,'Manpower allocation'!A4:D11,3,FALSE)*100</f>
        <v>40</v>
      </c>
      <c r="H91" s="608" t="s">
        <v>41</v>
      </c>
      <c r="I91" s="75">
        <f>VLOOKUP($A$7,'Manpower allocation'!A4:D11,3,FALSE)*100</f>
        <v>40</v>
      </c>
      <c r="Q91" s="52"/>
      <c r="R91" s="44"/>
    </row>
    <row r="92" spans="1:18" s="29" customFormat="1" ht="15.6">
      <c r="A92" s="592"/>
      <c r="B92" s="313"/>
      <c r="C92" s="308"/>
      <c r="D92" s="305"/>
      <c r="E92" s="305"/>
      <c r="F92" s="305"/>
      <c r="G92" s="314"/>
      <c r="H92" s="571"/>
      <c r="Q92" s="52"/>
      <c r="R92" s="44"/>
    </row>
    <row r="93" spans="1:18" s="29" customFormat="1" ht="46.8">
      <c r="A93" s="609" t="s">
        <v>0</v>
      </c>
      <c r="B93" s="556"/>
      <c r="C93" s="156"/>
      <c r="D93" s="76"/>
      <c r="E93" s="77" t="s">
        <v>17</v>
      </c>
      <c r="F93" s="78" t="s">
        <v>80</v>
      </c>
      <c r="G93" s="78" t="s">
        <v>20</v>
      </c>
      <c r="H93" s="550" t="s">
        <v>52</v>
      </c>
      <c r="Q93" s="52"/>
      <c r="R93" s="44"/>
    </row>
    <row r="94" spans="1:18" s="29" customFormat="1" ht="15.6">
      <c r="A94" s="79" t="s">
        <v>280</v>
      </c>
      <c r="B94" s="79" t="s">
        <v>298</v>
      </c>
      <c r="C94" s="80"/>
      <c r="D94" s="80"/>
      <c r="E94" s="81"/>
      <c r="F94" s="81"/>
      <c r="G94" s="81"/>
      <c r="H94" s="610"/>
      <c r="Q94" s="52"/>
      <c r="R94" s="44"/>
    </row>
    <row r="95" spans="1:18" s="29" customFormat="1" ht="15.6">
      <c r="A95" s="82">
        <v>1</v>
      </c>
      <c r="B95" s="82" t="s">
        <v>304</v>
      </c>
      <c r="C95" s="83"/>
      <c r="D95" s="83"/>
      <c r="E95" s="84"/>
      <c r="F95" s="84"/>
      <c r="G95" s="84"/>
      <c r="H95" s="611"/>
      <c r="Q95" s="52"/>
      <c r="R95" s="44"/>
    </row>
    <row r="96" spans="1:18" s="29" customFormat="1">
      <c r="A96" s="597">
        <v>1.1000000000000001</v>
      </c>
      <c r="B96" s="858" t="s">
        <v>271</v>
      </c>
      <c r="C96" s="823"/>
      <c r="D96" s="824"/>
      <c r="E96" s="85">
        <f>VLOOKUP(A96,'Point Allocation'!$A$20:$J$41,MATCH(A7,'Point Allocation'!$A$20:$J$20,0),0)</f>
        <v>30</v>
      </c>
      <c r="F96" s="86"/>
      <c r="G96" s="87">
        <f>IFERROR(F96/$F$120,0)</f>
        <v>0</v>
      </c>
      <c r="H96" s="612">
        <f>E96*G96</f>
        <v>0</v>
      </c>
      <c r="Q96" s="44"/>
      <c r="R96" s="44"/>
    </row>
    <row r="97" spans="1:18" s="29" customFormat="1" ht="15.6">
      <c r="A97" s="88">
        <v>2</v>
      </c>
      <c r="B97" s="88" t="s">
        <v>305</v>
      </c>
      <c r="C97" s="89"/>
      <c r="D97" s="90"/>
      <c r="E97" s="90"/>
      <c r="F97" s="91"/>
      <c r="G97" s="92"/>
      <c r="H97" s="613"/>
      <c r="Q97" s="52"/>
      <c r="R97" s="44"/>
    </row>
    <row r="98" spans="1:18" s="29" customFormat="1">
      <c r="A98" s="814">
        <v>2.1</v>
      </c>
      <c r="B98" s="822" t="s">
        <v>196</v>
      </c>
      <c r="C98" s="823"/>
      <c r="D98" s="824"/>
      <c r="E98" s="819">
        <f>VLOOKUP(A98,'Point Allocation'!$A$20:$J$41,MATCH(A7,'Point Allocation'!$A$20:$J$20,0),0)</f>
        <v>28</v>
      </c>
      <c r="F98" s="820"/>
      <c r="G98" s="821">
        <f>IFERROR(F98/$F$120,0)</f>
        <v>0</v>
      </c>
      <c r="H98" s="819">
        <f>E98*G98</f>
        <v>0</v>
      </c>
      <c r="Q98" s="52"/>
      <c r="R98" s="44"/>
    </row>
    <row r="99" spans="1:18" s="29" customFormat="1" ht="15.6">
      <c r="A99" s="878"/>
      <c r="B99" s="816" t="s">
        <v>119</v>
      </c>
      <c r="C99" s="817"/>
      <c r="D99" s="818"/>
      <c r="E99" s="819"/>
      <c r="F99" s="820"/>
      <c r="G99" s="821"/>
      <c r="H99" s="819"/>
      <c r="Q99" s="52"/>
      <c r="R99" s="44"/>
    </row>
    <row r="100" spans="1:18" s="29" customFormat="1">
      <c r="A100" s="814">
        <v>2.2000000000000002</v>
      </c>
      <c r="B100" s="825" t="s">
        <v>606</v>
      </c>
      <c r="C100" s="826"/>
      <c r="D100" s="827"/>
      <c r="E100" s="819">
        <f>VLOOKUP(A100,'Point Allocation'!$A$20:$J$41,MATCH(A7,'Point Allocation'!$A$20:$J$20,0),0)</f>
        <v>28</v>
      </c>
      <c r="F100" s="820"/>
      <c r="G100" s="821">
        <f>IFERROR(F100/$F$120,0)</f>
        <v>0</v>
      </c>
      <c r="H100" s="819">
        <f>E100*G100</f>
        <v>0</v>
      </c>
      <c r="Q100" s="52"/>
      <c r="R100" s="44"/>
    </row>
    <row r="101" spans="1:18" s="29" customFormat="1" ht="15.6">
      <c r="A101" s="815"/>
      <c r="B101" s="816" t="s">
        <v>119</v>
      </c>
      <c r="C101" s="817"/>
      <c r="D101" s="818"/>
      <c r="E101" s="819"/>
      <c r="F101" s="820"/>
      <c r="G101" s="821"/>
      <c r="H101" s="819"/>
      <c r="Q101" s="52"/>
      <c r="R101" s="44"/>
    </row>
    <row r="102" spans="1:18" s="29" customFormat="1" ht="15.6">
      <c r="A102" s="82">
        <v>3</v>
      </c>
      <c r="B102" s="82" t="s">
        <v>306</v>
      </c>
      <c r="C102" s="89"/>
      <c r="D102" s="89"/>
      <c r="E102" s="91"/>
      <c r="F102" s="91"/>
      <c r="G102" s="92"/>
      <c r="H102" s="614"/>
      <c r="Q102" s="52"/>
      <c r="R102" s="44"/>
    </row>
    <row r="103" spans="1:18" s="29" customFormat="1">
      <c r="A103" s="814">
        <v>3.1</v>
      </c>
      <c r="B103" s="822" t="s">
        <v>197</v>
      </c>
      <c r="C103" s="823"/>
      <c r="D103" s="824"/>
      <c r="E103" s="819">
        <f>VLOOKUP(A103,'Point Allocation'!$A$20:$J$41,MATCH(A7,'Point Allocation'!$A$20:$J$20,0),0)</f>
        <v>27</v>
      </c>
      <c r="F103" s="820"/>
      <c r="G103" s="821">
        <f>IFERROR(F103/$F$120,0)</f>
        <v>0</v>
      </c>
      <c r="H103" s="819">
        <f>E103*G103</f>
        <v>0</v>
      </c>
      <c r="Q103" s="52"/>
      <c r="R103" s="44"/>
    </row>
    <row r="104" spans="1:18" s="29" customFormat="1" ht="15.6">
      <c r="A104" s="878"/>
      <c r="B104" s="816" t="s">
        <v>267</v>
      </c>
      <c r="C104" s="817"/>
      <c r="D104" s="818"/>
      <c r="E104" s="819"/>
      <c r="F104" s="820"/>
      <c r="G104" s="821"/>
      <c r="H104" s="819"/>
      <c r="Q104" s="52"/>
      <c r="R104" s="44"/>
    </row>
    <row r="105" spans="1:18" s="29" customFormat="1" ht="15.6">
      <c r="A105" s="82">
        <v>4</v>
      </c>
      <c r="B105" s="82" t="s">
        <v>307</v>
      </c>
      <c r="C105" s="89"/>
      <c r="D105" s="89"/>
      <c r="E105" s="91"/>
      <c r="F105" s="91"/>
      <c r="G105" s="92"/>
      <c r="H105" s="614"/>
      <c r="Q105" s="52"/>
      <c r="R105" s="44"/>
    </row>
    <row r="106" spans="1:18" s="29" customFormat="1" ht="30" customHeight="1">
      <c r="A106" s="598" t="s">
        <v>194</v>
      </c>
      <c r="B106" s="833" t="s">
        <v>273</v>
      </c>
      <c r="C106" s="834"/>
      <c r="D106" s="835"/>
      <c r="E106" s="93">
        <f>VLOOKUP(A106,'Point Allocation'!$A$20:$J$41,MATCH(A7,'Point Allocation'!$A$20:$J$20,0),0)</f>
        <v>25</v>
      </c>
      <c r="F106" s="538"/>
      <c r="G106" s="539">
        <f>IFERROR(F106/$F$120,0)</f>
        <v>0</v>
      </c>
      <c r="H106" s="94">
        <f>E106*G106</f>
        <v>0</v>
      </c>
      <c r="Q106" s="939"/>
      <c r="R106" s="44"/>
    </row>
    <row r="107" spans="1:18" s="29" customFormat="1">
      <c r="A107" s="598" t="s">
        <v>195</v>
      </c>
      <c r="B107" s="833" t="s">
        <v>274</v>
      </c>
      <c r="C107" s="834"/>
      <c r="D107" s="835"/>
      <c r="E107" s="93">
        <f>VLOOKUP(A107,'Point Allocation'!$A$20:$J$41,MATCH(A7,'Point Allocation'!$A$20:$J$20,0),0)</f>
        <v>25</v>
      </c>
      <c r="F107" s="538"/>
      <c r="G107" s="539">
        <f>IFERROR(F107/$F$120,0)</f>
        <v>0</v>
      </c>
      <c r="H107" s="94">
        <f>E107*G107</f>
        <v>0</v>
      </c>
      <c r="Q107" s="939"/>
      <c r="R107" s="44"/>
    </row>
    <row r="108" spans="1:18" s="29" customFormat="1">
      <c r="A108" s="597">
        <v>4.2</v>
      </c>
      <c r="B108" s="848" t="s">
        <v>198</v>
      </c>
      <c r="C108" s="924"/>
      <c r="D108" s="849"/>
      <c r="E108" s="93">
        <f>VLOOKUP(A108,'Point Allocation'!$A$20:$J$41,MATCH(A7,'Point Allocation'!$A$20:$J$20,0),0)</f>
        <v>25</v>
      </c>
      <c r="F108" s="538"/>
      <c r="G108" s="539">
        <f>IFERROR(F108/$F$120,0)</f>
        <v>0</v>
      </c>
      <c r="H108" s="94">
        <f>E108*G108</f>
        <v>0</v>
      </c>
      <c r="Q108" s="52"/>
      <c r="R108" s="44"/>
    </row>
    <row r="109" spans="1:18" s="29" customFormat="1">
      <c r="A109" s="597">
        <v>4.3</v>
      </c>
      <c r="B109" s="925" t="s">
        <v>150</v>
      </c>
      <c r="C109" s="926"/>
      <c r="D109" s="927"/>
      <c r="E109" s="93">
        <f>VLOOKUP(A109,'Point Allocation'!$A$20:$J$41,MATCH(A7,'Point Allocation'!$A$20:$J$20,0),0)</f>
        <v>25</v>
      </c>
      <c r="F109" s="538"/>
      <c r="G109" s="539">
        <f>IFERROR(F109/$F$120,0)</f>
        <v>0</v>
      </c>
      <c r="H109" s="174">
        <f>E109*G109</f>
        <v>0</v>
      </c>
      <c r="Q109" s="52"/>
      <c r="R109" s="44"/>
    </row>
    <row r="110" spans="1:18" s="29" customFormat="1">
      <c r="A110" s="597">
        <v>4.4000000000000004</v>
      </c>
      <c r="B110" s="925" t="s">
        <v>320</v>
      </c>
      <c r="C110" s="926"/>
      <c r="D110" s="927"/>
      <c r="E110" s="93">
        <f>VLOOKUP(A110,'Point Allocation'!$A$20:$J$41,MATCH(A7,'Point Allocation'!$A$20:$J$20,0),0)</f>
        <v>22</v>
      </c>
      <c r="F110" s="538"/>
      <c r="G110" s="539">
        <f>IFERROR(F110/$F$120,0)</f>
        <v>0</v>
      </c>
      <c r="H110" s="174">
        <f>E110*G110</f>
        <v>0</v>
      </c>
      <c r="Q110" s="52"/>
      <c r="R110" s="44"/>
    </row>
    <row r="111" spans="1:18" s="29" customFormat="1" ht="15.6">
      <c r="A111" s="95" t="s">
        <v>281</v>
      </c>
      <c r="B111" s="95" t="s">
        <v>223</v>
      </c>
      <c r="C111" s="96"/>
      <c r="D111" s="97"/>
      <c r="E111" s="98"/>
      <c r="F111" s="99"/>
      <c r="G111" s="100"/>
      <c r="H111" s="615"/>
      <c r="Q111" s="52"/>
      <c r="R111" s="44"/>
    </row>
    <row r="112" spans="1:18" s="29" customFormat="1" ht="15.6">
      <c r="A112" s="82">
        <v>5</v>
      </c>
      <c r="B112" s="82" t="s">
        <v>224</v>
      </c>
      <c r="C112" s="89"/>
      <c r="D112" s="89"/>
      <c r="E112" s="91"/>
      <c r="F112" s="91"/>
      <c r="G112" s="92"/>
      <c r="H112" s="614"/>
      <c r="Q112" s="52"/>
      <c r="R112" s="44"/>
    </row>
    <row r="113" spans="1:18" s="29" customFormat="1">
      <c r="A113" s="597">
        <v>5.0999999999999996</v>
      </c>
      <c r="B113" s="822" t="s">
        <v>199</v>
      </c>
      <c r="C113" s="823"/>
      <c r="D113" s="824"/>
      <c r="E113" s="101">
        <f>VLOOKUP(A113,'Point Allocation'!$A$20:$J$41,MATCH(A7,'Point Allocation'!$A$20:$J$20,0),0)</f>
        <v>16</v>
      </c>
      <c r="F113" s="147"/>
      <c r="G113" s="539">
        <f>IFERROR(F113/$F$120,0)</f>
        <v>0</v>
      </c>
      <c r="H113" s="547">
        <f>E113*G113</f>
        <v>0</v>
      </c>
      <c r="Q113" s="52"/>
      <c r="R113" s="44"/>
    </row>
    <row r="114" spans="1:18" s="29" customFormat="1">
      <c r="A114" s="597">
        <v>5.2</v>
      </c>
      <c r="B114" s="822" t="s">
        <v>321</v>
      </c>
      <c r="C114" s="823"/>
      <c r="D114" s="824"/>
      <c r="E114" s="101">
        <f>VLOOKUP(A114,'Point Allocation'!$A$20:$J$41,MATCH(A7,'Point Allocation'!$A$20:$J$20,0),0)</f>
        <v>5</v>
      </c>
      <c r="F114" s="86"/>
      <c r="G114" s="539">
        <f>IFERROR(F114/$F$120,0)</f>
        <v>0</v>
      </c>
      <c r="H114" s="547">
        <f>E114*G114</f>
        <v>0</v>
      </c>
      <c r="Q114" s="52"/>
      <c r="R114" s="44"/>
    </row>
    <row r="115" spans="1:18" s="29" customFormat="1">
      <c r="A115" s="597">
        <v>5.3</v>
      </c>
      <c r="B115" s="822" t="s">
        <v>322</v>
      </c>
      <c r="C115" s="823"/>
      <c r="D115" s="824"/>
      <c r="E115" s="101">
        <f>VLOOKUP(A115,'Point Allocation'!$A$20:$J$41,MATCH(A7,'Point Allocation'!$A$20:$J$20,0),0)</f>
        <v>0</v>
      </c>
      <c r="F115" s="146"/>
      <c r="G115" s="539">
        <f>IFERROR(F115/$F$120,0)</f>
        <v>0</v>
      </c>
      <c r="H115" s="616">
        <f>E115*G115</f>
        <v>0</v>
      </c>
      <c r="Q115" s="52"/>
      <c r="R115" s="44"/>
    </row>
    <row r="116" spans="1:18" s="29" customFormat="1" ht="15.6">
      <c r="A116" s="102">
        <v>6</v>
      </c>
      <c r="B116" s="102" t="s">
        <v>202</v>
      </c>
      <c r="C116" s="89"/>
      <c r="D116" s="89"/>
      <c r="E116" s="91"/>
      <c r="F116" s="91"/>
      <c r="G116" s="92"/>
      <c r="H116" s="614"/>
      <c r="Q116" s="52"/>
      <c r="R116" s="44"/>
    </row>
    <row r="117" spans="1:18" s="29" customFormat="1">
      <c r="A117" s="386">
        <v>6.1</v>
      </c>
      <c r="B117" s="765"/>
      <c r="C117" s="766"/>
      <c r="D117" s="847"/>
      <c r="E117" s="538"/>
      <c r="F117" s="538"/>
      <c r="G117" s="539">
        <f>IFERROR(F117/$F$120,0)</f>
        <v>0</v>
      </c>
      <c r="H117" s="616">
        <f>E117*G117</f>
        <v>0</v>
      </c>
      <c r="Q117" s="52"/>
      <c r="R117" s="44"/>
    </row>
    <row r="118" spans="1:18" s="29" customFormat="1">
      <c r="A118" s="386">
        <v>6.2</v>
      </c>
      <c r="B118" s="765"/>
      <c r="C118" s="766"/>
      <c r="D118" s="847"/>
      <c r="E118" s="538"/>
      <c r="F118" s="538"/>
      <c r="G118" s="539">
        <f>IFERROR(F118/$F$120,0)</f>
        <v>0</v>
      </c>
      <c r="H118" s="616">
        <f>E118*G118</f>
        <v>0</v>
      </c>
      <c r="Q118" s="52"/>
      <c r="R118" s="44"/>
    </row>
    <row r="119" spans="1:18" s="29" customFormat="1">
      <c r="A119" s="386">
        <v>6.3</v>
      </c>
      <c r="B119" s="920"/>
      <c r="C119" s="920"/>
      <c r="D119" s="920"/>
      <c r="E119" s="538"/>
      <c r="F119" s="538"/>
      <c r="G119" s="539">
        <f>IFERROR(F119/$F$120,0)</f>
        <v>0</v>
      </c>
      <c r="H119" s="616">
        <f>E119*G119</f>
        <v>0</v>
      </c>
      <c r="Q119" s="52"/>
      <c r="R119" s="44"/>
    </row>
    <row r="120" spans="1:18" s="29" customFormat="1" ht="15.6">
      <c r="A120" s="604"/>
      <c r="B120" s="307"/>
      <c r="C120" s="305"/>
      <c r="D120" s="305"/>
      <c r="E120" s="312" t="s">
        <v>61</v>
      </c>
      <c r="F120" s="315">
        <f>SUM(F96:F119)+E19</f>
        <v>0</v>
      </c>
      <c r="G120" s="316">
        <f>SUM(G96:G119)+F19</f>
        <v>0</v>
      </c>
      <c r="H120" s="617">
        <f>IFERROR(SUM(H96:H119),0)</f>
        <v>0</v>
      </c>
      <c r="Q120" s="52"/>
      <c r="R120" s="44"/>
    </row>
    <row r="121" spans="1:18" s="29" customFormat="1" ht="15.6" thickBot="1">
      <c r="A121" s="594"/>
      <c r="B121" s="361"/>
      <c r="C121" s="362"/>
      <c r="D121" s="362"/>
      <c r="E121" s="362"/>
      <c r="F121" s="362"/>
      <c r="G121" s="354"/>
      <c r="H121" s="595"/>
      <c r="Q121" s="52"/>
      <c r="R121" s="44"/>
    </row>
    <row r="122" spans="1:18" s="29" customFormat="1" ht="31.2">
      <c r="A122" s="618" t="s">
        <v>0</v>
      </c>
      <c r="B122" s="458"/>
      <c r="C122" s="458"/>
      <c r="D122" s="549" t="s">
        <v>17</v>
      </c>
      <c r="E122" s="459" t="s">
        <v>80</v>
      </c>
      <c r="F122" s="460" t="s">
        <v>301</v>
      </c>
      <c r="G122" s="460" t="s">
        <v>302</v>
      </c>
      <c r="H122" s="549" t="s">
        <v>52</v>
      </c>
      <c r="Q122" s="52"/>
      <c r="R122" s="44"/>
    </row>
    <row r="123" spans="1:18" s="29" customFormat="1" ht="15.6">
      <c r="A123" s="79" t="s">
        <v>225</v>
      </c>
      <c r="B123" s="79" t="s">
        <v>299</v>
      </c>
      <c r="C123" s="80"/>
      <c r="D123" s="81"/>
      <c r="E123" s="81"/>
      <c r="F123" s="81"/>
      <c r="G123" s="81"/>
      <c r="H123" s="610"/>
      <c r="Q123" s="52"/>
      <c r="R123" s="44"/>
    </row>
    <row r="124" spans="1:18" s="29" customFormat="1" ht="15.6">
      <c r="A124" s="82">
        <v>7</v>
      </c>
      <c r="B124" s="82" t="s">
        <v>304</v>
      </c>
      <c r="C124" s="83"/>
      <c r="D124" s="84"/>
      <c r="E124" s="84"/>
      <c r="F124" s="84"/>
      <c r="G124" s="84"/>
      <c r="H124" s="611"/>
      <c r="Q124" s="52"/>
      <c r="R124" s="44"/>
    </row>
    <row r="125" spans="1:18" s="29" customFormat="1" ht="15" customHeight="1">
      <c r="A125" s="543">
        <v>7.1</v>
      </c>
      <c r="B125" s="858" t="s">
        <v>271</v>
      </c>
      <c r="C125" s="840"/>
      <c r="D125" s="94">
        <f>VLOOKUP(A125,'Point Allocation'!$A$20:$J$41,MATCH(A7,'Point Allocation'!$A$20:$J$20,0),0)</f>
        <v>10</v>
      </c>
      <c r="E125" s="85">
        <f>F96</f>
        <v>0</v>
      </c>
      <c r="F125" s="85">
        <f>F32</f>
        <v>0</v>
      </c>
      <c r="G125" s="87">
        <f>IFERROR(SUM(E125:F125)/SUM($E$143:$F$143),0)</f>
        <v>0</v>
      </c>
      <c r="H125" s="612">
        <f>D125*G125</f>
        <v>0</v>
      </c>
      <c r="Q125" s="52"/>
      <c r="R125" s="44"/>
    </row>
    <row r="126" spans="1:18" s="29" customFormat="1" ht="15.6">
      <c r="A126" s="88">
        <v>8</v>
      </c>
      <c r="B126" s="88" t="s">
        <v>305</v>
      </c>
      <c r="C126" s="89"/>
      <c r="D126" s="90"/>
      <c r="E126" s="91"/>
      <c r="F126" s="91"/>
      <c r="G126" s="92"/>
      <c r="H126" s="613"/>
      <c r="Q126" s="52"/>
      <c r="R126" s="44"/>
    </row>
    <row r="127" spans="1:18" s="29" customFormat="1">
      <c r="A127" s="814">
        <v>8.1</v>
      </c>
      <c r="B127" s="822" t="s">
        <v>303</v>
      </c>
      <c r="C127" s="824"/>
      <c r="D127" s="921">
        <f>VLOOKUP(A127,'Point Allocation'!$A$20:$J$41,MATCH(A7,'Point Allocation'!$A$20:$J$20,0),0)</f>
        <v>8</v>
      </c>
      <c r="E127" s="945">
        <f>F98</f>
        <v>0</v>
      </c>
      <c r="F127" s="946"/>
      <c r="G127" s="983">
        <f>IFERROR(SUM(E127:F128)/SUM($E$143:$F$143),0)</f>
        <v>0</v>
      </c>
      <c r="H127" s="819">
        <f>D127*G127</f>
        <v>0</v>
      </c>
      <c r="Q127" s="52"/>
      <c r="R127" s="44"/>
    </row>
    <row r="128" spans="1:18" s="29" customFormat="1" ht="15.6">
      <c r="A128" s="815"/>
      <c r="B128" s="816" t="s">
        <v>119</v>
      </c>
      <c r="C128" s="818"/>
      <c r="D128" s="922"/>
      <c r="E128" s="945"/>
      <c r="F128" s="946"/>
      <c r="G128" s="984"/>
      <c r="H128" s="819"/>
      <c r="Q128" s="52"/>
      <c r="R128" s="44"/>
    </row>
    <row r="129" spans="1:18" s="29" customFormat="1">
      <c r="A129" s="543">
        <v>8.1999999999999993</v>
      </c>
      <c r="B129" s="825" t="s">
        <v>606</v>
      </c>
      <c r="C129" s="827"/>
      <c r="D129" s="94">
        <f>VLOOKUP(A129,'Point Allocation'!$A$20:$J$41,MATCH(A7,'Point Allocation'!$A$20:$J$20,0),0)</f>
        <v>8</v>
      </c>
      <c r="E129" s="174">
        <f>F100</f>
        <v>0</v>
      </c>
      <c r="F129" s="555"/>
      <c r="G129" s="87">
        <f>IFERROR(SUM(E129:F129)/SUM($E$143:$F$143),0)</f>
        <v>0</v>
      </c>
      <c r="H129" s="94">
        <f>D129*G129</f>
        <v>0</v>
      </c>
      <c r="Q129" s="52"/>
      <c r="R129" s="44"/>
    </row>
    <row r="130" spans="1:18" s="29" customFormat="1" ht="15.6">
      <c r="A130" s="82">
        <v>9</v>
      </c>
      <c r="B130" s="82" t="s">
        <v>306</v>
      </c>
      <c r="C130" s="89"/>
      <c r="D130" s="91"/>
      <c r="E130" s="91"/>
      <c r="F130" s="91"/>
      <c r="G130" s="92"/>
      <c r="H130" s="614"/>
      <c r="Q130" s="52"/>
      <c r="R130" s="44"/>
    </row>
    <row r="131" spans="1:18" s="29" customFormat="1">
      <c r="A131" s="814">
        <v>9.1</v>
      </c>
      <c r="B131" s="822" t="s">
        <v>339</v>
      </c>
      <c r="C131" s="824"/>
      <c r="D131" s="921">
        <f>VLOOKUP(A131,'Point Allocation'!$A$20:$J$41,MATCH(A7,'Point Allocation'!$A$20:$J$20,0),0)</f>
        <v>6</v>
      </c>
      <c r="E131" s="946"/>
      <c r="F131" s="946"/>
      <c r="G131" s="821">
        <f>IFERROR(SUM(E131:F132)/SUM($E$143:$F$143),0)</f>
        <v>0</v>
      </c>
      <c r="H131" s="819">
        <f>D131*G131</f>
        <v>0</v>
      </c>
      <c r="Q131" s="52"/>
      <c r="R131" s="44"/>
    </row>
    <row r="132" spans="1:18" s="29" customFormat="1" ht="15.6">
      <c r="A132" s="815"/>
      <c r="B132" s="816" t="s">
        <v>5</v>
      </c>
      <c r="C132" s="818"/>
      <c r="D132" s="922"/>
      <c r="E132" s="946"/>
      <c r="F132" s="946"/>
      <c r="G132" s="821"/>
      <c r="H132" s="819"/>
      <c r="Q132" s="52"/>
      <c r="R132" s="44"/>
    </row>
    <row r="133" spans="1:18" s="29" customFormat="1" ht="15.6">
      <c r="A133" s="82">
        <v>10</v>
      </c>
      <c r="B133" s="82" t="s">
        <v>308</v>
      </c>
      <c r="C133" s="89"/>
      <c r="D133" s="91"/>
      <c r="E133" s="91"/>
      <c r="F133" s="91"/>
      <c r="G133" s="92"/>
      <c r="H133" s="614"/>
      <c r="Q133" s="52"/>
      <c r="R133" s="44"/>
    </row>
    <row r="134" spans="1:18" s="29" customFormat="1" ht="15" customHeight="1">
      <c r="A134" s="541">
        <v>10.1</v>
      </c>
      <c r="B134" s="822" t="s">
        <v>340</v>
      </c>
      <c r="C134" s="824"/>
      <c r="D134" s="94">
        <f>VLOOKUP(A134,'Point Allocation'!$A$20:$J$41,MATCH(A7,'Point Allocation'!$A$20:$J$20,0),0)</f>
        <v>4</v>
      </c>
      <c r="E134" s="555"/>
      <c r="F134" s="555"/>
      <c r="G134" s="87">
        <f>IFERROR(SUM(E134:F134)/SUM($E$143:$F$143),0)</f>
        <v>0</v>
      </c>
      <c r="H134" s="94">
        <f>D134*G134</f>
        <v>0</v>
      </c>
      <c r="Q134" s="52"/>
      <c r="R134" s="44"/>
    </row>
    <row r="135" spans="1:18" s="29" customFormat="1" ht="32.25" customHeight="1">
      <c r="A135" s="589">
        <v>10.199999999999999</v>
      </c>
      <c r="B135" s="825" t="s">
        <v>318</v>
      </c>
      <c r="C135" s="827"/>
      <c r="D135" s="94">
        <f>VLOOKUP(A135,'Point Allocation'!$A$20:$J$41,MATCH(A7,'Point Allocation'!$A$20:$J$20,0),0)</f>
        <v>4</v>
      </c>
      <c r="E135" s="173"/>
      <c r="F135" s="555"/>
      <c r="G135" s="539">
        <f>IFERROR(SUM(E135:F135)/SUM($E$143:$F$143),0)</f>
        <v>0</v>
      </c>
      <c r="H135" s="94">
        <f>D135*G135</f>
        <v>0</v>
      </c>
      <c r="Q135" s="52"/>
      <c r="R135" s="44"/>
    </row>
    <row r="136" spans="1:18" s="29" customFormat="1" ht="15.6">
      <c r="A136" s="95" t="s">
        <v>226</v>
      </c>
      <c r="B136" s="95" t="s">
        <v>248</v>
      </c>
      <c r="C136" s="96"/>
      <c r="D136" s="98"/>
      <c r="E136" s="99"/>
      <c r="F136" s="99"/>
      <c r="G136" s="100"/>
      <c r="H136" s="615"/>
      <c r="Q136" s="52"/>
      <c r="R136" s="44"/>
    </row>
    <row r="137" spans="1:18" s="29" customFormat="1" ht="15.6">
      <c r="A137" s="82">
        <v>11</v>
      </c>
      <c r="B137" s="82" t="s">
        <v>249</v>
      </c>
      <c r="C137" s="89"/>
      <c r="D137" s="91"/>
      <c r="E137" s="91"/>
      <c r="F137" s="91"/>
      <c r="G137" s="92"/>
      <c r="H137" s="614"/>
      <c r="Q137" s="52"/>
      <c r="R137" s="44"/>
    </row>
    <row r="138" spans="1:18" s="29" customFormat="1">
      <c r="A138" s="541">
        <v>11.1</v>
      </c>
      <c r="B138" s="822" t="s">
        <v>642</v>
      </c>
      <c r="C138" s="824"/>
      <c r="D138" s="94">
        <f>VLOOKUP(A138,'Point Allocation'!$A$20:$J$41,MATCH(A7,'Point Allocation'!$A$20:$J$20,0),0)</f>
        <v>2</v>
      </c>
      <c r="E138" s="555"/>
      <c r="F138" s="555"/>
      <c r="G138" s="539">
        <f>IFERROR(SUM(E138:F138)/SUM($E$143:$F$143),0)</f>
        <v>0</v>
      </c>
      <c r="H138" s="94">
        <f t="shared" ref="H138:H142" si="2">D138*G138</f>
        <v>0</v>
      </c>
      <c r="Q138" s="52"/>
      <c r="R138" s="44"/>
    </row>
    <row r="139" spans="1:18" s="29" customFormat="1">
      <c r="A139" s="619">
        <v>11.2</v>
      </c>
      <c r="B139" s="848" t="s">
        <v>310</v>
      </c>
      <c r="C139" s="849"/>
      <c r="D139" s="174">
        <f>VLOOKUP(A138,'Point Allocation'!$A$20:$J$41,MATCH(A7,'Point Allocation'!$A$20:$J$20,0),0)</f>
        <v>2</v>
      </c>
      <c r="E139" s="555"/>
      <c r="F139" s="555"/>
      <c r="G139" s="539">
        <f>IFERROR(SUM(E139:F139)/SUM($E$143:$F$143),0)</f>
        <v>0</v>
      </c>
      <c r="H139" s="94">
        <f t="shared" si="2"/>
        <v>0</v>
      </c>
      <c r="Q139" s="52"/>
      <c r="R139" s="44"/>
    </row>
    <row r="140" spans="1:18" s="29" customFormat="1">
      <c r="A140" s="541">
        <v>11.3</v>
      </c>
      <c r="B140" s="848" t="s">
        <v>317</v>
      </c>
      <c r="C140" s="849"/>
      <c r="D140" s="94">
        <f>VLOOKUP(A140,'Point Allocation'!$A$20:$J$41,MATCH(A7,'Point Allocation'!$A$20:$J$20,0),0)</f>
        <v>0</v>
      </c>
      <c r="E140" s="555"/>
      <c r="F140" s="555"/>
      <c r="G140" s="539">
        <f>IFERROR(SUM(E140:F140)/SUM($E$143:$F$143),0)</f>
        <v>0</v>
      </c>
      <c r="H140" s="94">
        <f t="shared" si="2"/>
        <v>0</v>
      </c>
      <c r="Q140" s="52"/>
      <c r="R140" s="44"/>
    </row>
    <row r="141" spans="1:18" s="29" customFormat="1">
      <c r="A141" s="620">
        <v>11.4</v>
      </c>
      <c r="B141" s="968"/>
      <c r="C141" s="969"/>
      <c r="D141" s="538"/>
      <c r="E141" s="555"/>
      <c r="F141" s="555"/>
      <c r="G141" s="539">
        <f>IFERROR(SUM(E141:F141)/SUM($E$143:$F$143),0)</f>
        <v>0</v>
      </c>
      <c r="H141" s="94">
        <f t="shared" si="2"/>
        <v>0</v>
      </c>
      <c r="Q141" s="52"/>
      <c r="R141" s="44"/>
    </row>
    <row r="142" spans="1:18" s="29" customFormat="1">
      <c r="A142" s="620">
        <v>11.5</v>
      </c>
      <c r="B142" s="968"/>
      <c r="C142" s="969"/>
      <c r="D142" s="538"/>
      <c r="E142" s="555"/>
      <c r="F142" s="555"/>
      <c r="G142" s="539">
        <f>IFERROR(SUM(E142:F142)/SUM($E$143:$F$143),0)</f>
        <v>0</v>
      </c>
      <c r="H142" s="94">
        <f t="shared" si="2"/>
        <v>0</v>
      </c>
      <c r="Q142" s="52"/>
      <c r="R142" s="44"/>
    </row>
    <row r="143" spans="1:18" s="29" customFormat="1" ht="15.6">
      <c r="A143" s="592"/>
      <c r="B143" s="307"/>
      <c r="C143" s="305"/>
      <c r="D143" s="312" t="s">
        <v>131</v>
      </c>
      <c r="E143" s="315">
        <f>SUM(E125:E142)</f>
        <v>0</v>
      </c>
      <c r="F143" s="317">
        <f>SUM(F125:F142)</f>
        <v>0</v>
      </c>
      <c r="G143" s="318">
        <f>SUM(G125:G142)</f>
        <v>0</v>
      </c>
      <c r="H143" s="621">
        <f>IFERROR(SUM(H125:H142),0)</f>
        <v>0</v>
      </c>
      <c r="Q143" s="52"/>
      <c r="R143" s="44"/>
    </row>
    <row r="144" spans="1:18" s="29" customFormat="1">
      <c r="A144" s="622"/>
      <c r="B144" s="307"/>
      <c r="C144" s="305"/>
      <c r="D144" s="305"/>
      <c r="E144" s="305"/>
      <c r="F144" s="305"/>
      <c r="G144" s="314"/>
      <c r="H144" s="571"/>
      <c r="Q144" s="52"/>
      <c r="R144" s="44"/>
    </row>
    <row r="145" spans="1:18" s="29" customFormat="1" ht="46.8">
      <c r="A145" s="970" t="s">
        <v>0</v>
      </c>
      <c r="B145" s="971"/>
      <c r="C145" s="163"/>
      <c r="D145" s="550" t="s">
        <v>57</v>
      </c>
      <c r="E145" s="550" t="s">
        <v>58</v>
      </c>
      <c r="F145" s="956" t="s">
        <v>59</v>
      </c>
      <c r="G145" s="956"/>
      <c r="H145" s="623" t="s">
        <v>62</v>
      </c>
      <c r="J145" s="103" t="s">
        <v>71</v>
      </c>
      <c r="K145" s="103">
        <v>1</v>
      </c>
      <c r="L145" s="103">
        <v>2</v>
      </c>
      <c r="M145" s="103">
        <v>3</v>
      </c>
      <c r="N145" s="103">
        <v>4</v>
      </c>
      <c r="O145" s="103">
        <v>5</v>
      </c>
      <c r="P145" s="103">
        <v>6</v>
      </c>
      <c r="Q145" s="52"/>
      <c r="R145" s="44"/>
    </row>
    <row r="146" spans="1:18" s="29" customFormat="1" ht="15.6">
      <c r="A146" s="126" t="s">
        <v>227</v>
      </c>
      <c r="B146" s="126" t="s">
        <v>139</v>
      </c>
      <c r="C146" s="162"/>
      <c r="D146" s="56"/>
      <c r="E146" s="56"/>
      <c r="F146" s="57"/>
      <c r="G146" s="104"/>
      <c r="H146" s="624"/>
      <c r="J146" s="103" t="s">
        <v>73</v>
      </c>
      <c r="K146" s="103" t="s">
        <v>72</v>
      </c>
      <c r="L146" s="103">
        <v>1</v>
      </c>
      <c r="M146" s="103">
        <v>2</v>
      </c>
      <c r="N146" s="103">
        <v>3</v>
      </c>
      <c r="O146" s="103">
        <v>4</v>
      </c>
      <c r="P146" s="103">
        <v>4</v>
      </c>
      <c r="Q146" s="52"/>
      <c r="R146" s="44"/>
    </row>
    <row r="147" spans="1:18" s="29" customFormat="1">
      <c r="A147" s="625" t="s">
        <v>228</v>
      </c>
      <c r="B147" s="386" t="s">
        <v>394</v>
      </c>
      <c r="C147" s="164" t="s">
        <v>55</v>
      </c>
      <c r="D147" s="820"/>
      <c r="E147" s="820"/>
      <c r="F147" s="949" t="str">
        <f>IF(D147&gt;9,D147/E147," ")</f>
        <v xml:space="preserve"> </v>
      </c>
      <c r="G147" s="949"/>
      <c r="H147" s="94">
        <f>IF(D147="",0,IF(D147&lt;9,2,IF((D147/E147)=0,2,IF((D147/E147)&lt;10%,1.5,IF((D147/E147)&lt;15%,1,IF((D147/E147)&lt;20%,0.5,0))))))</f>
        <v>0</v>
      </c>
      <c r="J147" s="103" t="s">
        <v>74</v>
      </c>
      <c r="K147" s="103" t="s">
        <v>72</v>
      </c>
      <c r="L147" s="103">
        <v>5</v>
      </c>
      <c r="M147" s="103">
        <v>15</v>
      </c>
      <c r="N147" s="103">
        <v>25</v>
      </c>
      <c r="O147" s="103">
        <v>35</v>
      </c>
      <c r="P147" s="103">
        <v>35</v>
      </c>
      <c r="Q147" s="52"/>
      <c r="R147" s="44"/>
    </row>
    <row r="148" spans="1:18" s="29" customFormat="1">
      <c r="A148" s="625" t="s">
        <v>229</v>
      </c>
      <c r="B148" s="386" t="s">
        <v>395</v>
      </c>
      <c r="C148" s="164" t="s">
        <v>56</v>
      </c>
      <c r="D148" s="820"/>
      <c r="E148" s="820"/>
      <c r="F148" s="950"/>
      <c r="G148" s="950"/>
      <c r="H148" s="94">
        <f>IF(E147="",0,IF(E147&lt;15,HLOOKUP(F148,J145:P152,4,FALSE),IF(E147&lt;45,HLOOKUP(F148,J145:P152,5,FALSE),IF(E147&lt;90,HLOOKUP(F148,J145:P152,6,FALSE),IF(E147&lt;135,HLOOKUP(F148,J145:P152,7,FALSE),IF(E147&gt;=135,HLOOKUP(F148,J145:P152,8,FALSE),3))))))</f>
        <v>0</v>
      </c>
      <c r="I148" s="54"/>
      <c r="J148" s="103" t="s">
        <v>75</v>
      </c>
      <c r="K148" s="103">
        <v>3</v>
      </c>
      <c r="L148" s="103">
        <v>3</v>
      </c>
      <c r="M148" s="103">
        <v>3</v>
      </c>
      <c r="N148" s="103">
        <v>2.5</v>
      </c>
      <c r="O148" s="103">
        <v>1.5</v>
      </c>
      <c r="P148" s="103">
        <v>0</v>
      </c>
      <c r="Q148" s="52"/>
      <c r="R148" s="44"/>
    </row>
    <row r="149" spans="1:18" s="29" customFormat="1">
      <c r="A149" s="592"/>
      <c r="B149" s="307"/>
      <c r="C149" s="314"/>
      <c r="D149" s="319"/>
      <c r="E149" s="319"/>
      <c r="F149" s="319"/>
      <c r="G149" s="319"/>
      <c r="H149" s="626"/>
      <c r="I149" s="54"/>
      <c r="J149" s="103" t="s">
        <v>76</v>
      </c>
      <c r="K149" s="103">
        <v>3</v>
      </c>
      <c r="L149" s="103">
        <v>3</v>
      </c>
      <c r="M149" s="103">
        <v>2.5</v>
      </c>
      <c r="N149" s="103">
        <v>1.5</v>
      </c>
      <c r="O149" s="103">
        <v>1</v>
      </c>
      <c r="P149" s="103">
        <v>0</v>
      </c>
      <c r="Q149" s="52"/>
      <c r="R149" s="44"/>
    </row>
    <row r="150" spans="1:18" s="29" customFormat="1" ht="15.6">
      <c r="A150" s="592"/>
      <c r="B150" s="320"/>
      <c r="C150" s="314"/>
      <c r="D150" s="314"/>
      <c r="E150" s="314"/>
      <c r="F150" s="305"/>
      <c r="G150" s="321"/>
      <c r="H150" s="627"/>
      <c r="I150" s="54"/>
      <c r="J150" s="103" t="s">
        <v>77</v>
      </c>
      <c r="K150" s="103">
        <v>3</v>
      </c>
      <c r="L150" s="103">
        <v>2.5</v>
      </c>
      <c r="M150" s="103">
        <v>1.5</v>
      </c>
      <c r="N150" s="103">
        <v>1</v>
      </c>
      <c r="O150" s="103">
        <v>0</v>
      </c>
      <c r="P150" s="103">
        <v>0</v>
      </c>
      <c r="Q150" s="52"/>
      <c r="R150" s="44"/>
    </row>
    <row r="151" spans="1:18" s="29" customFormat="1" ht="15.75" customHeight="1">
      <c r="A151" s="972" t="s">
        <v>0</v>
      </c>
      <c r="B151" s="973"/>
      <c r="C151" s="888"/>
      <c r="D151" s="974" t="s">
        <v>4</v>
      </c>
      <c r="E151" s="951" t="s">
        <v>1</v>
      </c>
      <c r="F151" s="952"/>
      <c r="G151" s="953" t="s">
        <v>21</v>
      </c>
      <c r="H151" s="947" t="s">
        <v>62</v>
      </c>
      <c r="I151" s="54"/>
      <c r="J151" s="103" t="s">
        <v>78</v>
      </c>
      <c r="K151" s="103">
        <v>3</v>
      </c>
      <c r="L151" s="103">
        <v>1.5</v>
      </c>
      <c r="M151" s="103">
        <v>1</v>
      </c>
      <c r="N151" s="103">
        <v>0</v>
      </c>
      <c r="O151" s="103">
        <v>0</v>
      </c>
      <c r="P151" s="103">
        <v>0</v>
      </c>
      <c r="Q151" s="52"/>
      <c r="R151" s="44"/>
    </row>
    <row r="152" spans="1:18" s="29" customFormat="1" ht="30" customHeight="1">
      <c r="A152" s="867"/>
      <c r="B152" s="868"/>
      <c r="C152" s="870"/>
      <c r="D152" s="952"/>
      <c r="E152" s="550" t="s">
        <v>64</v>
      </c>
      <c r="F152" s="550" t="s">
        <v>65</v>
      </c>
      <c r="G152" s="954"/>
      <c r="H152" s="948"/>
      <c r="I152" s="54"/>
      <c r="J152" s="103" t="s">
        <v>79</v>
      </c>
      <c r="K152" s="103">
        <v>3</v>
      </c>
      <c r="L152" s="103">
        <v>1</v>
      </c>
      <c r="M152" s="103">
        <v>0</v>
      </c>
      <c r="N152" s="103">
        <v>0</v>
      </c>
      <c r="O152" s="103">
        <v>0</v>
      </c>
      <c r="P152" s="103">
        <v>0</v>
      </c>
      <c r="Q152" s="52"/>
      <c r="R152" s="44"/>
    </row>
    <row r="153" spans="1:18" s="29" customFormat="1" ht="15.6">
      <c r="A153" s="105" t="s">
        <v>230</v>
      </c>
      <c r="B153" s="105" t="s">
        <v>516</v>
      </c>
      <c r="C153" s="106"/>
      <c r="D153" s="106"/>
      <c r="E153" s="106"/>
      <c r="F153" s="110"/>
      <c r="G153" s="111"/>
      <c r="H153" s="628"/>
      <c r="J153" s="103" t="s">
        <v>73</v>
      </c>
      <c r="K153" s="103" t="s">
        <v>72</v>
      </c>
      <c r="L153" s="103">
        <v>1</v>
      </c>
      <c r="M153" s="103">
        <v>2</v>
      </c>
      <c r="N153" s="103">
        <v>3</v>
      </c>
      <c r="O153" s="103">
        <v>4</v>
      </c>
      <c r="P153" s="103">
        <v>4</v>
      </c>
      <c r="Q153" s="52"/>
      <c r="R153" s="44"/>
    </row>
    <row r="154" spans="1:18" s="29" customFormat="1" ht="15.6">
      <c r="A154" s="149" t="s">
        <v>231</v>
      </c>
      <c r="B154" s="149" t="s">
        <v>517</v>
      </c>
      <c r="C154" s="150"/>
      <c r="D154" s="151"/>
      <c r="E154" s="152"/>
      <c r="F154" s="152"/>
      <c r="G154" s="153"/>
      <c r="H154" s="629"/>
      <c r="I154" s="54"/>
      <c r="Q154" s="52"/>
      <c r="R154" s="44"/>
    </row>
    <row r="155" spans="1:18" s="29" customFormat="1">
      <c r="A155" s="630" t="s">
        <v>232</v>
      </c>
      <c r="B155" s="825" t="s">
        <v>612</v>
      </c>
      <c r="C155" s="827"/>
      <c r="D155" s="522" t="s">
        <v>50</v>
      </c>
      <c r="E155" s="523">
        <v>2</v>
      </c>
      <c r="F155" s="523">
        <v>3</v>
      </c>
      <c r="G155" s="27"/>
      <c r="H155" s="434">
        <f t="shared" ref="H155:H166" si="3">IF(G155&gt;=80%,F155,IF(G155&lt;65%,0,E155))</f>
        <v>0</v>
      </c>
      <c r="Q155" s="52"/>
      <c r="R155" s="44"/>
    </row>
    <row r="156" spans="1:18" s="29" customFormat="1">
      <c r="A156" s="630" t="s">
        <v>233</v>
      </c>
      <c r="B156" s="917" t="s">
        <v>613</v>
      </c>
      <c r="C156" s="843"/>
      <c r="D156" s="483" t="s">
        <v>50</v>
      </c>
      <c r="E156" s="434">
        <v>2</v>
      </c>
      <c r="F156" s="434">
        <v>3</v>
      </c>
      <c r="G156" s="553"/>
      <c r="H156" s="434">
        <f>IF(G156&gt;=80%,F156,IF(G156&lt;65%,0,E156))</f>
        <v>0</v>
      </c>
      <c r="Q156" s="52"/>
      <c r="R156" s="44"/>
    </row>
    <row r="157" spans="1:18" s="29" customFormat="1">
      <c r="A157" s="631" t="s">
        <v>234</v>
      </c>
      <c r="B157" s="917" t="s">
        <v>563</v>
      </c>
      <c r="C157" s="843"/>
      <c r="D157" s="524" t="s">
        <v>50</v>
      </c>
      <c r="E157" s="554">
        <v>2</v>
      </c>
      <c r="F157" s="434">
        <v>2.5</v>
      </c>
      <c r="G157" s="551"/>
      <c r="H157" s="434">
        <f t="shared" ref="H157" si="4">IF(G157&gt;=80%,F157,IF(G157&lt;65%,0,E157))</f>
        <v>0</v>
      </c>
      <c r="Q157" s="52"/>
      <c r="R157" s="44"/>
    </row>
    <row r="158" spans="1:18" s="29" customFormat="1">
      <c r="A158" s="631" t="s">
        <v>235</v>
      </c>
      <c r="B158" s="917" t="s">
        <v>623</v>
      </c>
      <c r="C158" s="843"/>
      <c r="D158" s="524" t="s">
        <v>50</v>
      </c>
      <c r="E158" s="554">
        <v>2</v>
      </c>
      <c r="F158" s="434">
        <v>2.5</v>
      </c>
      <c r="G158" s="551"/>
      <c r="H158" s="434">
        <f>IF(G158&gt;=80%,F158,IF(G158&lt;65%,0,E158))</f>
        <v>0</v>
      </c>
      <c r="Q158" s="52"/>
      <c r="R158" s="44"/>
    </row>
    <row r="159" spans="1:18" s="29" customFormat="1">
      <c r="A159" s="630" t="s">
        <v>371</v>
      </c>
      <c r="B159" s="875" t="s">
        <v>379</v>
      </c>
      <c r="C159" s="876"/>
      <c r="D159" s="530" t="s">
        <v>50</v>
      </c>
      <c r="E159" s="523">
        <v>2</v>
      </c>
      <c r="F159" s="523">
        <v>2.5</v>
      </c>
      <c r="G159" s="529"/>
      <c r="H159" s="434">
        <f>IF(G159&gt;=80%,F159,IF(G159&lt;65%,0,E159))</f>
        <v>0</v>
      </c>
      <c r="Q159" s="52"/>
      <c r="R159" s="44"/>
    </row>
    <row r="160" spans="1:18" s="29" customFormat="1" ht="30">
      <c r="A160" s="871" t="s">
        <v>519</v>
      </c>
      <c r="B160" s="873" t="s">
        <v>397</v>
      </c>
      <c r="C160" s="940"/>
      <c r="D160" s="524" t="s">
        <v>402</v>
      </c>
      <c r="E160" s="964">
        <v>2.5</v>
      </c>
      <c r="F160" s="965"/>
      <c r="G160" s="933"/>
      <c r="H160" s="931">
        <f>IF(G160&gt;=35,E161,IF(G160&gt;=30,E160,0))</f>
        <v>0</v>
      </c>
      <c r="Q160" s="52"/>
      <c r="R160" s="44"/>
    </row>
    <row r="161" spans="1:18" s="29" customFormat="1" ht="30">
      <c r="A161" s="872"/>
      <c r="B161" s="941"/>
      <c r="C161" s="942"/>
      <c r="D161" s="524" t="s">
        <v>396</v>
      </c>
      <c r="E161" s="964">
        <v>3</v>
      </c>
      <c r="F161" s="965"/>
      <c r="G161" s="934"/>
      <c r="H161" s="932"/>
      <c r="Q161" s="52"/>
      <c r="R161" s="44"/>
    </row>
    <row r="162" spans="1:18" s="29" customFormat="1" ht="31.5" customHeight="1">
      <c r="A162" s="871" t="s">
        <v>520</v>
      </c>
      <c r="B162" s="873" t="s">
        <v>398</v>
      </c>
      <c r="C162" s="874"/>
      <c r="D162" s="524" t="s">
        <v>333</v>
      </c>
      <c r="E162" s="962">
        <v>4</v>
      </c>
      <c r="F162" s="963"/>
      <c r="G162" s="933"/>
      <c r="H162" s="931">
        <f>IF(G162&gt;=80,E162,IF(G162&gt;=70,E163,IF(G162&gt;=60,E164,IF(G162&gt;=50,E165,0))))</f>
        <v>0</v>
      </c>
      <c r="Q162" s="52"/>
      <c r="R162" s="44"/>
    </row>
    <row r="163" spans="1:18" s="29" customFormat="1" ht="31.5" customHeight="1">
      <c r="A163" s="975"/>
      <c r="B163" s="929"/>
      <c r="C163" s="930"/>
      <c r="D163" s="524" t="s">
        <v>334</v>
      </c>
      <c r="E163" s="962">
        <v>3</v>
      </c>
      <c r="F163" s="963"/>
      <c r="G163" s="935"/>
      <c r="H163" s="936"/>
      <c r="Q163" s="52"/>
      <c r="R163" s="44"/>
    </row>
    <row r="164" spans="1:18" s="29" customFormat="1" ht="31.5" customHeight="1">
      <c r="A164" s="975"/>
      <c r="B164" s="929"/>
      <c r="C164" s="930"/>
      <c r="D164" s="524" t="s">
        <v>368</v>
      </c>
      <c r="E164" s="962">
        <v>2</v>
      </c>
      <c r="F164" s="963"/>
      <c r="G164" s="935"/>
      <c r="H164" s="936"/>
      <c r="Q164" s="52"/>
      <c r="R164" s="44"/>
    </row>
    <row r="165" spans="1:18" s="29" customFormat="1" ht="31.5" customHeight="1">
      <c r="A165" s="872"/>
      <c r="B165" s="875"/>
      <c r="C165" s="876"/>
      <c r="D165" s="524" t="s">
        <v>369</v>
      </c>
      <c r="E165" s="962">
        <v>1</v>
      </c>
      <c r="F165" s="963"/>
      <c r="G165" s="934"/>
      <c r="H165" s="932"/>
      <c r="Q165" s="52"/>
      <c r="R165" s="44"/>
    </row>
    <row r="166" spans="1:18" s="29" customFormat="1" ht="31.5" customHeight="1">
      <c r="A166" s="871" t="s">
        <v>643</v>
      </c>
      <c r="B166" s="873" t="s">
        <v>614</v>
      </c>
      <c r="C166" s="874"/>
      <c r="D166" s="524" t="s">
        <v>66</v>
      </c>
      <c r="E166" s="525">
        <v>3.5</v>
      </c>
      <c r="F166" s="525">
        <v>4</v>
      </c>
      <c r="G166" s="27"/>
      <c r="H166" s="434">
        <f t="shared" si="3"/>
        <v>0</v>
      </c>
      <c r="Q166" s="52"/>
      <c r="R166" s="44"/>
    </row>
    <row r="167" spans="1:18" s="29" customFormat="1" ht="30">
      <c r="A167" s="872"/>
      <c r="B167" s="875"/>
      <c r="C167" s="876"/>
      <c r="D167" s="524" t="s">
        <v>67</v>
      </c>
      <c r="E167" s="525" t="s">
        <v>49</v>
      </c>
      <c r="F167" s="525">
        <v>3</v>
      </c>
      <c r="G167" s="27"/>
      <c r="H167" s="434">
        <f>IF(G167&gt;=80%,F167,0)</f>
        <v>0</v>
      </c>
      <c r="Q167" s="52"/>
      <c r="R167" s="44"/>
    </row>
    <row r="168" spans="1:18" s="29" customFormat="1" ht="15.6">
      <c r="A168" s="82">
        <v>14</v>
      </c>
      <c r="B168" s="470" t="s">
        <v>515</v>
      </c>
      <c r="C168" s="89"/>
      <c r="D168" s="151"/>
      <c r="E168" s="152"/>
      <c r="F168" s="152"/>
      <c r="G168" s="153"/>
      <c r="H168" s="629"/>
      <c r="Q168" s="52"/>
      <c r="R168" s="44"/>
    </row>
    <row r="169" spans="1:18" s="29" customFormat="1" ht="31.95" customHeight="1">
      <c r="A169" s="630" t="s">
        <v>236</v>
      </c>
      <c r="B169" s="875" t="s">
        <v>648</v>
      </c>
      <c r="C169" s="876"/>
      <c r="D169" s="527" t="s">
        <v>50</v>
      </c>
      <c r="E169" s="528">
        <v>2</v>
      </c>
      <c r="F169" s="528">
        <v>2.5</v>
      </c>
      <c r="G169" s="529"/>
      <c r="H169" s="9">
        <f>IF(G169&gt;=80%,F169,IF(G169&lt;65%,0,E169))</f>
        <v>0</v>
      </c>
      <c r="Q169" s="52"/>
      <c r="R169" s="44"/>
    </row>
    <row r="170" spans="1:18" s="29" customFormat="1">
      <c r="A170" s="630" t="s">
        <v>237</v>
      </c>
      <c r="B170" s="875" t="s">
        <v>615</v>
      </c>
      <c r="C170" s="876"/>
      <c r="D170" s="530" t="s">
        <v>50</v>
      </c>
      <c r="E170" s="523" t="s">
        <v>49</v>
      </c>
      <c r="F170" s="523">
        <v>2.5</v>
      </c>
      <c r="G170" s="526">
        <f>F23</f>
        <v>0</v>
      </c>
      <c r="H170" s="434">
        <f>IF(G170&gt;=80%,F170,0)</f>
        <v>0</v>
      </c>
      <c r="Q170" s="52"/>
      <c r="R170" s="44"/>
    </row>
    <row r="171" spans="1:18" s="29" customFormat="1" ht="32.25" customHeight="1">
      <c r="A171" s="630" t="s">
        <v>378</v>
      </c>
      <c r="B171" s="875" t="s">
        <v>617</v>
      </c>
      <c r="C171" s="876"/>
      <c r="D171" s="530" t="s">
        <v>50</v>
      </c>
      <c r="E171" s="523">
        <v>2</v>
      </c>
      <c r="F171" s="523">
        <v>3</v>
      </c>
      <c r="G171" s="529"/>
      <c r="H171" s="434">
        <f>IF(G171&gt;=80%,F171,IF(G171&lt;65%,0,E171))</f>
        <v>0</v>
      </c>
      <c r="Q171" s="52"/>
      <c r="R171" s="44"/>
    </row>
    <row r="172" spans="1:18" s="29" customFormat="1" ht="30" customHeight="1">
      <c r="A172" s="632" t="s">
        <v>521</v>
      </c>
      <c r="B172" s="825" t="s">
        <v>616</v>
      </c>
      <c r="C172" s="827"/>
      <c r="D172" s="420" t="s">
        <v>50</v>
      </c>
      <c r="E172" s="434">
        <v>2</v>
      </c>
      <c r="F172" s="434">
        <v>2.5</v>
      </c>
      <c r="G172" s="30"/>
      <c r="H172" s="434">
        <f>IF(G172&gt;=80%,F172,IF(G172&lt;65%,0,E172))</f>
        <v>0</v>
      </c>
      <c r="Q172" s="52"/>
      <c r="R172" s="44"/>
    </row>
    <row r="173" spans="1:18" s="29" customFormat="1" ht="15.6">
      <c r="A173" s="82">
        <v>15</v>
      </c>
      <c r="B173" s="82" t="s">
        <v>259</v>
      </c>
      <c r="C173" s="89"/>
      <c r="D173" s="151"/>
      <c r="E173" s="152"/>
      <c r="F173" s="152"/>
      <c r="G173" s="153"/>
      <c r="H173" s="629"/>
      <c r="Q173" s="52"/>
      <c r="R173" s="44"/>
    </row>
    <row r="174" spans="1:18" s="29" customFormat="1">
      <c r="A174" s="877" t="s">
        <v>238</v>
      </c>
      <c r="B174" s="879" t="s">
        <v>275</v>
      </c>
      <c r="C174" s="880"/>
      <c r="D174" s="943" t="s">
        <v>50</v>
      </c>
      <c r="E174" s="828">
        <v>2.5</v>
      </c>
      <c r="F174" s="828">
        <v>4</v>
      </c>
      <c r="G174" s="957"/>
      <c r="H174" s="828">
        <f>IF(G174&gt;=80%,F174,IF(G174&lt;65%,0,E174))</f>
        <v>0</v>
      </c>
      <c r="Q174" s="52"/>
      <c r="R174" s="44"/>
    </row>
    <row r="175" spans="1:18" s="29" customFormat="1" ht="15.6">
      <c r="A175" s="878"/>
      <c r="B175" s="810" t="s">
        <v>276</v>
      </c>
      <c r="C175" s="810"/>
      <c r="D175" s="944"/>
      <c r="E175" s="829"/>
      <c r="F175" s="829"/>
      <c r="G175" s="958"/>
      <c r="H175" s="829"/>
      <c r="Q175" s="52"/>
      <c r="R175" s="44"/>
    </row>
    <row r="176" spans="1:18" s="29" customFormat="1">
      <c r="A176" s="877" t="s">
        <v>239</v>
      </c>
      <c r="B176" s="858" t="s">
        <v>137</v>
      </c>
      <c r="C176" s="840"/>
      <c r="D176" s="937" t="s">
        <v>50</v>
      </c>
      <c r="E176" s="938">
        <v>2.5</v>
      </c>
      <c r="F176" s="938">
        <v>4</v>
      </c>
      <c r="G176" s="961"/>
      <c r="H176" s="811">
        <f>IF(G176&gt;=80%,F176,IF(G176&lt;65%,0,E176))</f>
        <v>0</v>
      </c>
      <c r="Q176" s="52"/>
      <c r="R176" s="44"/>
    </row>
    <row r="177" spans="1:18" s="29" customFormat="1" ht="15.6">
      <c r="A177" s="878"/>
      <c r="B177" s="810" t="s">
        <v>119</v>
      </c>
      <c r="C177" s="810"/>
      <c r="D177" s="937"/>
      <c r="E177" s="938"/>
      <c r="F177" s="938"/>
      <c r="G177" s="961"/>
      <c r="H177" s="811"/>
      <c r="Q177" s="52"/>
      <c r="R177" s="44"/>
    </row>
    <row r="178" spans="1:18" s="29" customFormat="1" ht="15.6">
      <c r="A178" s="102">
        <v>16</v>
      </c>
      <c r="B178" s="102" t="s">
        <v>202</v>
      </c>
      <c r="C178" s="89"/>
      <c r="D178" s="89"/>
      <c r="E178" s="91"/>
      <c r="F178" s="91"/>
      <c r="G178" s="92"/>
      <c r="H178" s="614"/>
      <c r="Q178" s="59"/>
      <c r="R178" s="44"/>
    </row>
    <row r="179" spans="1:18" s="29" customFormat="1">
      <c r="A179" s="598" t="s">
        <v>241</v>
      </c>
      <c r="B179" s="765"/>
      <c r="C179" s="766"/>
      <c r="D179" s="107"/>
      <c r="E179" s="538"/>
      <c r="F179" s="538"/>
      <c r="G179" s="65"/>
      <c r="H179" s="633">
        <f>IF(G179&gt;=80%,F179,IF(G179&lt;65%,0,E179))</f>
        <v>0</v>
      </c>
      <c r="Q179" s="52"/>
      <c r="R179" s="44"/>
    </row>
    <row r="180" spans="1:18" s="29" customFormat="1">
      <c r="A180" s="598" t="s">
        <v>242</v>
      </c>
      <c r="B180" s="765"/>
      <c r="C180" s="766"/>
      <c r="D180" s="107"/>
      <c r="E180" s="538"/>
      <c r="F180" s="538"/>
      <c r="G180" s="65"/>
      <c r="H180" s="633">
        <f>IF(G180&gt;=80%,F180,IF(G180&lt;65%,0,E180))</f>
        <v>0</v>
      </c>
      <c r="Q180" s="52"/>
      <c r="R180" s="44"/>
    </row>
    <row r="181" spans="1:18" s="29" customFormat="1">
      <c r="A181" s="598" t="s">
        <v>243</v>
      </c>
      <c r="B181" s="765"/>
      <c r="C181" s="766"/>
      <c r="D181" s="107"/>
      <c r="E181" s="538"/>
      <c r="F181" s="538"/>
      <c r="G181" s="65"/>
      <c r="H181" s="633">
        <f>IF(G181&gt;=80%,F181,IF(G181&lt;65%,0,E181))</f>
        <v>0</v>
      </c>
      <c r="Q181" s="52"/>
      <c r="R181" s="44"/>
    </row>
    <row r="182" spans="1:18" s="29" customFormat="1" ht="15.6">
      <c r="A182" s="604"/>
      <c r="B182" s="307"/>
      <c r="C182" s="305"/>
      <c r="D182" s="305"/>
      <c r="E182" s="305"/>
      <c r="F182" s="309"/>
      <c r="G182" s="310" t="s">
        <v>376</v>
      </c>
      <c r="H182" s="634">
        <f>IFERROR((SUM(H147:H181)),0)</f>
        <v>0</v>
      </c>
      <c r="Q182" s="52"/>
      <c r="R182" s="44"/>
    </row>
    <row r="183" spans="1:18" s="29" customFormat="1" ht="15.6" thickBot="1">
      <c r="A183" s="594"/>
      <c r="B183" s="361"/>
      <c r="C183" s="362"/>
      <c r="D183" s="362"/>
      <c r="E183" s="362"/>
      <c r="F183" s="362"/>
      <c r="G183" s="354"/>
      <c r="H183" s="595"/>
      <c r="Q183" s="52"/>
      <c r="R183" s="44"/>
    </row>
    <row r="184" spans="1:18" s="29" customFormat="1" ht="30.75" customHeight="1">
      <c r="A184" s="865" t="s">
        <v>0</v>
      </c>
      <c r="B184" s="866"/>
      <c r="C184" s="869"/>
      <c r="D184" s="856" t="s">
        <v>4</v>
      </c>
      <c r="E184" s="959" t="s">
        <v>1</v>
      </c>
      <c r="F184" s="960"/>
      <c r="G184" s="955" t="s">
        <v>21</v>
      </c>
      <c r="H184" s="856" t="s">
        <v>62</v>
      </c>
      <c r="Q184" s="52"/>
      <c r="R184" s="44"/>
    </row>
    <row r="185" spans="1:18" s="29" customFormat="1" ht="15.6">
      <c r="A185" s="867"/>
      <c r="B185" s="868"/>
      <c r="C185" s="870"/>
      <c r="D185" s="857"/>
      <c r="E185" s="550" t="s">
        <v>120</v>
      </c>
      <c r="F185" s="550" t="s">
        <v>121</v>
      </c>
      <c r="G185" s="956"/>
      <c r="H185" s="857"/>
      <c r="Q185" s="52"/>
      <c r="R185" s="44"/>
    </row>
    <row r="186" spans="1:18" s="29" customFormat="1" ht="15.6">
      <c r="A186" s="126" t="s">
        <v>240</v>
      </c>
      <c r="B186" s="105" t="s">
        <v>244</v>
      </c>
      <c r="C186" s="106"/>
      <c r="D186" s="106"/>
      <c r="E186" s="106"/>
      <c r="F186" s="110"/>
      <c r="G186" s="111"/>
      <c r="H186" s="628"/>
      <c r="Q186" s="52"/>
      <c r="R186" s="44"/>
    </row>
    <row r="187" spans="1:18" s="29" customFormat="1">
      <c r="A187" s="625" t="s">
        <v>277</v>
      </c>
      <c r="B187" s="858" t="s">
        <v>245</v>
      </c>
      <c r="C187" s="859"/>
      <c r="D187" s="5" t="s">
        <v>50</v>
      </c>
      <c r="E187" s="20">
        <v>-1</v>
      </c>
      <c r="F187" s="20">
        <v>-2</v>
      </c>
      <c r="G187" s="28"/>
      <c r="H187" s="20">
        <f>IF(G187&gt;=30%,F187,IF(G187=0%,0,E187))</f>
        <v>0</v>
      </c>
      <c r="Q187" s="52"/>
      <c r="R187" s="44"/>
    </row>
    <row r="188" spans="1:18" s="29" customFormat="1">
      <c r="A188" s="625" t="s">
        <v>278</v>
      </c>
      <c r="B188" s="858" t="s">
        <v>246</v>
      </c>
      <c r="C188" s="859"/>
      <c r="D188" s="5" t="s">
        <v>50</v>
      </c>
      <c r="E188" s="20">
        <v>-1</v>
      </c>
      <c r="F188" s="20">
        <v>-1.5</v>
      </c>
      <c r="G188" s="28"/>
      <c r="H188" s="20">
        <f>IF(G188&gt;=30%,F188,IF(G188=0%,0,E188))</f>
        <v>0</v>
      </c>
      <c r="Q188" s="52"/>
      <c r="R188" s="44"/>
    </row>
    <row r="189" spans="1:18" s="29" customFormat="1">
      <c r="A189" s="625" t="s">
        <v>279</v>
      </c>
      <c r="B189" s="858" t="s">
        <v>247</v>
      </c>
      <c r="C189" s="859"/>
      <c r="D189" s="5" t="s">
        <v>50</v>
      </c>
      <c r="E189" s="811">
        <v>-1</v>
      </c>
      <c r="F189" s="811"/>
      <c r="G189" s="553"/>
      <c r="H189" s="20">
        <f>IF(G189&gt;0%,E189,0)</f>
        <v>0</v>
      </c>
      <c r="Q189" s="52"/>
      <c r="R189" s="44"/>
    </row>
    <row r="190" spans="1:18" s="29" customFormat="1" ht="15.6">
      <c r="A190" s="604"/>
      <c r="B190" s="307"/>
      <c r="C190" s="305"/>
      <c r="D190" s="305"/>
      <c r="E190" s="305"/>
      <c r="F190" s="309"/>
      <c r="G190" s="310" t="s">
        <v>133</v>
      </c>
      <c r="H190" s="634">
        <f>IFERROR(MAX(SUM(H187:H189),-4),0)</f>
        <v>0</v>
      </c>
      <c r="Q190" s="44"/>
      <c r="R190" s="44"/>
    </row>
    <row r="191" spans="1:18" s="29" customFormat="1">
      <c r="A191" s="592"/>
      <c r="B191" s="307"/>
      <c r="C191" s="305"/>
      <c r="D191" s="305"/>
      <c r="E191" s="305"/>
      <c r="F191" s="305"/>
      <c r="G191" s="314"/>
      <c r="H191" s="571"/>
      <c r="Q191" s="52"/>
      <c r="R191" s="44"/>
    </row>
    <row r="192" spans="1:18" s="29" customFormat="1" ht="15.6">
      <c r="A192" s="592"/>
      <c r="B192" s="307"/>
      <c r="C192" s="305"/>
      <c r="D192" s="305"/>
      <c r="E192" s="305"/>
      <c r="F192" s="305"/>
      <c r="G192" s="312" t="s">
        <v>132</v>
      </c>
      <c r="H192" s="154">
        <f>IFERROR(MIN(SUM(H120+H143+H182+H190),G91),0)</f>
        <v>0</v>
      </c>
      <c r="Q192" s="52"/>
      <c r="R192" s="44"/>
    </row>
    <row r="193" spans="1:18" s="29" customFormat="1" ht="16.2" thickBot="1">
      <c r="A193" s="594"/>
      <c r="B193" s="361"/>
      <c r="C193" s="362"/>
      <c r="D193" s="362"/>
      <c r="E193" s="362"/>
      <c r="F193" s="362"/>
      <c r="G193" s="363"/>
      <c r="H193" s="606"/>
      <c r="Q193" s="52"/>
      <c r="R193" s="44"/>
    </row>
    <row r="194" spans="1:18" s="29" customFormat="1" ht="15.6">
      <c r="A194" s="635" t="s">
        <v>63</v>
      </c>
      <c r="B194" s="355"/>
      <c r="C194" s="355"/>
      <c r="D194" s="355"/>
      <c r="E194" s="355"/>
      <c r="F194" s="356" t="s">
        <v>42</v>
      </c>
      <c r="G194" s="357">
        <f>VLOOKUP($A$7,'Manpower allocation'!A4:D11,4,FALSE)*100</f>
        <v>15</v>
      </c>
      <c r="H194" s="636" t="s">
        <v>41</v>
      </c>
      <c r="I194" s="108">
        <f>VLOOKUP($A$7,'Manpower allocation'!A4:D11,4,FALSE)*100</f>
        <v>15</v>
      </c>
      <c r="Q194" s="52"/>
      <c r="R194" s="44"/>
    </row>
    <row r="195" spans="1:18" s="29" customFormat="1" ht="15.6">
      <c r="A195" s="592"/>
      <c r="B195" s="313"/>
      <c r="C195" s="305"/>
      <c r="D195" s="305"/>
      <c r="E195" s="305"/>
      <c r="F195" s="305"/>
      <c r="G195" s="314"/>
      <c r="H195" s="571"/>
      <c r="Q195" s="52"/>
      <c r="R195" s="44"/>
    </row>
    <row r="196" spans="1:18" s="29" customFormat="1" ht="46.8">
      <c r="A196" s="850" t="s">
        <v>0</v>
      </c>
      <c r="B196" s="851"/>
      <c r="C196" s="109"/>
      <c r="D196" s="545" t="s">
        <v>17</v>
      </c>
      <c r="E196" s="545" t="s">
        <v>124</v>
      </c>
      <c r="F196" s="545" t="s">
        <v>108</v>
      </c>
      <c r="G196" s="545" t="s">
        <v>18</v>
      </c>
      <c r="H196" s="545" t="s">
        <v>62</v>
      </c>
      <c r="Q196" s="52"/>
      <c r="R196" s="44"/>
    </row>
    <row r="197" spans="1:18" s="29" customFormat="1" ht="15.6">
      <c r="A197" s="105" t="s">
        <v>250</v>
      </c>
      <c r="B197" s="531" t="s">
        <v>618</v>
      </c>
      <c r="C197" s="106"/>
      <c r="D197" s="106"/>
      <c r="E197" s="106"/>
      <c r="F197" s="110"/>
      <c r="G197" s="111"/>
      <c r="H197" s="628"/>
      <c r="Q197" s="52"/>
      <c r="R197" s="44"/>
    </row>
    <row r="198" spans="1:18" s="29" customFormat="1" ht="15.6">
      <c r="A198" s="112">
        <v>1</v>
      </c>
      <c r="B198" s="112" t="s">
        <v>304</v>
      </c>
      <c r="C198" s="113"/>
      <c r="D198" s="114"/>
      <c r="E198" s="114"/>
      <c r="F198" s="114"/>
      <c r="G198" s="114"/>
      <c r="H198" s="637"/>
      <c r="Q198" s="52"/>
      <c r="R198" s="44"/>
    </row>
    <row r="199" spans="1:18" s="29" customFormat="1">
      <c r="A199" s="541">
        <v>1.1000000000000001</v>
      </c>
      <c r="B199" s="822" t="s">
        <v>271</v>
      </c>
      <c r="C199" s="824"/>
      <c r="D199" s="20">
        <f>VLOOKUP(A199,'Point Allocation'!$A$46:$J$55,MATCH(A7,'Point Allocation'!$A$46:$J$46,0),0)</f>
        <v>15</v>
      </c>
      <c r="E199" s="38"/>
      <c r="F199" s="38"/>
      <c r="G199" s="31">
        <f>MIN(IFERROR(F199/E199,0),100%)</f>
        <v>0</v>
      </c>
      <c r="H199" s="20">
        <f>D199*G199</f>
        <v>0</v>
      </c>
      <c r="Q199" s="52"/>
      <c r="R199" s="44"/>
    </row>
    <row r="200" spans="1:18" s="29" customFormat="1" ht="15.6">
      <c r="A200" s="115">
        <v>2</v>
      </c>
      <c r="B200" s="115" t="s">
        <v>305</v>
      </c>
      <c r="C200" s="116"/>
      <c r="D200" s="32"/>
      <c r="E200" s="33"/>
      <c r="F200" s="33"/>
      <c r="G200" s="34"/>
      <c r="H200" s="638"/>
      <c r="Q200" s="52"/>
      <c r="R200" s="44"/>
    </row>
    <row r="201" spans="1:18" s="29" customFormat="1" ht="33" customHeight="1">
      <c r="A201" s="544">
        <v>2.1</v>
      </c>
      <c r="B201" s="863" t="s">
        <v>251</v>
      </c>
      <c r="C201" s="864"/>
      <c r="D201" s="20">
        <f>VLOOKUP(A201,'Point Allocation'!$A$46:$J$55,MATCH(A7,'Point Allocation'!$A$46:$J$46,0),0)</f>
        <v>12</v>
      </c>
      <c r="E201" s="38"/>
      <c r="F201" s="38"/>
      <c r="G201" s="31">
        <f>MIN(IFERROR(F201/E201,0),100%)</f>
        <v>0</v>
      </c>
      <c r="H201" s="20">
        <f>D201*G201</f>
        <v>0</v>
      </c>
      <c r="Q201" s="52"/>
      <c r="R201" s="44"/>
    </row>
    <row r="202" spans="1:18" s="29" customFormat="1" ht="15.6">
      <c r="A202" s="112">
        <v>3</v>
      </c>
      <c r="B202" s="112" t="s">
        <v>309</v>
      </c>
      <c r="C202" s="117"/>
      <c r="D202" s="35"/>
      <c r="E202" s="35"/>
      <c r="F202" s="35"/>
      <c r="G202" s="34"/>
      <c r="H202" s="639"/>
      <c r="Q202" s="52"/>
      <c r="R202" s="44"/>
    </row>
    <row r="203" spans="1:18" s="29" customFormat="1">
      <c r="A203" s="540">
        <v>3.1</v>
      </c>
      <c r="B203" s="837" t="s">
        <v>400</v>
      </c>
      <c r="C203" s="838"/>
      <c r="D203" s="20">
        <f>VLOOKUP(A203,'Point Allocation'!$A$46:$J$55,MATCH(A7,'Point Allocation'!$A$46:$J$46,0),0)</f>
        <v>4</v>
      </c>
      <c r="E203" s="38"/>
      <c r="F203" s="38"/>
      <c r="G203" s="31">
        <f>MIN(IFERROR(F203/E203,0),100%)</f>
        <v>0</v>
      </c>
      <c r="H203" s="20">
        <f>D203*G203</f>
        <v>0</v>
      </c>
      <c r="Q203" s="52"/>
      <c r="R203" s="44"/>
    </row>
    <row r="204" spans="1:18" s="29" customFormat="1">
      <c r="A204" s="540">
        <v>3.2</v>
      </c>
      <c r="B204" s="837" t="s">
        <v>401</v>
      </c>
      <c r="C204" s="838"/>
      <c r="D204" s="20">
        <f>VLOOKUP(A204,'Point Allocation'!$A$46:$J$55,MATCH(A7,'Point Allocation'!$A$46:$J$46,0),0)</f>
        <v>4</v>
      </c>
      <c r="E204" s="165"/>
      <c r="F204" s="38"/>
      <c r="G204" s="31">
        <f>MIN(IFERROR(F204/E204,0),100%)</f>
        <v>0</v>
      </c>
      <c r="H204" s="20">
        <f>D204*G204</f>
        <v>0</v>
      </c>
      <c r="Q204" s="52"/>
      <c r="R204" s="44"/>
    </row>
    <row r="205" spans="1:18" s="29" customFormat="1">
      <c r="A205" s="543">
        <v>3.3</v>
      </c>
      <c r="B205" s="858" t="s">
        <v>161</v>
      </c>
      <c r="C205" s="859"/>
      <c r="D205" s="20">
        <f>VLOOKUP(A205,'Point Allocation'!$A$46:$J$55,MATCH(A7,'Point Allocation'!$A$46:$J$46,0),0)</f>
        <v>4</v>
      </c>
      <c r="E205" s="166"/>
      <c r="F205" s="537"/>
      <c r="G205" s="31">
        <f>MIN(IFERROR(F205/E205,0),100%)</f>
        <v>0</v>
      </c>
      <c r="H205" s="20">
        <f>D205*G205</f>
        <v>0</v>
      </c>
      <c r="Q205" s="52"/>
      <c r="R205" s="44"/>
    </row>
    <row r="206" spans="1:18" s="29" customFormat="1" ht="15.6">
      <c r="A206" s="592"/>
      <c r="B206" s="307"/>
      <c r="C206" s="305"/>
      <c r="D206" s="306" t="s">
        <v>6</v>
      </c>
      <c r="E206" s="283">
        <f>MAX(SUM(E199:E205),F206)</f>
        <v>0</v>
      </c>
      <c r="F206" s="283">
        <f>SUM(F199:F205)</f>
        <v>0</v>
      </c>
      <c r="G206" s="322">
        <f>IFERROR(MIN(F206/E206,100%),0)</f>
        <v>0</v>
      </c>
      <c r="H206" s="593">
        <f>IFERROR(SUM(H199:H205),0)</f>
        <v>0</v>
      </c>
      <c r="Q206" s="52"/>
      <c r="R206" s="44"/>
    </row>
    <row r="207" spans="1:18" s="29" customFormat="1" ht="15.6">
      <c r="A207" s="592"/>
      <c r="B207" s="320"/>
      <c r="C207" s="323"/>
      <c r="D207" s="324"/>
      <c r="E207" s="323"/>
      <c r="F207" s="323"/>
      <c r="G207" s="325"/>
      <c r="H207" s="317"/>
      <c r="Q207" s="52"/>
      <c r="R207" s="44"/>
    </row>
    <row r="208" spans="1:18" s="29" customFormat="1" ht="15.6">
      <c r="A208" s="850" t="s">
        <v>0</v>
      </c>
      <c r="B208" s="851"/>
      <c r="C208" s="860"/>
      <c r="D208" s="862" t="s">
        <v>4</v>
      </c>
      <c r="E208" s="862" t="s">
        <v>1</v>
      </c>
      <c r="F208" s="862"/>
      <c r="G208" s="881" t="s">
        <v>21</v>
      </c>
      <c r="H208" s="881" t="s">
        <v>62</v>
      </c>
      <c r="Q208" s="52"/>
      <c r="R208" s="44"/>
    </row>
    <row r="209" spans="1:18" s="29" customFormat="1" ht="30.75" customHeight="1">
      <c r="A209" s="852"/>
      <c r="B209" s="853"/>
      <c r="C209" s="861"/>
      <c r="D209" s="862"/>
      <c r="E209" s="545" t="s">
        <v>64</v>
      </c>
      <c r="F209" s="545" t="s">
        <v>65</v>
      </c>
      <c r="G209" s="881"/>
      <c r="H209" s="881"/>
      <c r="Q209" s="52"/>
      <c r="R209" s="44"/>
    </row>
    <row r="210" spans="1:18" s="29" customFormat="1" ht="15.6">
      <c r="A210" s="45" t="s">
        <v>253</v>
      </c>
      <c r="B210" s="45" t="s">
        <v>254</v>
      </c>
      <c r="C210" s="56"/>
      <c r="D210" s="56"/>
      <c r="E210" s="56"/>
      <c r="F210" s="57"/>
      <c r="G210" s="104"/>
      <c r="H210" s="624"/>
      <c r="Q210" s="52"/>
      <c r="R210" s="44"/>
    </row>
    <row r="211" spans="1:18" s="29" customFormat="1" ht="15.6">
      <c r="A211" s="118">
        <v>4</v>
      </c>
      <c r="B211" s="118" t="s">
        <v>307</v>
      </c>
      <c r="C211" s="116"/>
      <c r="D211" s="119"/>
      <c r="E211" s="120"/>
      <c r="F211" s="120"/>
      <c r="G211" s="121"/>
      <c r="H211" s="640"/>
      <c r="Q211" s="52"/>
      <c r="R211" s="44"/>
    </row>
    <row r="212" spans="1:18" s="29" customFormat="1">
      <c r="A212" s="541">
        <v>4.0999999999999996</v>
      </c>
      <c r="B212" s="822" t="s">
        <v>155</v>
      </c>
      <c r="C212" s="824"/>
      <c r="D212" s="5" t="s">
        <v>50</v>
      </c>
      <c r="E212" s="20" t="s">
        <v>49</v>
      </c>
      <c r="F212" s="20">
        <f>VLOOKUP(A212,'Point Allocation'!$A$46:$J$55,MATCH(A7,'Point Allocation'!$A$46:$J$46,0),0)</f>
        <v>1.5</v>
      </c>
      <c r="G212" s="553"/>
      <c r="H212" s="20">
        <f>IF(G212&gt;=80%,F212,0)</f>
        <v>0</v>
      </c>
      <c r="Q212" s="52"/>
      <c r="R212" s="44"/>
    </row>
    <row r="213" spans="1:18" s="29" customFormat="1">
      <c r="A213" s="541">
        <v>4.2</v>
      </c>
      <c r="B213" s="822" t="s">
        <v>152</v>
      </c>
      <c r="C213" s="824"/>
      <c r="D213" s="5" t="s">
        <v>50</v>
      </c>
      <c r="E213" s="20" t="s">
        <v>49</v>
      </c>
      <c r="F213" s="20">
        <f>VLOOKUP(A213,'Point Allocation'!$A$46:$J$55,MATCH(A7,'Point Allocation'!$A$46:$J$46,0),0)</f>
        <v>1.5</v>
      </c>
      <c r="G213" s="553"/>
      <c r="H213" s="20">
        <f>IF(G213&gt;=80%,F213,0)</f>
        <v>0</v>
      </c>
      <c r="Q213" s="52"/>
      <c r="R213" s="44"/>
    </row>
    <row r="214" spans="1:18" s="29" customFormat="1">
      <c r="A214" s="541">
        <v>4.3</v>
      </c>
      <c r="B214" s="822" t="s">
        <v>146</v>
      </c>
      <c r="C214" s="824"/>
      <c r="D214" s="5" t="s">
        <v>3</v>
      </c>
      <c r="E214" s="20" t="s">
        <v>49</v>
      </c>
      <c r="F214" s="20">
        <f>VLOOKUP(A214,'Point Allocation'!$A$46:$J$55,MATCH(A7,'Point Allocation'!$A$46:$J$46,0),0)</f>
        <v>1.5</v>
      </c>
      <c r="G214" s="553"/>
      <c r="H214" s="20">
        <f>IF(G214&gt;=80%,F214,0)</f>
        <v>0</v>
      </c>
      <c r="Q214" s="52"/>
      <c r="R214" s="44"/>
    </row>
    <row r="215" spans="1:18" s="29" customFormat="1">
      <c r="A215" s="542">
        <v>4.4000000000000004</v>
      </c>
      <c r="B215" s="848" t="s">
        <v>252</v>
      </c>
      <c r="C215" s="849"/>
      <c r="D215" s="5" t="s">
        <v>3</v>
      </c>
      <c r="E215" s="20" t="s">
        <v>49</v>
      </c>
      <c r="F215" s="20">
        <f>VLOOKUP(A215,'Point Allocation'!$A$46:$J$55,MATCH(A7,'Point Allocation'!$A$46:$J$46,0),0)</f>
        <v>1.5</v>
      </c>
      <c r="G215" s="553"/>
      <c r="H215" s="20">
        <f>IF(G215&gt;=80%,F215,0)</f>
        <v>0</v>
      </c>
      <c r="Q215" s="52"/>
      <c r="R215" s="44"/>
    </row>
    <row r="216" spans="1:18" s="29" customFormat="1" ht="15.6">
      <c r="A216" s="118">
        <v>5</v>
      </c>
      <c r="B216" s="118" t="s">
        <v>202</v>
      </c>
      <c r="C216" s="116"/>
      <c r="D216" s="122"/>
      <c r="E216" s="123"/>
      <c r="F216" s="123"/>
      <c r="G216" s="124"/>
      <c r="H216" s="641"/>
      <c r="Q216" s="52"/>
      <c r="R216" s="44"/>
    </row>
    <row r="217" spans="1:18" s="29" customFormat="1">
      <c r="A217" s="591">
        <v>5.0999999999999996</v>
      </c>
      <c r="B217" s="765"/>
      <c r="C217" s="847"/>
      <c r="D217" s="391"/>
      <c r="E217" s="537"/>
      <c r="F217" s="537"/>
      <c r="G217" s="553"/>
      <c r="H217" s="633">
        <f>IF(G217&gt;=80%,F217,IF(G217&lt;65%,0,E217))</f>
        <v>0</v>
      </c>
      <c r="Q217" s="52"/>
      <c r="R217" s="44"/>
    </row>
    <row r="218" spans="1:18" s="29" customFormat="1">
      <c r="A218" s="591">
        <v>5.2</v>
      </c>
      <c r="B218" s="765"/>
      <c r="C218" s="847"/>
      <c r="D218" s="391"/>
      <c r="E218" s="537"/>
      <c r="F218" s="537"/>
      <c r="G218" s="553"/>
      <c r="H218" s="633">
        <f>IF(G218&gt;=80%,F218,IF(G218&lt;65%,0,E218))</f>
        <v>0</v>
      </c>
      <c r="Q218" s="52"/>
      <c r="R218" s="44"/>
    </row>
    <row r="219" spans="1:18" s="29" customFormat="1">
      <c r="A219" s="591">
        <v>5.3</v>
      </c>
      <c r="B219" s="765"/>
      <c r="C219" s="847"/>
      <c r="D219" s="391"/>
      <c r="E219" s="537"/>
      <c r="F219" s="537"/>
      <c r="G219" s="553"/>
      <c r="H219" s="633">
        <f>IF(G219&gt;=80%,F219,IF(G219&lt;65%,0,E219))</f>
        <v>0</v>
      </c>
      <c r="Q219" s="52"/>
      <c r="R219" s="44"/>
    </row>
    <row r="220" spans="1:18" s="29" customFormat="1" ht="15.6">
      <c r="A220" s="592"/>
      <c r="B220" s="326"/>
      <c r="C220" s="326"/>
      <c r="D220" s="314"/>
      <c r="E220" s="314"/>
      <c r="F220" s="314"/>
      <c r="G220" s="312" t="s">
        <v>7</v>
      </c>
      <c r="H220" s="617">
        <f>IFERROR(SUM(H212:H215,H217:H219),0)</f>
        <v>0</v>
      </c>
      <c r="Q220" s="52"/>
      <c r="R220" s="44"/>
    </row>
    <row r="221" spans="1:18" s="29" customFormat="1">
      <c r="A221" s="592"/>
      <c r="B221" s="307"/>
      <c r="C221" s="305"/>
      <c r="D221" s="305"/>
      <c r="E221" s="305"/>
      <c r="F221" s="305"/>
      <c r="G221" s="314"/>
      <c r="H221" s="571"/>
      <c r="Q221" s="52"/>
      <c r="R221" s="44"/>
    </row>
    <row r="222" spans="1:18" s="29" customFormat="1" ht="15.6">
      <c r="A222" s="850" t="s">
        <v>0</v>
      </c>
      <c r="B222" s="851"/>
      <c r="C222" s="860"/>
      <c r="D222" s="881" t="s">
        <v>4</v>
      </c>
      <c r="E222" s="862" t="s">
        <v>1</v>
      </c>
      <c r="F222" s="862"/>
      <c r="G222" s="881" t="s">
        <v>21</v>
      </c>
      <c r="H222" s="881" t="s">
        <v>62</v>
      </c>
      <c r="Q222" s="52"/>
      <c r="R222" s="44"/>
    </row>
    <row r="223" spans="1:18" s="29" customFormat="1" ht="31.2">
      <c r="A223" s="852"/>
      <c r="B223" s="853"/>
      <c r="C223" s="861"/>
      <c r="D223" s="862"/>
      <c r="E223" s="545" t="s">
        <v>64</v>
      </c>
      <c r="F223" s="545" t="s">
        <v>65</v>
      </c>
      <c r="G223" s="881"/>
      <c r="H223" s="881"/>
      <c r="Q223" s="52"/>
      <c r="R223" s="44"/>
    </row>
    <row r="224" spans="1:18" s="29" customFormat="1" ht="15.6">
      <c r="A224" s="105" t="s">
        <v>255</v>
      </c>
      <c r="B224" s="105" t="s">
        <v>518</v>
      </c>
      <c r="C224" s="125"/>
      <c r="D224" s="126"/>
      <c r="E224" s="126"/>
      <c r="F224" s="127"/>
      <c r="G224" s="128"/>
      <c r="H224" s="127"/>
      <c r="Q224" s="52"/>
      <c r="R224" s="44"/>
    </row>
    <row r="225" spans="1:18" s="29" customFormat="1" ht="15.6">
      <c r="A225" s="625" t="s">
        <v>188</v>
      </c>
      <c r="B225" s="822" t="s">
        <v>256</v>
      </c>
      <c r="C225" s="824"/>
      <c r="D225" s="94" t="s">
        <v>2</v>
      </c>
      <c r="E225" s="94">
        <v>1</v>
      </c>
      <c r="F225" s="94">
        <v>2</v>
      </c>
      <c r="G225" s="65"/>
      <c r="H225" s="94">
        <f>IF(G225&gt;=80%,F225,IF(G225&lt;65%,0,E225))</f>
        <v>0</v>
      </c>
      <c r="J225" s="131"/>
      <c r="Q225" s="52"/>
      <c r="R225" s="44"/>
    </row>
    <row r="226" spans="1:18" s="29" customFormat="1">
      <c r="A226" s="575" t="s">
        <v>189</v>
      </c>
      <c r="B226" s="825" t="s">
        <v>619</v>
      </c>
      <c r="C226" s="827"/>
      <c r="D226" s="94" t="s">
        <v>50</v>
      </c>
      <c r="E226" s="94">
        <v>0.5</v>
      </c>
      <c r="F226" s="94">
        <v>1</v>
      </c>
      <c r="G226" s="65"/>
      <c r="H226" s="94">
        <f>IF(G226&gt;=80%,F226,IF(G226&lt;65%,0,E226))</f>
        <v>0</v>
      </c>
      <c r="Q226" s="52"/>
      <c r="R226" s="44"/>
    </row>
    <row r="227" spans="1:18" s="29" customFormat="1" ht="15.6">
      <c r="A227" s="592"/>
      <c r="B227" s="307"/>
      <c r="C227" s="305"/>
      <c r="D227" s="305"/>
      <c r="E227" s="305"/>
      <c r="F227" s="308"/>
      <c r="G227" s="312" t="s">
        <v>109</v>
      </c>
      <c r="H227" s="129">
        <f>IFERROR(SUM(H225:H226),0)</f>
        <v>0</v>
      </c>
      <c r="Q227" s="52"/>
      <c r="R227" s="44"/>
    </row>
    <row r="228" spans="1:18" s="29" customFormat="1">
      <c r="A228" s="592"/>
      <c r="B228" s="307"/>
      <c r="C228" s="305"/>
      <c r="D228" s="305"/>
      <c r="E228" s="305"/>
      <c r="F228" s="305"/>
      <c r="G228" s="314"/>
      <c r="H228" s="571"/>
      <c r="Q228" s="52"/>
      <c r="R228" s="44"/>
    </row>
    <row r="229" spans="1:18" s="29" customFormat="1" ht="15.6">
      <c r="A229" s="592"/>
      <c r="B229" s="307"/>
      <c r="C229" s="305"/>
      <c r="D229" s="305"/>
      <c r="E229" s="305"/>
      <c r="F229" s="305"/>
      <c r="G229" s="312" t="s">
        <v>110</v>
      </c>
      <c r="H229" s="129">
        <f>IFERROR(MIN(SUM(H206+H220+H227),G194),0)</f>
        <v>0</v>
      </c>
      <c r="Q229" s="52"/>
      <c r="R229" s="44"/>
    </row>
    <row r="230" spans="1:18" s="29" customFormat="1" ht="16.2" thickBot="1">
      <c r="A230" s="594"/>
      <c r="B230" s="361"/>
      <c r="C230" s="362"/>
      <c r="D230" s="362"/>
      <c r="E230" s="362"/>
      <c r="F230" s="362"/>
      <c r="G230" s="364"/>
      <c r="H230" s="606"/>
      <c r="Q230" s="52"/>
      <c r="R230" s="44"/>
    </row>
    <row r="231" spans="1:18" s="29" customFormat="1" ht="15.6">
      <c r="A231" s="642" t="s">
        <v>129</v>
      </c>
      <c r="B231" s="455"/>
      <c r="C231" s="455"/>
      <c r="D231" s="455"/>
      <c r="E231" s="455"/>
      <c r="F231" s="456" t="s">
        <v>42</v>
      </c>
      <c r="G231" s="457">
        <v>20</v>
      </c>
      <c r="H231" s="643" t="s">
        <v>41</v>
      </c>
      <c r="Q231" s="52"/>
      <c r="R231" s="44"/>
    </row>
    <row r="232" spans="1:18" s="29" customFormat="1" ht="15.6">
      <c r="A232" s="592"/>
      <c r="B232" s="329"/>
      <c r="C232" s="305"/>
      <c r="D232" s="305"/>
      <c r="E232" s="305"/>
      <c r="F232" s="305"/>
      <c r="G232" s="314"/>
      <c r="H232" s="571"/>
      <c r="Q232" s="52"/>
      <c r="R232" s="44"/>
    </row>
    <row r="233" spans="1:18" s="29" customFormat="1" ht="33" customHeight="1">
      <c r="A233" s="854" t="s">
        <v>0</v>
      </c>
      <c r="B233" s="855"/>
      <c r="C233" s="132"/>
      <c r="D233" s="132"/>
      <c r="E233" s="133" t="s">
        <v>4</v>
      </c>
      <c r="F233" s="133" t="s">
        <v>69</v>
      </c>
      <c r="G233" s="134" t="s">
        <v>21</v>
      </c>
      <c r="H233" s="644" t="s">
        <v>62</v>
      </c>
      <c r="Q233" s="52"/>
      <c r="R233" s="44"/>
    </row>
    <row r="234" spans="1:18" s="29" customFormat="1" ht="15.6">
      <c r="A234" s="105" t="s">
        <v>257</v>
      </c>
      <c r="B234" s="105" t="s">
        <v>258</v>
      </c>
      <c r="C234" s="106"/>
      <c r="D234" s="106"/>
      <c r="E234" s="106"/>
      <c r="F234" s="57"/>
      <c r="G234" s="135"/>
      <c r="H234" s="645"/>
      <c r="I234" s="130"/>
      <c r="Q234" s="52"/>
      <c r="R234" s="44"/>
    </row>
    <row r="235" spans="1:18" s="29" customFormat="1" ht="15.6">
      <c r="A235" s="591">
        <v>1.1000000000000001</v>
      </c>
      <c r="B235" s="816" t="s">
        <v>122</v>
      </c>
      <c r="C235" s="817"/>
      <c r="D235" s="818"/>
      <c r="E235" s="155"/>
      <c r="F235" s="136"/>
      <c r="G235" s="137"/>
      <c r="H235" s="547">
        <f t="shared" ref="H235:H240" si="5">F235*G235</f>
        <v>0</v>
      </c>
      <c r="Q235" s="52"/>
      <c r="R235" s="44"/>
    </row>
    <row r="236" spans="1:18" s="29" customFormat="1" ht="15.6">
      <c r="A236" s="589">
        <v>1.2</v>
      </c>
      <c r="B236" s="844" t="s">
        <v>123</v>
      </c>
      <c r="C236" s="845"/>
      <c r="D236" s="846"/>
      <c r="E236" s="155"/>
      <c r="F236" s="136"/>
      <c r="G236" s="137"/>
      <c r="H236" s="547">
        <f t="shared" si="5"/>
        <v>0</v>
      </c>
      <c r="Q236" s="52"/>
      <c r="R236" s="44"/>
    </row>
    <row r="237" spans="1:18" s="29" customFormat="1" ht="15.6">
      <c r="A237" s="591">
        <v>1.3</v>
      </c>
      <c r="B237" s="816" t="s">
        <v>114</v>
      </c>
      <c r="C237" s="817"/>
      <c r="D237" s="818"/>
      <c r="E237" s="155"/>
      <c r="F237" s="136"/>
      <c r="G237" s="137"/>
      <c r="H237" s="547">
        <f t="shared" si="5"/>
        <v>0</v>
      </c>
      <c r="Q237" s="52"/>
      <c r="R237" s="44"/>
    </row>
    <row r="238" spans="1:18" s="29" customFormat="1" ht="15.6">
      <c r="A238" s="591">
        <v>1.4</v>
      </c>
      <c r="B238" s="816" t="s">
        <v>282</v>
      </c>
      <c r="C238" s="817"/>
      <c r="D238" s="818"/>
      <c r="E238" s="155"/>
      <c r="F238" s="136"/>
      <c r="G238" s="137"/>
      <c r="H238" s="547">
        <f t="shared" si="5"/>
        <v>0</v>
      </c>
      <c r="Q238" s="52"/>
      <c r="R238" s="44"/>
    </row>
    <row r="239" spans="1:18" s="29" customFormat="1" ht="15.6">
      <c r="A239" s="591">
        <v>1.5</v>
      </c>
      <c r="B239" s="816"/>
      <c r="C239" s="817"/>
      <c r="D239" s="818"/>
      <c r="E239" s="155"/>
      <c r="F239" s="136"/>
      <c r="G239" s="137"/>
      <c r="H239" s="547">
        <f t="shared" si="5"/>
        <v>0</v>
      </c>
      <c r="Q239" s="52"/>
      <c r="R239" s="44"/>
    </row>
    <row r="240" spans="1:18" s="29" customFormat="1" ht="15.6">
      <c r="A240" s="591">
        <v>1.6</v>
      </c>
      <c r="B240" s="816"/>
      <c r="C240" s="817"/>
      <c r="D240" s="818"/>
      <c r="E240" s="155"/>
      <c r="F240" s="136"/>
      <c r="G240" s="137"/>
      <c r="H240" s="547">
        <f t="shared" si="5"/>
        <v>0</v>
      </c>
      <c r="Q240" s="52"/>
      <c r="R240" s="44"/>
    </row>
    <row r="241" spans="1:18" s="29" customFormat="1" ht="15.6">
      <c r="A241" s="105" t="s">
        <v>260</v>
      </c>
      <c r="B241" s="105" t="s">
        <v>259</v>
      </c>
      <c r="C241" s="106"/>
      <c r="D241" s="106"/>
      <c r="E241" s="106"/>
      <c r="F241" s="57"/>
      <c r="G241" s="135"/>
      <c r="H241" s="645"/>
      <c r="Q241" s="52"/>
      <c r="R241" s="44"/>
    </row>
    <row r="242" spans="1:18" s="29" customFormat="1" ht="30.6" customHeight="1">
      <c r="A242" s="620">
        <v>2.1</v>
      </c>
      <c r="B242" s="825" t="s">
        <v>620</v>
      </c>
      <c r="C242" s="842"/>
      <c r="D242" s="843"/>
      <c r="E242" s="148" t="s">
        <v>367</v>
      </c>
      <c r="F242" s="389">
        <v>2</v>
      </c>
      <c r="G242" s="390"/>
      <c r="H242" s="547">
        <f>IFERROR(VLOOKUP(E242,J243:K246,2,FALSE),0)</f>
        <v>0</v>
      </c>
      <c r="J242" s="29" t="s">
        <v>367</v>
      </c>
      <c r="K242" s="29">
        <v>0</v>
      </c>
      <c r="Q242" s="52"/>
      <c r="R242" s="44"/>
    </row>
    <row r="243" spans="1:18" s="29" customFormat="1" ht="15.6">
      <c r="A243" s="592"/>
      <c r="B243" s="304"/>
      <c r="C243" s="305"/>
      <c r="D243" s="305"/>
      <c r="E243" s="305"/>
      <c r="F243" s="305"/>
      <c r="G243" s="312" t="s">
        <v>130</v>
      </c>
      <c r="H243" s="138">
        <f>IFERROR(MIN(SUM(H235:H242),G231),0)</f>
        <v>0</v>
      </c>
      <c r="J243" s="29" t="s">
        <v>363</v>
      </c>
      <c r="K243" s="29">
        <v>2</v>
      </c>
      <c r="Q243" s="44"/>
      <c r="R243" s="44"/>
    </row>
    <row r="244" spans="1:18" s="29" customFormat="1">
      <c r="A244" s="592"/>
      <c r="B244" s="307"/>
      <c r="C244" s="305"/>
      <c r="D244" s="305"/>
      <c r="E244" s="305"/>
      <c r="F244" s="305"/>
      <c r="G244" s="314"/>
      <c r="H244" s="571"/>
      <c r="J244" s="29" t="s">
        <v>364</v>
      </c>
      <c r="K244" s="29">
        <v>2</v>
      </c>
      <c r="Q244" s="44"/>
      <c r="R244" s="44"/>
    </row>
    <row r="245" spans="1:18" s="29" customFormat="1" ht="15.6">
      <c r="A245" s="592"/>
      <c r="B245" s="307"/>
      <c r="C245" s="305"/>
      <c r="D245" s="305"/>
      <c r="E245" s="305"/>
      <c r="F245" s="305"/>
      <c r="G245" s="312" t="s">
        <v>68</v>
      </c>
      <c r="H245" s="617">
        <f>IFERROR(H89+H192+H229+H243,0)</f>
        <v>0</v>
      </c>
      <c r="J245" s="29" t="s">
        <v>365</v>
      </c>
      <c r="K245" s="29">
        <v>2</v>
      </c>
      <c r="Q245" s="44"/>
      <c r="R245" s="44"/>
    </row>
    <row r="246" spans="1:18" s="29" customFormat="1">
      <c r="A246" s="592"/>
      <c r="B246" s="307"/>
      <c r="C246" s="305"/>
      <c r="D246" s="305"/>
      <c r="E246" s="305"/>
      <c r="F246" s="305"/>
      <c r="G246" s="314"/>
      <c r="H246" s="571"/>
      <c r="J246" s="29" t="s">
        <v>366</v>
      </c>
      <c r="K246" s="29">
        <v>2</v>
      </c>
      <c r="Q246" s="52"/>
      <c r="R246" s="44"/>
    </row>
    <row r="247" spans="1:18" s="29" customFormat="1" ht="15.75" customHeight="1">
      <c r="A247" s="592"/>
      <c r="B247" s="327" t="s">
        <v>37</v>
      </c>
      <c r="C247" s="314"/>
      <c r="D247" s="809" t="s">
        <v>372</v>
      </c>
      <c r="E247" s="809"/>
      <c r="F247" s="809"/>
      <c r="G247" s="314"/>
      <c r="H247" s="646"/>
      <c r="Q247" s="52"/>
      <c r="R247" s="44"/>
    </row>
    <row r="248" spans="1:18" s="29" customFormat="1" ht="15.6">
      <c r="A248" s="592"/>
      <c r="B248" s="328"/>
      <c r="C248" s="314"/>
      <c r="D248" s="809"/>
      <c r="E248" s="809"/>
      <c r="F248" s="809"/>
      <c r="G248" s="314"/>
      <c r="H248" s="646"/>
      <c r="Q248" s="52"/>
      <c r="R248" s="44"/>
    </row>
    <row r="249" spans="1:18" s="29" customFormat="1" ht="15.6">
      <c r="A249" s="647" t="s">
        <v>261</v>
      </c>
      <c r="B249" s="328" t="s">
        <v>99</v>
      </c>
      <c r="C249" s="347">
        <f>IFERROR(SUM(G32+G35+G37+G38+G47+G50),0)</f>
        <v>0</v>
      </c>
      <c r="D249" s="314" t="s">
        <v>265</v>
      </c>
      <c r="E249" s="137"/>
      <c r="F249" s="314" t="s">
        <v>266</v>
      </c>
      <c r="G249" s="139">
        <f>MIN(IFERROR(SUM(C249+E249),0),100%)</f>
        <v>0</v>
      </c>
      <c r="H249" s="571"/>
      <c r="L249" s="52"/>
      <c r="M249" s="44"/>
    </row>
    <row r="250" spans="1:18" s="29" customFormat="1" ht="15.6">
      <c r="A250" s="647" t="s">
        <v>262</v>
      </c>
      <c r="B250" s="328" t="s">
        <v>100</v>
      </c>
      <c r="C250" s="347">
        <f>IFERROR(SUM(F19+G96+G98+G100+G103+G106+G107+G108+G109+G110),0)</f>
        <v>0</v>
      </c>
      <c r="D250" s="314" t="s">
        <v>265</v>
      </c>
      <c r="E250" s="137"/>
      <c r="F250" s="314" t="s">
        <v>266</v>
      </c>
      <c r="G250" s="139">
        <f>MIN(IFERROR(SUM(C250+E250),0),100%)</f>
        <v>0</v>
      </c>
      <c r="H250" s="571"/>
      <c r="L250" s="52"/>
      <c r="M250" s="44"/>
    </row>
    <row r="251" spans="1:18" s="29" customFormat="1" ht="15.6">
      <c r="A251" s="647" t="s">
        <v>263</v>
      </c>
      <c r="B251" s="328" t="s">
        <v>101</v>
      </c>
      <c r="C251" s="347">
        <f>IFERROR(G206,0)</f>
        <v>0</v>
      </c>
      <c r="D251" s="314" t="s">
        <v>265</v>
      </c>
      <c r="E251" s="137"/>
      <c r="F251" s="286" t="s">
        <v>266</v>
      </c>
      <c r="G251" s="139">
        <f>MIN(IFERROR(SUM(C251+E251),0),100%)</f>
        <v>0</v>
      </c>
      <c r="H251" s="562"/>
      <c r="I251" s="3"/>
      <c r="J251" s="3"/>
      <c r="K251" s="3"/>
      <c r="L251" s="52"/>
      <c r="M251" s="44"/>
    </row>
    <row r="252" spans="1:18" s="29" customFormat="1">
      <c r="A252" s="622"/>
      <c r="B252" s="320"/>
      <c r="C252" s="323"/>
      <c r="D252" s="323"/>
      <c r="E252" s="323"/>
      <c r="F252" s="323"/>
      <c r="G252" s="648"/>
      <c r="H252" s="649"/>
      <c r="J252" s="3"/>
      <c r="K252" s="3"/>
      <c r="L252" s="3"/>
      <c r="M252" s="3"/>
      <c r="N252" s="3"/>
      <c r="O252" s="3"/>
      <c r="P252" s="3"/>
      <c r="Q252" s="52"/>
      <c r="R252" s="44"/>
    </row>
    <row r="253" spans="1:18" s="29" customFormat="1">
      <c r="A253" s="161"/>
      <c r="B253" s="3"/>
      <c r="C253" s="3"/>
      <c r="D253" s="3"/>
      <c r="E253" s="3"/>
      <c r="F253" s="3"/>
      <c r="G253" s="10"/>
      <c r="H253" s="3"/>
      <c r="J253" s="3"/>
      <c r="K253" s="3"/>
      <c r="L253" s="3"/>
      <c r="M253" s="3"/>
      <c r="N253" s="3"/>
      <c r="O253" s="3"/>
      <c r="P253" s="3"/>
      <c r="Q253" s="52"/>
      <c r="R253" s="44"/>
    </row>
    <row r="254" spans="1:18" s="29" customFormat="1">
      <c r="A254" s="161"/>
      <c r="B254" s="3"/>
      <c r="C254" s="3"/>
      <c r="D254" s="3"/>
      <c r="E254" s="3"/>
      <c r="F254" s="3"/>
      <c r="G254" s="10"/>
      <c r="H254" s="3"/>
      <c r="J254" s="3"/>
      <c r="K254" s="3"/>
      <c r="L254" s="3"/>
      <c r="M254" s="3"/>
      <c r="N254" s="3"/>
      <c r="O254" s="3"/>
      <c r="P254" s="3"/>
      <c r="Q254" s="52"/>
      <c r="R254" s="44"/>
    </row>
    <row r="255" spans="1:18" s="29" customFormat="1">
      <c r="A255" s="161"/>
      <c r="B255" s="3"/>
      <c r="C255" s="3"/>
      <c r="D255" s="3"/>
      <c r="E255" s="3"/>
      <c r="F255" s="3"/>
      <c r="G255" s="10"/>
      <c r="H255" s="3"/>
      <c r="J255" s="3"/>
      <c r="K255" s="3"/>
      <c r="L255" s="3"/>
      <c r="M255" s="3"/>
      <c r="N255" s="3"/>
      <c r="O255" s="3"/>
      <c r="P255" s="3"/>
      <c r="Q255" s="52"/>
      <c r="R255" s="44"/>
    </row>
    <row r="256" spans="1:18" s="29" customFormat="1">
      <c r="A256" s="161"/>
      <c r="B256" s="3"/>
      <c r="C256" s="3"/>
      <c r="D256" s="3"/>
      <c r="E256" s="3"/>
      <c r="F256" s="3"/>
      <c r="G256" s="10"/>
      <c r="H256" s="3"/>
      <c r="J256" s="3"/>
      <c r="K256" s="3"/>
      <c r="L256" s="3"/>
      <c r="M256" s="3"/>
      <c r="N256" s="3"/>
      <c r="O256" s="3"/>
      <c r="P256" s="3"/>
      <c r="Q256" s="44"/>
      <c r="R256" s="44"/>
    </row>
    <row r="257" spans="1:18" s="29" customFormat="1">
      <c r="A257" s="161"/>
      <c r="B257" s="3"/>
      <c r="C257" s="3"/>
      <c r="D257" s="3"/>
      <c r="E257" s="3"/>
      <c r="F257" s="3"/>
      <c r="G257" s="10"/>
      <c r="H257" s="3"/>
      <c r="J257" s="3"/>
      <c r="K257" s="3"/>
      <c r="L257" s="3"/>
      <c r="M257" s="3"/>
      <c r="N257" s="3"/>
      <c r="O257" s="3"/>
      <c r="P257" s="3"/>
      <c r="Q257" s="44"/>
      <c r="R257" s="44"/>
    </row>
    <row r="258" spans="1:18" s="29" customFormat="1">
      <c r="A258" s="161"/>
      <c r="B258" s="3"/>
      <c r="C258" s="3"/>
      <c r="D258" s="3"/>
      <c r="E258" s="3"/>
      <c r="F258" s="3"/>
      <c r="G258" s="10"/>
      <c r="H258" s="3"/>
      <c r="J258" s="3"/>
      <c r="K258" s="3"/>
      <c r="L258" s="3"/>
      <c r="M258" s="3"/>
      <c r="N258" s="3"/>
      <c r="O258" s="3"/>
      <c r="P258" s="3"/>
      <c r="Q258" s="44"/>
      <c r="R258" s="44"/>
    </row>
    <row r="259" spans="1:18" s="29" customFormat="1">
      <c r="A259" s="161"/>
      <c r="B259" s="3"/>
      <c r="C259" s="3"/>
      <c r="D259" s="3"/>
      <c r="E259" s="3"/>
      <c r="F259" s="3"/>
      <c r="G259" s="10"/>
      <c r="H259" s="3"/>
      <c r="J259" s="3"/>
      <c r="K259" s="3"/>
      <c r="L259" s="3"/>
      <c r="M259" s="3"/>
      <c r="N259" s="3"/>
      <c r="O259" s="3"/>
      <c r="P259" s="3"/>
      <c r="Q259" s="44"/>
      <c r="R259" s="44"/>
    </row>
  </sheetData>
  <sheetProtection algorithmName="SHA-512" hashValue="xiYjlb25wrMgjjTUPoLXLmfdZbMnl0ybtD2NucqB5bUc/g9LvmKcDXT3BVbB9CHQgRNDIGUG/AhSboeBII52/A==" saltValue="mJHJolwiNsifhllYJw1qJQ==" spinCount="100000" sheet="1" selectLockedCells="1"/>
  <mergeCells count="236">
    <mergeCell ref="A38:A39"/>
    <mergeCell ref="B38:D39"/>
    <mergeCell ref="B22:C22"/>
    <mergeCell ref="A4:B4"/>
    <mergeCell ref="A7:B7"/>
    <mergeCell ref="D7:G7"/>
    <mergeCell ref="D11:D12"/>
    <mergeCell ref="E11:E12"/>
    <mergeCell ref="F11:F12"/>
    <mergeCell ref="B14:C14"/>
    <mergeCell ref="B15:C15"/>
    <mergeCell ref="B16:C16"/>
    <mergeCell ref="A11:B12"/>
    <mergeCell ref="B17:C17"/>
    <mergeCell ref="B19:C19"/>
    <mergeCell ref="B20:C20"/>
    <mergeCell ref="B21:C21"/>
    <mergeCell ref="E38:E39"/>
    <mergeCell ref="B23:C23"/>
    <mergeCell ref="B24:C24"/>
    <mergeCell ref="B25:C25"/>
    <mergeCell ref="A32:A33"/>
    <mergeCell ref="E32:E33"/>
    <mergeCell ref="F32:F33"/>
    <mergeCell ref="B53:D53"/>
    <mergeCell ref="B37:D37"/>
    <mergeCell ref="B41:D41"/>
    <mergeCell ref="B67:C67"/>
    <mergeCell ref="B69:C69"/>
    <mergeCell ref="B66:C66"/>
    <mergeCell ref="B54:D54"/>
    <mergeCell ref="B56:D56"/>
    <mergeCell ref="B57:D57"/>
    <mergeCell ref="B44:D44"/>
    <mergeCell ref="B179:C179"/>
    <mergeCell ref="B180:C180"/>
    <mergeCell ref="B32:D32"/>
    <mergeCell ref="B50:D50"/>
    <mergeCell ref="B40:D40"/>
    <mergeCell ref="B35:D35"/>
    <mergeCell ref="B65:C65"/>
    <mergeCell ref="B103:D103"/>
    <mergeCell ref="B104:D104"/>
    <mergeCell ref="B64:C64"/>
    <mergeCell ref="B96:D96"/>
    <mergeCell ref="B99:D99"/>
    <mergeCell ref="B68:C68"/>
    <mergeCell ref="B81:C81"/>
    <mergeCell ref="B70:C70"/>
    <mergeCell ref="B71:C71"/>
    <mergeCell ref="B73:C73"/>
    <mergeCell ref="B77:C77"/>
    <mergeCell ref="B79:C79"/>
    <mergeCell ref="B74:C74"/>
    <mergeCell ref="B85:C85"/>
    <mergeCell ref="B86:C86"/>
    <mergeCell ref="B58:D58"/>
    <mergeCell ref="A61:B62"/>
    <mergeCell ref="H151:H152"/>
    <mergeCell ref="B155:C155"/>
    <mergeCell ref="B156:C156"/>
    <mergeCell ref="B157:C157"/>
    <mergeCell ref="B158:C158"/>
    <mergeCell ref="A160:A161"/>
    <mergeCell ref="A98:A99"/>
    <mergeCell ref="B98:D98"/>
    <mergeCell ref="E98:E99"/>
    <mergeCell ref="F98:F99"/>
    <mergeCell ref="B101:D101"/>
    <mergeCell ref="B108:D108"/>
    <mergeCell ref="G98:G99"/>
    <mergeCell ref="H98:H99"/>
    <mergeCell ref="B134:C134"/>
    <mergeCell ref="B135:C135"/>
    <mergeCell ref="B110:D110"/>
    <mergeCell ref="B114:D114"/>
    <mergeCell ref="B113:D113"/>
    <mergeCell ref="B109:D109"/>
    <mergeCell ref="B127:C127"/>
    <mergeCell ref="A100:A101"/>
    <mergeCell ref="B100:D100"/>
    <mergeCell ref="E100:E101"/>
    <mergeCell ref="A176:A177"/>
    <mergeCell ref="B176:C176"/>
    <mergeCell ref="D176:D177"/>
    <mergeCell ref="E176:E177"/>
    <mergeCell ref="F176:F177"/>
    <mergeCell ref="G176:G177"/>
    <mergeCell ref="H176:H177"/>
    <mergeCell ref="B177:C177"/>
    <mergeCell ref="B129:C129"/>
    <mergeCell ref="A131:A132"/>
    <mergeCell ref="B131:C131"/>
    <mergeCell ref="D131:D132"/>
    <mergeCell ref="E131:E132"/>
    <mergeCell ref="F131:F132"/>
    <mergeCell ref="G131:G132"/>
    <mergeCell ref="D147:D148"/>
    <mergeCell ref="E147:E148"/>
    <mergeCell ref="F147:G147"/>
    <mergeCell ref="F148:G148"/>
    <mergeCell ref="A151:B152"/>
    <mergeCell ref="C151:C152"/>
    <mergeCell ref="D151:D152"/>
    <mergeCell ref="E151:F151"/>
    <mergeCell ref="G151:G152"/>
    <mergeCell ref="G208:G209"/>
    <mergeCell ref="H208:H209"/>
    <mergeCell ref="B212:C212"/>
    <mergeCell ref="B213:C213"/>
    <mergeCell ref="B214:C214"/>
    <mergeCell ref="B215:C215"/>
    <mergeCell ref="B218:C218"/>
    <mergeCell ref="B219:C219"/>
    <mergeCell ref="A222:B223"/>
    <mergeCell ref="C222:C223"/>
    <mergeCell ref="D222:D223"/>
    <mergeCell ref="E222:F222"/>
    <mergeCell ref="G222:G223"/>
    <mergeCell ref="H222:H223"/>
    <mergeCell ref="B217:C217"/>
    <mergeCell ref="H100:H101"/>
    <mergeCell ref="A103:A104"/>
    <mergeCell ref="E103:E104"/>
    <mergeCell ref="F103:F104"/>
    <mergeCell ref="G103:G104"/>
    <mergeCell ref="H103:H104"/>
    <mergeCell ref="G32:G33"/>
    <mergeCell ref="H32:H33"/>
    <mergeCell ref="B33:D33"/>
    <mergeCell ref="G61:G62"/>
    <mergeCell ref="H61:H62"/>
    <mergeCell ref="D69:D72"/>
    <mergeCell ref="B72:C72"/>
    <mergeCell ref="E74:F74"/>
    <mergeCell ref="B76:C76"/>
    <mergeCell ref="H38:H39"/>
    <mergeCell ref="E40:E45"/>
    <mergeCell ref="H40:H45"/>
    <mergeCell ref="B43:D43"/>
    <mergeCell ref="B48:D48"/>
    <mergeCell ref="B49:D49"/>
    <mergeCell ref="B42:D42"/>
    <mergeCell ref="B47:D47"/>
    <mergeCell ref="B45:D45"/>
    <mergeCell ref="A127:A128"/>
    <mergeCell ref="D127:D128"/>
    <mergeCell ref="B78:C78"/>
    <mergeCell ref="B82:C82"/>
    <mergeCell ref="B84:C84"/>
    <mergeCell ref="E61:F61"/>
    <mergeCell ref="D61:D62"/>
    <mergeCell ref="F100:F101"/>
    <mergeCell ref="G100:G101"/>
    <mergeCell ref="E127:E128"/>
    <mergeCell ref="F127:F128"/>
    <mergeCell ref="G127:G128"/>
    <mergeCell ref="H127:H128"/>
    <mergeCell ref="B128:C128"/>
    <mergeCell ref="Q106:Q107"/>
    <mergeCell ref="H131:H132"/>
    <mergeCell ref="B132:C132"/>
    <mergeCell ref="B138:C138"/>
    <mergeCell ref="B106:D106"/>
    <mergeCell ref="B107:D107"/>
    <mergeCell ref="B115:D115"/>
    <mergeCell ref="B117:D117"/>
    <mergeCell ref="B118:D118"/>
    <mergeCell ref="B119:D119"/>
    <mergeCell ref="B125:C125"/>
    <mergeCell ref="B139:C139"/>
    <mergeCell ref="B140:C140"/>
    <mergeCell ref="B141:C141"/>
    <mergeCell ref="B142:C142"/>
    <mergeCell ref="A145:B145"/>
    <mergeCell ref="F145:G145"/>
    <mergeCell ref="B160:C161"/>
    <mergeCell ref="E160:F160"/>
    <mergeCell ref="G160:G161"/>
    <mergeCell ref="B159:C159"/>
    <mergeCell ref="H160:H161"/>
    <mergeCell ref="E161:F161"/>
    <mergeCell ref="A162:A165"/>
    <mergeCell ref="B162:C165"/>
    <mergeCell ref="E162:F162"/>
    <mergeCell ref="G162:G165"/>
    <mergeCell ref="H162:H165"/>
    <mergeCell ref="E163:F163"/>
    <mergeCell ref="E164:F164"/>
    <mergeCell ref="E165:F165"/>
    <mergeCell ref="B166:C167"/>
    <mergeCell ref="B170:C170"/>
    <mergeCell ref="A174:A175"/>
    <mergeCell ref="B174:C174"/>
    <mergeCell ref="D174:D175"/>
    <mergeCell ref="E174:E175"/>
    <mergeCell ref="F174:F175"/>
    <mergeCell ref="G174:G175"/>
    <mergeCell ref="H174:H175"/>
    <mergeCell ref="B175:C175"/>
    <mergeCell ref="B172:C172"/>
    <mergeCell ref="B171:C171"/>
    <mergeCell ref="A166:A167"/>
    <mergeCell ref="B169:C169"/>
    <mergeCell ref="B181:C181"/>
    <mergeCell ref="A184:B185"/>
    <mergeCell ref="C184:C185"/>
    <mergeCell ref="D184:D185"/>
    <mergeCell ref="E184:F184"/>
    <mergeCell ref="G184:G185"/>
    <mergeCell ref="H184:H185"/>
    <mergeCell ref="B187:C187"/>
    <mergeCell ref="B188:C188"/>
    <mergeCell ref="B189:C189"/>
    <mergeCell ref="E189:F189"/>
    <mergeCell ref="A196:B196"/>
    <mergeCell ref="B199:C199"/>
    <mergeCell ref="B201:C201"/>
    <mergeCell ref="A208:B209"/>
    <mergeCell ref="C208:C209"/>
    <mergeCell ref="D208:D209"/>
    <mergeCell ref="E208:F208"/>
    <mergeCell ref="B204:C204"/>
    <mergeCell ref="B205:C205"/>
    <mergeCell ref="B203:C203"/>
    <mergeCell ref="B242:D242"/>
    <mergeCell ref="D247:F248"/>
    <mergeCell ref="B225:C225"/>
    <mergeCell ref="B226:C226"/>
    <mergeCell ref="A233:B233"/>
    <mergeCell ref="B235:D235"/>
    <mergeCell ref="B236:D236"/>
    <mergeCell ref="B237:D237"/>
    <mergeCell ref="B238:D238"/>
    <mergeCell ref="B239:D239"/>
    <mergeCell ref="B240:D240"/>
  </mergeCells>
  <dataValidations count="3">
    <dataValidation type="list" allowBlank="1" showInputMessage="1" showErrorMessage="1" sqref="E242" xr:uid="{91487A1C-AC18-4BE1-9E23-603768BE6086}">
      <formula1>$J$242:$J$246</formula1>
    </dataValidation>
    <dataValidation type="list" allowBlank="1" showInputMessage="1" showErrorMessage="1" sqref="F148:G148" xr:uid="{68CA8295-D15E-4435-BAD0-A6C88DB22161}">
      <formula1>$K$145:$P$145</formula1>
    </dataValidation>
    <dataValidation type="list" allowBlank="1" showInputMessage="1" showErrorMessage="1" sqref="A7:B7" xr:uid="{71EE7BB9-846F-402F-BA46-B36A7A82D220}">
      <formula1>$J$1:$J$6</formula1>
    </dataValidation>
  </dataValidations>
  <pageMargins left="0.25" right="0.25" top="0.75" bottom="0.75" header="0.3" footer="0.3"/>
  <pageSetup paperSize="9" scale="55" fitToHeight="4" orientation="portrait" r:id="rId1"/>
  <headerFooter>
    <oddFooter>&amp;F</oddFooter>
  </headerFooter>
  <rowBreaks count="3" manualBreakCount="3">
    <brk id="60" max="12" man="1"/>
    <brk id="121" max="12" man="1"/>
    <brk id="183" max="1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259"/>
  <sheetViews>
    <sheetView zoomScale="80" zoomScaleNormal="80" zoomScaleSheetLayoutView="100" workbookViewId="0">
      <selection activeCell="A7" sqref="A7:B7"/>
    </sheetView>
  </sheetViews>
  <sheetFormatPr defaultColWidth="9.109375" defaultRowHeight="15"/>
  <cols>
    <col min="1" max="1" width="7" style="160"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29" style="3" hidden="1" customWidth="1"/>
    <col min="10" max="10" width="45.6640625" style="3" hidden="1" customWidth="1"/>
    <col min="11" max="15" width="9.109375" style="3" hidden="1" customWidth="1"/>
    <col min="16" max="16" width="9.6640625" style="3" hidden="1" customWidth="1"/>
    <col min="17" max="17" width="9.109375" style="3" customWidth="1"/>
    <col min="18" max="16384" width="9.109375" style="3"/>
  </cols>
  <sheetData>
    <row r="1" spans="1:15" ht="15.6">
      <c r="A1" s="558" t="s">
        <v>89</v>
      </c>
      <c r="B1" s="559"/>
      <c r="C1" s="559"/>
      <c r="D1" s="559"/>
      <c r="E1" s="559"/>
      <c r="F1" s="559"/>
      <c r="G1" s="559"/>
      <c r="H1" s="560"/>
      <c r="J1" s="3" t="s">
        <v>40</v>
      </c>
    </row>
    <row r="2" spans="1:15">
      <c r="A2" s="561"/>
      <c r="B2" s="264"/>
      <c r="C2" s="264"/>
      <c r="D2" s="264"/>
      <c r="E2" s="264"/>
      <c r="F2" s="264"/>
      <c r="G2" s="265"/>
      <c r="H2" s="562"/>
      <c r="I2" s="6"/>
      <c r="J2" s="6" t="s">
        <v>384</v>
      </c>
    </row>
    <row r="3" spans="1:15" ht="15.6">
      <c r="A3" s="563" t="s">
        <v>336</v>
      </c>
      <c r="B3" s="264"/>
      <c r="C3" s="264"/>
      <c r="D3" s="331" t="s">
        <v>134</v>
      </c>
      <c r="E3" s="331" t="s">
        <v>135</v>
      </c>
      <c r="F3" s="331" t="s">
        <v>136</v>
      </c>
      <c r="G3" s="289" t="s">
        <v>104</v>
      </c>
      <c r="H3" s="564" t="s">
        <v>62</v>
      </c>
      <c r="I3" s="6"/>
      <c r="J3" s="6" t="s">
        <v>44</v>
      </c>
    </row>
    <row r="4" spans="1:15" ht="15.6">
      <c r="A4" s="966">
        <f>Summary!A6</f>
        <v>0</v>
      </c>
      <c r="B4" s="967"/>
      <c r="C4" s="264"/>
      <c r="D4" s="74">
        <f>H89</f>
        <v>0</v>
      </c>
      <c r="E4" s="154">
        <f>H192</f>
        <v>0</v>
      </c>
      <c r="F4" s="129">
        <f>H229</f>
        <v>0</v>
      </c>
      <c r="G4" s="138">
        <f>H243</f>
        <v>0</v>
      </c>
      <c r="H4" s="565">
        <f>H245</f>
        <v>0</v>
      </c>
      <c r="I4" s="6"/>
      <c r="J4" s="6" t="s">
        <v>15</v>
      </c>
    </row>
    <row r="5" spans="1:15">
      <c r="A5" s="561"/>
      <c r="B5" s="264"/>
      <c r="C5" s="264"/>
      <c r="D5" s="264"/>
      <c r="E5" s="264"/>
      <c r="F5" s="264"/>
      <c r="G5" s="265"/>
      <c r="H5" s="562"/>
      <c r="I5" s="6"/>
      <c r="J5" s="6" t="s">
        <v>16</v>
      </c>
    </row>
    <row r="6" spans="1:15" s="4" customFormat="1" ht="15.6">
      <c r="A6" s="563" t="s">
        <v>90</v>
      </c>
      <c r="B6" s="296"/>
      <c r="C6" s="296"/>
      <c r="D6" s="297" t="s">
        <v>35</v>
      </c>
      <c r="E6" s="264"/>
      <c r="F6" s="264"/>
      <c r="G6" s="265"/>
      <c r="H6" s="562"/>
      <c r="I6" s="6"/>
      <c r="J6" s="6" t="s">
        <v>383</v>
      </c>
      <c r="K6" s="3"/>
      <c r="L6" s="3"/>
      <c r="M6" s="3"/>
    </row>
    <row r="7" spans="1:15" ht="15.75" customHeight="1">
      <c r="A7" s="976" t="s">
        <v>384</v>
      </c>
      <c r="B7" s="977"/>
      <c r="D7" s="761">
        <f>Summary!A101</f>
        <v>0</v>
      </c>
      <c r="E7" s="779"/>
      <c r="F7" s="779"/>
      <c r="G7" s="780"/>
      <c r="H7" s="566"/>
      <c r="I7" s="29"/>
      <c r="J7" s="29" t="s">
        <v>382</v>
      </c>
    </row>
    <row r="8" spans="1:15" ht="15.6" thickBot="1">
      <c r="A8" s="561"/>
      <c r="B8" s="298"/>
      <c r="C8" s="264"/>
      <c r="D8" s="264"/>
      <c r="E8" s="264"/>
      <c r="F8" s="264"/>
      <c r="G8" s="265"/>
      <c r="H8" s="562"/>
    </row>
    <row r="9" spans="1:15" ht="16.2" thickBot="1">
      <c r="A9" s="567" t="s">
        <v>125</v>
      </c>
      <c r="B9" s="140"/>
      <c r="C9" s="140"/>
      <c r="D9" s="140"/>
      <c r="E9" s="140"/>
      <c r="F9" s="141"/>
      <c r="G9" s="16"/>
      <c r="H9" s="568"/>
    </row>
    <row r="10" spans="1:15">
      <c r="A10" s="561"/>
      <c r="B10" s="299"/>
      <c r="C10" s="264"/>
      <c r="D10" s="264"/>
      <c r="E10" s="264"/>
      <c r="F10" s="264"/>
      <c r="G10" s="265"/>
      <c r="H10" s="562"/>
    </row>
    <row r="11" spans="1:15" ht="15.75" customHeight="1">
      <c r="A11" s="905" t="s">
        <v>0</v>
      </c>
      <c r="B11" s="906"/>
      <c r="C11" s="144"/>
      <c r="D11" s="883" t="s">
        <v>4</v>
      </c>
      <c r="E11" s="882" t="s">
        <v>80</v>
      </c>
      <c r="F11" s="882" t="s">
        <v>21</v>
      </c>
      <c r="G11" s="300"/>
      <c r="H11" s="569"/>
    </row>
    <row r="12" spans="1:15" ht="15.75" customHeight="1">
      <c r="A12" s="907"/>
      <c r="B12" s="908"/>
      <c r="C12" s="145"/>
      <c r="D12" s="884"/>
      <c r="E12" s="882"/>
      <c r="F12" s="882"/>
      <c r="G12" s="300"/>
      <c r="H12" s="569"/>
    </row>
    <row r="13" spans="1:15" s="29" customFormat="1" ht="15.6">
      <c r="A13" s="570" t="s">
        <v>127</v>
      </c>
      <c r="B13" s="167"/>
      <c r="C13" s="167"/>
      <c r="D13" s="167"/>
      <c r="E13" s="170"/>
      <c r="F13" s="170"/>
      <c r="G13" s="301"/>
      <c r="H13" s="571"/>
      <c r="N13" s="44"/>
      <c r="O13" s="44"/>
    </row>
    <row r="14" spans="1:15">
      <c r="A14" s="572">
        <v>1</v>
      </c>
      <c r="B14" s="826" t="s">
        <v>268</v>
      </c>
      <c r="C14" s="827"/>
      <c r="D14" s="511" t="s">
        <v>2</v>
      </c>
      <c r="E14" s="512" t="s">
        <v>49</v>
      </c>
      <c r="F14" s="30"/>
      <c r="G14" s="573" t="str">
        <f>IF(F14&lt;65%,"To comply with min. 65%"," ")</f>
        <v>To comply with min. 65%</v>
      </c>
      <c r="H14" s="574"/>
    </row>
    <row r="15" spans="1:15">
      <c r="A15" s="575">
        <v>2</v>
      </c>
      <c r="B15" s="826" t="s">
        <v>590</v>
      </c>
      <c r="C15" s="827"/>
      <c r="D15" s="513" t="s">
        <v>50</v>
      </c>
      <c r="E15" s="514" t="s">
        <v>49</v>
      </c>
      <c r="F15" s="553"/>
      <c r="G15" s="573" t="str">
        <f>IF(F15&lt;80%,"To comply with min. 80%"," ")</f>
        <v>To comply with min. 80%</v>
      </c>
      <c r="H15" s="562"/>
    </row>
    <row r="16" spans="1:15" ht="15" customHeight="1">
      <c r="A16" s="572">
        <v>3</v>
      </c>
      <c r="B16" s="826" t="s">
        <v>589</v>
      </c>
      <c r="C16" s="827"/>
      <c r="D16" s="513" t="s">
        <v>50</v>
      </c>
      <c r="E16" s="514" t="s">
        <v>49</v>
      </c>
      <c r="F16" s="553"/>
      <c r="G16" s="573" t="str">
        <f>IF(F16&lt;80%,"To comply with min. 80%"," ")</f>
        <v>To comply with min. 80%</v>
      </c>
      <c r="H16" s="569"/>
    </row>
    <row r="17" spans="1:18">
      <c r="A17" s="572">
        <v>4</v>
      </c>
      <c r="B17" s="826" t="s">
        <v>591</v>
      </c>
      <c r="C17" s="827"/>
      <c r="D17" s="515" t="s">
        <v>3</v>
      </c>
      <c r="E17" s="514" t="s">
        <v>49</v>
      </c>
      <c r="F17" s="553"/>
      <c r="G17" s="573" t="str">
        <f>IF(F17&lt;65%,"To comply with min. 65%"," ")</f>
        <v>To comply with min. 65%</v>
      </c>
      <c r="H17" s="569"/>
    </row>
    <row r="18" spans="1:18" s="29" customFormat="1" ht="15.6">
      <c r="A18" s="576" t="s">
        <v>126</v>
      </c>
      <c r="B18" s="167"/>
      <c r="C18" s="167"/>
      <c r="D18" s="167"/>
      <c r="E18" s="168"/>
      <c r="F18" s="169"/>
      <c r="G18" s="534"/>
      <c r="H18" s="571"/>
      <c r="J18" s="10"/>
      <c r="N18" s="44"/>
      <c r="O18" s="44"/>
    </row>
    <row r="19" spans="1:18" ht="32.25" customHeight="1">
      <c r="A19" s="577">
        <v>5</v>
      </c>
      <c r="B19" s="886" t="s">
        <v>269</v>
      </c>
      <c r="C19" s="887"/>
      <c r="D19" s="143" t="s">
        <v>3</v>
      </c>
      <c r="E19" s="537"/>
      <c r="F19" s="31">
        <f>IFERROR(E19/$F$120,0)</f>
        <v>0</v>
      </c>
      <c r="G19" s="573" t="str">
        <f>IF(OR($A$7=$J$2,$A$7=$J$3),IF(E19=0,"Please input wall length"," ")," ")</f>
        <v>Please input wall length</v>
      </c>
      <c r="H19" s="569"/>
    </row>
    <row r="20" spans="1:18">
      <c r="A20" s="577" t="s">
        <v>509</v>
      </c>
      <c r="B20" s="826" t="s">
        <v>270</v>
      </c>
      <c r="C20" s="827"/>
      <c r="D20" s="516" t="s">
        <v>50</v>
      </c>
      <c r="E20" s="514" t="s">
        <v>49</v>
      </c>
      <c r="F20" s="30"/>
      <c r="G20" s="573" t="str">
        <f>IF(OR($A$7=$J$2,$A$7=$J$3),IF(F20&lt;65%,"To comply with min. 65%"," ")," ")</f>
        <v>To comply with min. 65%</v>
      </c>
      <c r="H20" s="569"/>
    </row>
    <row r="21" spans="1:18">
      <c r="A21" s="577" t="s">
        <v>510</v>
      </c>
      <c r="B21" s="826" t="s">
        <v>592</v>
      </c>
      <c r="C21" s="827"/>
      <c r="D21" s="516" t="s">
        <v>50</v>
      </c>
      <c r="E21" s="514" t="s">
        <v>49</v>
      </c>
      <c r="F21" s="30"/>
      <c r="G21" s="573" t="str">
        <f>IF(OR($A$7=$J$2,$A$7=$J$3),IF(F21&lt;60%,"To comply with min. 60%"," ")," ")</f>
        <v>To comply with min. 60%</v>
      </c>
      <c r="H21" s="569"/>
    </row>
    <row r="22" spans="1:18">
      <c r="A22" s="577" t="s">
        <v>511</v>
      </c>
      <c r="B22" s="826" t="s">
        <v>593</v>
      </c>
      <c r="C22" s="827"/>
      <c r="D22" s="516" t="s">
        <v>50</v>
      </c>
      <c r="E22" s="514" t="s">
        <v>49</v>
      </c>
      <c r="F22" s="30"/>
      <c r="G22" s="573" t="str">
        <f>IF(OR($A$7=$J$2,$A$7=$J$3),IF(F22&lt;65%,"To comply with min. 65%"," ")," ")</f>
        <v>To comply with min. 65%</v>
      </c>
      <c r="H22" s="569"/>
    </row>
    <row r="23" spans="1:18">
      <c r="A23" s="577" t="s">
        <v>512</v>
      </c>
      <c r="B23" s="826" t="s">
        <v>594</v>
      </c>
      <c r="C23" s="827"/>
      <c r="D23" s="516" t="s">
        <v>50</v>
      </c>
      <c r="E23" s="514" t="s">
        <v>49</v>
      </c>
      <c r="F23" s="30"/>
      <c r="G23" s="573" t="str">
        <f>IF(OR($A$7=$J$2,$A$7=$J$3),IF(F23&lt;60%,"To comply with min. 60%"," ")," ")</f>
        <v>To comply with min. 60%</v>
      </c>
      <c r="H23" s="569"/>
    </row>
    <row r="24" spans="1:18">
      <c r="A24" s="577" t="s">
        <v>283</v>
      </c>
      <c r="B24" s="826" t="s">
        <v>595</v>
      </c>
      <c r="C24" s="827"/>
      <c r="D24" s="513" t="s">
        <v>50</v>
      </c>
      <c r="E24" s="514" t="s">
        <v>49</v>
      </c>
      <c r="F24" s="553"/>
      <c r="G24" s="573" t="str">
        <f>IF(OR($A$7=$J$2,$A$7=$J$3),IF(F24&lt;65%,"To comply with min. 65%"," ")," ")</f>
        <v>To comply with min. 65%</v>
      </c>
      <c r="H24" s="569"/>
    </row>
    <row r="25" spans="1:18">
      <c r="A25" s="577" t="s">
        <v>513</v>
      </c>
      <c r="B25" s="826" t="s">
        <v>596</v>
      </c>
      <c r="C25" s="827"/>
      <c r="D25" s="513" t="s">
        <v>50</v>
      </c>
      <c r="E25" s="514" t="s">
        <v>49</v>
      </c>
      <c r="F25" s="553"/>
      <c r="G25" s="573" t="str">
        <f>IF(OR($A$7=$J$2,$A$7=$J$3),IF(F25&lt;80%,"To comply with min. 80%"," ")," ")</f>
        <v>To comply with min. 80%</v>
      </c>
      <c r="H25" s="569"/>
    </row>
    <row r="26" spans="1:18">
      <c r="A26" s="561"/>
      <c r="B26" s="264"/>
      <c r="C26" s="264"/>
      <c r="D26" s="264"/>
      <c r="E26" s="264"/>
      <c r="F26" s="264"/>
      <c r="G26" s="265"/>
      <c r="H26" s="562"/>
      <c r="J26" s="6"/>
    </row>
    <row r="27" spans="1:18" ht="15.6">
      <c r="A27" s="578" t="s">
        <v>43</v>
      </c>
      <c r="B27" s="157"/>
      <c r="C27" s="157"/>
      <c r="D27" s="157"/>
      <c r="E27" s="157"/>
      <c r="F27" s="158" t="s">
        <v>42</v>
      </c>
      <c r="G27" s="159">
        <f>VLOOKUP($A$7,'Manpower allocation'!A4:D11,2,FALSE)*100</f>
        <v>45</v>
      </c>
      <c r="H27" s="579" t="s">
        <v>41</v>
      </c>
      <c r="I27" s="365">
        <f>VLOOKUP($A$7,'Manpower allocation'!A4:D11,2,FALSE)*100</f>
        <v>45</v>
      </c>
      <c r="J27" s="6"/>
    </row>
    <row r="28" spans="1:18" ht="15.6">
      <c r="A28" s="561"/>
      <c r="B28" s="302"/>
      <c r="C28" s="303"/>
      <c r="D28" s="264"/>
      <c r="E28" s="264"/>
      <c r="F28" s="264"/>
      <c r="G28" s="265"/>
      <c r="H28" s="562"/>
      <c r="J28" s="6"/>
    </row>
    <row r="29" spans="1:18" s="29" customFormat="1" ht="46.8">
      <c r="A29" s="580" t="s">
        <v>0</v>
      </c>
      <c r="B29" s="40"/>
      <c r="C29" s="40"/>
      <c r="D29" s="41"/>
      <c r="E29" s="42" t="s">
        <v>17</v>
      </c>
      <c r="F29" s="42" t="s">
        <v>113</v>
      </c>
      <c r="G29" s="42" t="s">
        <v>18</v>
      </c>
      <c r="H29" s="42" t="s">
        <v>52</v>
      </c>
      <c r="J29" s="43"/>
      <c r="Q29" s="44"/>
      <c r="R29" s="44"/>
    </row>
    <row r="30" spans="1:18" s="29" customFormat="1" ht="15.6">
      <c r="A30" s="581" t="s">
        <v>187</v>
      </c>
      <c r="B30" s="45" t="s">
        <v>203</v>
      </c>
      <c r="C30" s="46"/>
      <c r="D30" s="46"/>
      <c r="E30" s="47"/>
      <c r="F30" s="47"/>
      <c r="G30" s="47"/>
      <c r="H30" s="582"/>
      <c r="Q30" s="44"/>
      <c r="R30" s="44"/>
    </row>
    <row r="31" spans="1:18" s="29" customFormat="1" ht="15.6">
      <c r="A31" s="583">
        <v>1</v>
      </c>
      <c r="B31" s="39" t="s">
        <v>304</v>
      </c>
      <c r="C31" s="40"/>
      <c r="D31" s="48"/>
      <c r="E31" s="40"/>
      <c r="F31" s="49"/>
      <c r="G31" s="49"/>
      <c r="H31" s="584"/>
      <c r="Q31" s="44"/>
      <c r="R31" s="44"/>
    </row>
    <row r="32" spans="1:18" s="29" customFormat="1">
      <c r="A32" s="918">
        <v>1.1000000000000001</v>
      </c>
      <c r="B32" s="836" t="s">
        <v>271</v>
      </c>
      <c r="C32" s="885"/>
      <c r="D32" s="885"/>
      <c r="E32" s="811">
        <f>VLOOKUP(A32,'Point Allocation'!$A$5:$J$15,MATCH(A7,'Point Allocation'!$A$5:$J$5,0),0)</f>
        <v>45</v>
      </c>
      <c r="F32" s="812"/>
      <c r="G32" s="813">
        <f>IFERROR(F32/$F$59,0)</f>
        <v>0</v>
      </c>
      <c r="H32" s="811">
        <f>E32*G32</f>
        <v>0</v>
      </c>
      <c r="Q32" s="44"/>
      <c r="R32" s="44"/>
    </row>
    <row r="33" spans="1:18" s="29" customFormat="1" ht="15.6">
      <c r="A33" s="919"/>
      <c r="B33" s="810" t="s">
        <v>358</v>
      </c>
      <c r="C33" s="810"/>
      <c r="D33" s="810"/>
      <c r="E33" s="811"/>
      <c r="F33" s="812"/>
      <c r="G33" s="813">
        <f t="shared" ref="G33" si="0">IFERROR(F33/$F$59,0)</f>
        <v>0</v>
      </c>
      <c r="H33" s="811"/>
      <c r="Q33" s="44"/>
      <c r="R33" s="44"/>
    </row>
    <row r="34" spans="1:18" s="29" customFormat="1" ht="15.6">
      <c r="A34" s="583">
        <v>2</v>
      </c>
      <c r="B34" s="39" t="s">
        <v>305</v>
      </c>
      <c r="C34" s="50"/>
      <c r="D34" s="48"/>
      <c r="E34" s="51"/>
      <c r="F34" s="8"/>
      <c r="G34" s="22"/>
      <c r="H34" s="585"/>
      <c r="Q34" s="52"/>
      <c r="R34" s="44"/>
    </row>
    <row r="35" spans="1:18" s="29" customFormat="1">
      <c r="A35" s="586">
        <v>2.1</v>
      </c>
      <c r="B35" s="858" t="s">
        <v>192</v>
      </c>
      <c r="C35" s="859"/>
      <c r="D35" s="840"/>
      <c r="E35" s="20">
        <f>VLOOKUP(A35,'Point Allocation'!$A$5:$J$15,MATCH(A7,'Point Allocation'!$A$5:$J$5,0),0)</f>
        <v>42</v>
      </c>
      <c r="F35" s="537"/>
      <c r="G35" s="31">
        <f>IFERROR(F35/$F$59,0)</f>
        <v>0</v>
      </c>
      <c r="H35" s="20">
        <f>E35*G35</f>
        <v>0</v>
      </c>
      <c r="Q35" s="52"/>
      <c r="R35" s="44"/>
    </row>
    <row r="36" spans="1:18" s="29" customFormat="1" ht="15.6">
      <c r="A36" s="583">
        <v>3</v>
      </c>
      <c r="B36" s="39" t="s">
        <v>306</v>
      </c>
      <c r="C36" s="50"/>
      <c r="D36" s="48"/>
      <c r="E36" s="51"/>
      <c r="F36" s="8"/>
      <c r="G36" s="22"/>
      <c r="H36" s="585"/>
      <c r="Q36" s="52"/>
      <c r="R36" s="44"/>
    </row>
    <row r="37" spans="1:18" s="29" customFormat="1" ht="15" customHeight="1">
      <c r="A37" s="586">
        <v>3.1</v>
      </c>
      <c r="B37" s="858" t="s">
        <v>640</v>
      </c>
      <c r="C37" s="859"/>
      <c r="D37" s="840"/>
      <c r="E37" s="20">
        <f>VLOOKUP(A37,'Point Allocation'!$A$5:$J$15,MATCH(A7,'Point Allocation'!$A$5:$J$5,0),0)</f>
        <v>39</v>
      </c>
      <c r="F37" s="37"/>
      <c r="G37" s="31">
        <f>IFERROR(F37/$F$59,0)</f>
        <v>0</v>
      </c>
      <c r="H37" s="546">
        <f>E37*G37</f>
        <v>0</v>
      </c>
      <c r="Q37" s="52"/>
      <c r="R37" s="44"/>
    </row>
    <row r="38" spans="1:18" s="29" customFormat="1" ht="31.5" customHeight="1">
      <c r="A38" s="909">
        <v>3.2</v>
      </c>
      <c r="B38" s="863" t="s">
        <v>296</v>
      </c>
      <c r="C38" s="911"/>
      <c r="D38" s="864"/>
      <c r="E38" s="828">
        <f>VLOOKUP(A38,'Point Allocation'!$A$5:$J$15,MATCH(A7,'Point Allocation'!$A$5:$J$5,0),0)</f>
        <v>39</v>
      </c>
      <c r="F38" s="37"/>
      <c r="G38" s="31">
        <f>IFERROR(F38/$F$59,0)</f>
        <v>0</v>
      </c>
      <c r="H38" s="828">
        <f>IF(SUM(I40:I45)&gt;=4,E38*G38,0)</f>
        <v>0</v>
      </c>
      <c r="Q38" s="52"/>
      <c r="R38" s="44"/>
    </row>
    <row r="39" spans="1:18" s="29" customFormat="1" ht="46.95" customHeight="1">
      <c r="A39" s="910"/>
      <c r="B39" s="912"/>
      <c r="C39" s="913"/>
      <c r="D39" s="914"/>
      <c r="E39" s="829"/>
      <c r="F39" s="521" t="s">
        <v>601</v>
      </c>
      <c r="G39" s="53" t="s">
        <v>116</v>
      </c>
      <c r="H39" s="829"/>
      <c r="Q39" s="52"/>
      <c r="R39" s="44"/>
    </row>
    <row r="40" spans="1:18" s="29" customFormat="1" ht="112.2" customHeight="1">
      <c r="A40" s="587" t="s">
        <v>181</v>
      </c>
      <c r="B40" s="830" t="s">
        <v>323</v>
      </c>
      <c r="C40" s="831"/>
      <c r="D40" s="832"/>
      <c r="E40" s="900"/>
      <c r="F40" s="536" t="s">
        <v>609</v>
      </c>
      <c r="G40" s="552"/>
      <c r="H40" s="889"/>
      <c r="I40" s="54">
        <f t="shared" ref="I40:I45" si="1">IF(G40&gt;=65%,1,0)</f>
        <v>0</v>
      </c>
      <c r="Q40" s="52"/>
      <c r="R40" s="44"/>
    </row>
    <row r="41" spans="1:18" s="29" customFormat="1" ht="63" customHeight="1">
      <c r="A41" s="587" t="s">
        <v>182</v>
      </c>
      <c r="B41" s="833" t="s">
        <v>204</v>
      </c>
      <c r="C41" s="834"/>
      <c r="D41" s="835"/>
      <c r="E41" s="900"/>
      <c r="F41" s="483" t="s">
        <v>598</v>
      </c>
      <c r="G41" s="553"/>
      <c r="H41" s="889"/>
      <c r="I41" s="54">
        <f t="shared" si="1"/>
        <v>0</v>
      </c>
      <c r="Q41" s="52"/>
      <c r="R41" s="44"/>
    </row>
    <row r="42" spans="1:18" s="29" customFormat="1" ht="48.75" customHeight="1">
      <c r="A42" s="587" t="s">
        <v>190</v>
      </c>
      <c r="B42" s="833" t="s">
        <v>205</v>
      </c>
      <c r="C42" s="834"/>
      <c r="D42" s="835"/>
      <c r="E42" s="900"/>
      <c r="F42" s="483" t="s">
        <v>611</v>
      </c>
      <c r="G42" s="553"/>
      <c r="H42" s="889"/>
      <c r="I42" s="54">
        <f t="shared" si="1"/>
        <v>0</v>
      </c>
      <c r="Q42" s="52"/>
      <c r="R42" s="44"/>
    </row>
    <row r="43" spans="1:18" s="29" customFormat="1" ht="45">
      <c r="A43" s="587" t="s">
        <v>183</v>
      </c>
      <c r="B43" s="833" t="s">
        <v>206</v>
      </c>
      <c r="C43" s="834"/>
      <c r="D43" s="835"/>
      <c r="E43" s="900"/>
      <c r="F43" s="483" t="s">
        <v>597</v>
      </c>
      <c r="G43" s="553"/>
      <c r="H43" s="889"/>
      <c r="I43" s="54">
        <f t="shared" si="1"/>
        <v>0</v>
      </c>
      <c r="Q43" s="52"/>
      <c r="R43" s="44"/>
    </row>
    <row r="44" spans="1:18" s="29" customFormat="1" ht="63" customHeight="1">
      <c r="A44" s="587" t="s">
        <v>191</v>
      </c>
      <c r="B44" s="833" t="s">
        <v>207</v>
      </c>
      <c r="C44" s="834"/>
      <c r="D44" s="835"/>
      <c r="E44" s="900"/>
      <c r="F44" s="483" t="s">
        <v>599</v>
      </c>
      <c r="G44" s="553"/>
      <c r="H44" s="889"/>
      <c r="I44" s="54">
        <f t="shared" si="1"/>
        <v>0</v>
      </c>
      <c r="Q44" s="52"/>
      <c r="R44" s="44"/>
    </row>
    <row r="45" spans="1:18" s="29" customFormat="1" ht="31.5" customHeight="1">
      <c r="A45" s="587" t="s">
        <v>184</v>
      </c>
      <c r="B45" s="915" t="s">
        <v>610</v>
      </c>
      <c r="C45" s="916"/>
      <c r="D45" s="886"/>
      <c r="E45" s="901"/>
      <c r="F45" s="483" t="s">
        <v>600</v>
      </c>
      <c r="G45" s="553"/>
      <c r="H45" s="829"/>
      <c r="I45" s="54">
        <f t="shared" si="1"/>
        <v>0</v>
      </c>
      <c r="Q45" s="52"/>
      <c r="R45" s="44"/>
    </row>
    <row r="46" spans="1:18" s="29" customFormat="1" ht="15.6">
      <c r="A46" s="583" t="s">
        <v>185</v>
      </c>
      <c r="B46" s="39" t="s">
        <v>307</v>
      </c>
      <c r="C46" s="55"/>
      <c r="D46" s="48"/>
      <c r="E46" s="51"/>
      <c r="F46" s="36"/>
      <c r="G46" s="23"/>
      <c r="H46" s="588"/>
      <c r="Q46" s="52"/>
      <c r="R46" s="44"/>
    </row>
    <row r="47" spans="1:18" s="29" customFormat="1" ht="31.5" customHeight="1">
      <c r="A47" s="543">
        <v>4.0999999999999996</v>
      </c>
      <c r="B47" s="858" t="s">
        <v>602</v>
      </c>
      <c r="C47" s="859"/>
      <c r="D47" s="840"/>
      <c r="E47" s="20">
        <f>VLOOKUP(A47,'Point Allocation'!$A$5:$J$15,MATCH(A7,'Point Allocation'!$A$5:$J$5,0),0)</f>
        <v>35</v>
      </c>
      <c r="F47" s="537"/>
      <c r="G47" s="31">
        <f>IFERROR(F47/$F$59,0)</f>
        <v>0</v>
      </c>
      <c r="H47" s="20">
        <f>E47*G47</f>
        <v>0</v>
      </c>
      <c r="Q47" s="52"/>
      <c r="R47" s="44"/>
    </row>
    <row r="48" spans="1:18" s="29" customFormat="1">
      <c r="A48" s="589">
        <v>4.2</v>
      </c>
      <c r="B48" s="825" t="s">
        <v>313</v>
      </c>
      <c r="C48" s="826"/>
      <c r="D48" s="827"/>
      <c r="E48" s="20">
        <f>VLOOKUP(A48,'Point Allocation'!$A$5:$J$15,MATCH(A7,'Point Allocation'!$A$5:$J$5,0),0)</f>
        <v>35</v>
      </c>
      <c r="F48" s="537"/>
      <c r="G48" s="31">
        <f>IFERROR(F48/$F$59,0)</f>
        <v>0</v>
      </c>
      <c r="H48" s="20">
        <f>E48*G48</f>
        <v>0</v>
      </c>
      <c r="Q48" s="52"/>
      <c r="R48" s="44"/>
    </row>
    <row r="49" spans="1:18" s="29" customFormat="1">
      <c r="A49" s="589">
        <v>4.3</v>
      </c>
      <c r="B49" s="902" t="s">
        <v>311</v>
      </c>
      <c r="C49" s="903"/>
      <c r="D49" s="904"/>
      <c r="E49" s="20">
        <f>VLOOKUP(A49,'Point Allocation'!$A$5:$J$15,MATCH(A7,'Point Allocation'!$A$5:$J$5,0),0)</f>
        <v>28</v>
      </c>
      <c r="F49" s="537"/>
      <c r="G49" s="31">
        <f>IFERROR(F49/$F$59,0)</f>
        <v>0</v>
      </c>
      <c r="H49" s="20">
        <f>E49*G49</f>
        <v>0</v>
      </c>
      <c r="Q49" s="52"/>
      <c r="R49" s="44"/>
    </row>
    <row r="50" spans="1:18" s="29" customFormat="1">
      <c r="A50" s="543">
        <v>4.4000000000000004</v>
      </c>
      <c r="B50" s="858" t="s">
        <v>312</v>
      </c>
      <c r="C50" s="859"/>
      <c r="D50" s="840"/>
      <c r="E50" s="20">
        <f>VLOOKUP(A50,'Point Allocation'!$A$5:$J$15,MATCH(A7,'Point Allocation'!$A$5:$J$5,0),0)</f>
        <v>28</v>
      </c>
      <c r="F50" s="537"/>
      <c r="G50" s="31">
        <f>IFERROR(F50/$F$59,0)</f>
        <v>0</v>
      </c>
      <c r="H50" s="20">
        <f>E50*G50</f>
        <v>0</v>
      </c>
      <c r="Q50" s="52"/>
      <c r="R50" s="44"/>
    </row>
    <row r="51" spans="1:18" s="58" customFormat="1" ht="15.6">
      <c r="A51" s="581" t="s">
        <v>186</v>
      </c>
      <c r="B51" s="45" t="s">
        <v>200</v>
      </c>
      <c r="C51" s="56"/>
      <c r="D51" s="57"/>
      <c r="E51" s="7"/>
      <c r="F51" s="7"/>
      <c r="G51" s="24"/>
      <c r="H51" s="590"/>
      <c r="I51" s="29"/>
      <c r="J51" s="29"/>
      <c r="K51" s="29"/>
      <c r="L51" s="29"/>
      <c r="M51" s="29"/>
      <c r="Q51" s="59"/>
    </row>
    <row r="52" spans="1:18" s="58" customFormat="1" ht="15.6">
      <c r="A52" s="39">
        <v>5</v>
      </c>
      <c r="B52" s="39" t="s">
        <v>201</v>
      </c>
      <c r="C52" s="48"/>
      <c r="D52" s="48"/>
      <c r="E52" s="8"/>
      <c r="F52" s="8"/>
      <c r="G52" s="22"/>
      <c r="H52" s="588"/>
      <c r="I52" s="29"/>
      <c r="J52" s="29"/>
      <c r="K52" s="29"/>
      <c r="L52" s="29"/>
      <c r="M52" s="29"/>
      <c r="Q52" s="59"/>
    </row>
    <row r="53" spans="1:18" s="29" customFormat="1">
      <c r="A53" s="541">
        <v>5.0999999999999996</v>
      </c>
      <c r="B53" s="822" t="s">
        <v>193</v>
      </c>
      <c r="C53" s="823"/>
      <c r="D53" s="824"/>
      <c r="E53" s="20">
        <f>VLOOKUP(A53,'Point Allocation'!$A$5:$J$15,MATCH(A7,'Point Allocation'!$A$5:$J$5,0),0)</f>
        <v>22</v>
      </c>
      <c r="F53" s="537"/>
      <c r="G53" s="31">
        <f>IFERROR(F53/$F$59,0)</f>
        <v>0</v>
      </c>
      <c r="H53" s="20">
        <f>E53*G53</f>
        <v>0</v>
      </c>
      <c r="Q53" s="52"/>
      <c r="R53" s="44"/>
    </row>
    <row r="54" spans="1:18" s="29" customFormat="1">
      <c r="A54" s="541">
        <v>5.2</v>
      </c>
      <c r="B54" s="822" t="s">
        <v>142</v>
      </c>
      <c r="C54" s="823"/>
      <c r="D54" s="824"/>
      <c r="E54" s="20">
        <f>VLOOKUP(A54,'Point Allocation'!$A$5:$J$15,MATCH(A7,'Point Allocation'!$A$5:$J$5,0),0)</f>
        <v>10</v>
      </c>
      <c r="F54" s="537"/>
      <c r="G54" s="31">
        <f>IFERROR(F54/$F$59,0)</f>
        <v>0</v>
      </c>
      <c r="H54" s="20">
        <f>E54*G54</f>
        <v>0</v>
      </c>
      <c r="Q54" s="52"/>
      <c r="R54" s="44"/>
    </row>
    <row r="55" spans="1:18" s="29" customFormat="1" ht="15.6">
      <c r="A55" s="60">
        <v>6</v>
      </c>
      <c r="B55" s="60" t="s">
        <v>202</v>
      </c>
      <c r="C55" s="48"/>
      <c r="D55" s="48"/>
      <c r="E55" s="8"/>
      <c r="F55" s="8"/>
      <c r="G55" s="22"/>
      <c r="H55" s="588"/>
      <c r="Q55" s="52"/>
      <c r="R55" s="44"/>
    </row>
    <row r="56" spans="1:18" s="29" customFormat="1">
      <c r="A56" s="591">
        <v>6.1</v>
      </c>
      <c r="B56" s="762"/>
      <c r="C56" s="763"/>
      <c r="D56" s="803"/>
      <c r="E56" s="537"/>
      <c r="F56" s="537"/>
      <c r="G56" s="31">
        <f>IFERROR(F56/$F$59,0)</f>
        <v>0</v>
      </c>
      <c r="H56" s="20">
        <f>E56*G56</f>
        <v>0</v>
      </c>
      <c r="Q56" s="52"/>
      <c r="R56" s="44"/>
    </row>
    <row r="57" spans="1:18" s="29" customFormat="1">
      <c r="A57" s="591">
        <v>6.2</v>
      </c>
      <c r="B57" s="762"/>
      <c r="C57" s="763"/>
      <c r="D57" s="803"/>
      <c r="E57" s="537"/>
      <c r="F57" s="537"/>
      <c r="G57" s="31">
        <f>IFERROR(F57/$F$59,0)</f>
        <v>0</v>
      </c>
      <c r="H57" s="20">
        <f>E57*G57</f>
        <v>0</v>
      </c>
      <c r="Q57" s="52"/>
      <c r="R57" s="44"/>
    </row>
    <row r="58" spans="1:18" s="29" customFormat="1">
      <c r="A58" s="591">
        <v>6.3</v>
      </c>
      <c r="B58" s="762"/>
      <c r="C58" s="763"/>
      <c r="D58" s="803"/>
      <c r="E58" s="537"/>
      <c r="F58" s="537"/>
      <c r="G58" s="31">
        <f>IFERROR(F58/$F$59,0)</f>
        <v>0</v>
      </c>
      <c r="H58" s="20">
        <f>E58*G58</f>
        <v>0</v>
      </c>
      <c r="Q58" s="52"/>
      <c r="R58" s="44"/>
    </row>
    <row r="59" spans="1:18" s="29" customFormat="1" ht="15.6">
      <c r="A59" s="592"/>
      <c r="B59" s="304"/>
      <c r="C59" s="305"/>
      <c r="D59" s="305"/>
      <c r="E59" s="306" t="s">
        <v>60</v>
      </c>
      <c r="F59" s="26">
        <f>SUM(F32,F35,F37,F38,F47,F48,F49,F50,F53,F54,F56,F57,F58)</f>
        <v>0</v>
      </c>
      <c r="G59" s="25">
        <f>SUM(G32,G35:G35,G37:G38,G47:G50,G53:G54,G56:G58)</f>
        <v>0</v>
      </c>
      <c r="H59" s="593">
        <f>IFERROR(SUM(H32:H58),0)</f>
        <v>0</v>
      </c>
      <c r="M59" s="61"/>
      <c r="Q59" s="52"/>
      <c r="R59" s="44"/>
    </row>
    <row r="60" spans="1:18" s="29" customFormat="1" ht="15.6" thickBot="1">
      <c r="A60" s="594"/>
      <c r="B60" s="361"/>
      <c r="C60" s="362"/>
      <c r="D60" s="362"/>
      <c r="E60" s="362"/>
      <c r="F60" s="362"/>
      <c r="G60" s="354"/>
      <c r="H60" s="595"/>
      <c r="Q60" s="52"/>
      <c r="R60" s="44"/>
    </row>
    <row r="61" spans="1:18" s="29" customFormat="1" ht="15.6">
      <c r="A61" s="896" t="s">
        <v>0</v>
      </c>
      <c r="B61" s="897"/>
      <c r="C61" s="461"/>
      <c r="D61" s="892" t="s">
        <v>4</v>
      </c>
      <c r="E61" s="894" t="s">
        <v>1</v>
      </c>
      <c r="F61" s="895"/>
      <c r="G61" s="890" t="s">
        <v>21</v>
      </c>
      <c r="H61" s="892" t="s">
        <v>62</v>
      </c>
      <c r="Q61" s="52"/>
      <c r="R61" s="44"/>
    </row>
    <row r="62" spans="1:18" s="29" customFormat="1" ht="31.2">
      <c r="A62" s="898"/>
      <c r="B62" s="899"/>
      <c r="C62" s="62"/>
      <c r="D62" s="893"/>
      <c r="E62" s="42" t="s">
        <v>117</v>
      </c>
      <c r="F62" s="42" t="s">
        <v>118</v>
      </c>
      <c r="G62" s="891"/>
      <c r="H62" s="893"/>
      <c r="I62" s="63"/>
      <c r="Q62" s="52"/>
      <c r="R62" s="44"/>
    </row>
    <row r="63" spans="1:18" s="29" customFormat="1" ht="15.6">
      <c r="A63" s="45" t="s">
        <v>208</v>
      </c>
      <c r="B63" s="45" t="s">
        <v>139</v>
      </c>
      <c r="C63" s="57"/>
      <c r="D63" s="64"/>
      <c r="E63" s="47"/>
      <c r="F63" s="47"/>
      <c r="G63" s="47"/>
      <c r="H63" s="596"/>
      <c r="I63" s="61"/>
      <c r="J63" s="61"/>
      <c r="K63" s="61"/>
      <c r="L63" s="61"/>
      <c r="Q63" s="52"/>
      <c r="R63" s="44"/>
    </row>
    <row r="64" spans="1:18" s="29" customFormat="1" ht="15" customHeight="1">
      <c r="A64" s="597" t="s">
        <v>314</v>
      </c>
      <c r="B64" s="837" t="s">
        <v>647</v>
      </c>
      <c r="C64" s="838"/>
      <c r="D64" s="5" t="s">
        <v>50</v>
      </c>
      <c r="E64" s="9">
        <v>3</v>
      </c>
      <c r="F64" s="9">
        <v>4</v>
      </c>
      <c r="G64" s="30"/>
      <c r="H64" s="20">
        <f>IF(G64&gt;=80%,F64,IF(G64&lt;65%,0,E64))</f>
        <v>0</v>
      </c>
      <c r="Q64" s="52"/>
      <c r="R64" s="44"/>
    </row>
    <row r="65" spans="1:18" s="29" customFormat="1">
      <c r="A65" s="597" t="s">
        <v>315</v>
      </c>
      <c r="B65" s="837" t="s">
        <v>646</v>
      </c>
      <c r="C65" s="838"/>
      <c r="D65" s="5" t="s">
        <v>50</v>
      </c>
      <c r="E65" s="9">
        <v>3</v>
      </c>
      <c r="F65" s="9">
        <v>4</v>
      </c>
      <c r="G65" s="30"/>
      <c r="H65" s="20">
        <f>IF(G65&gt;=80%,F65,IF(G65&lt;65%,0,E65))</f>
        <v>0</v>
      </c>
      <c r="Q65" s="52"/>
      <c r="R65" s="44"/>
    </row>
    <row r="66" spans="1:18" s="29" customFormat="1">
      <c r="A66" s="598" t="s">
        <v>316</v>
      </c>
      <c r="B66" s="837" t="s">
        <v>641</v>
      </c>
      <c r="C66" s="838"/>
      <c r="D66" s="5" t="s">
        <v>50</v>
      </c>
      <c r="E66" s="9">
        <v>3</v>
      </c>
      <c r="F66" s="9">
        <v>4</v>
      </c>
      <c r="G66" s="30"/>
      <c r="H66" s="20">
        <f>IF(G66&gt;=80%,F66,IF(G66&lt;65%,0,E66))</f>
        <v>0</v>
      </c>
      <c r="Q66" s="52"/>
      <c r="R66" s="44"/>
    </row>
    <row r="67" spans="1:18" s="29" customFormat="1" ht="51" customHeight="1">
      <c r="A67" s="597">
        <v>7.2</v>
      </c>
      <c r="B67" s="841" t="s">
        <v>319</v>
      </c>
      <c r="C67" s="841"/>
      <c r="D67" s="385" t="s">
        <v>50</v>
      </c>
      <c r="E67" s="546">
        <v>2</v>
      </c>
      <c r="F67" s="546">
        <v>2.5</v>
      </c>
      <c r="G67" s="518"/>
      <c r="H67" s="546">
        <f>IF(H38&gt;0,0,IF(G67&gt;=80%,F67,IF(G67&lt;65%,0,E67)))</f>
        <v>0</v>
      </c>
      <c r="I67" s="11"/>
      <c r="J67" s="11"/>
      <c r="K67" s="11"/>
      <c r="Q67" s="52"/>
      <c r="R67" s="44"/>
    </row>
    <row r="68" spans="1:18" s="29" customFormat="1" ht="15" customHeight="1">
      <c r="A68" s="597">
        <v>7.3</v>
      </c>
      <c r="B68" s="858" t="s">
        <v>215</v>
      </c>
      <c r="C68" s="859"/>
      <c r="D68" s="353"/>
      <c r="E68" s="353"/>
      <c r="F68" s="353"/>
      <c r="G68" s="519"/>
      <c r="H68" s="599"/>
      <c r="I68" s="11"/>
      <c r="J68" s="11"/>
      <c r="K68" s="11"/>
      <c r="Q68" s="52"/>
      <c r="R68" s="44"/>
    </row>
    <row r="69" spans="1:18" s="29" customFormat="1" ht="32.25" customHeight="1">
      <c r="A69" s="598" t="s">
        <v>209</v>
      </c>
      <c r="B69" s="839" t="s">
        <v>216</v>
      </c>
      <c r="C69" s="840"/>
      <c r="D69" s="980" t="s">
        <v>50</v>
      </c>
      <c r="E69" s="279">
        <v>1</v>
      </c>
      <c r="F69" s="279">
        <v>1.5</v>
      </c>
      <c r="G69" s="553"/>
      <c r="H69" s="279">
        <f>IF(H32+H38&gt;0,0.5,IF(G69&gt;=80%,F69,IF(G69&lt;65%,0,E69)))</f>
        <v>0</v>
      </c>
      <c r="J69" s="11"/>
      <c r="K69" s="11"/>
      <c r="Q69" s="52"/>
      <c r="R69" s="44"/>
    </row>
    <row r="70" spans="1:18" s="29" customFormat="1" ht="47.25" customHeight="1">
      <c r="A70" s="598" t="s">
        <v>210</v>
      </c>
      <c r="B70" s="839" t="s">
        <v>217</v>
      </c>
      <c r="C70" s="840"/>
      <c r="D70" s="981"/>
      <c r="E70" s="279">
        <v>1</v>
      </c>
      <c r="F70" s="279">
        <v>1.5</v>
      </c>
      <c r="G70" s="553"/>
      <c r="H70" s="279">
        <f>IF(H32+H38&gt;0,0.5,IF(G70&gt;=80%,F70,IF(G70&lt;65%,0,E70)))</f>
        <v>0</v>
      </c>
      <c r="Q70" s="52"/>
      <c r="R70" s="44"/>
    </row>
    <row r="71" spans="1:18" s="29" customFormat="1">
      <c r="A71" s="598" t="s">
        <v>222</v>
      </c>
      <c r="B71" s="839" t="s">
        <v>218</v>
      </c>
      <c r="C71" s="840"/>
      <c r="D71" s="981"/>
      <c r="E71" s="279">
        <v>1</v>
      </c>
      <c r="F71" s="279">
        <v>1.5</v>
      </c>
      <c r="G71" s="553"/>
      <c r="H71" s="279">
        <f>IF(H32+H38&gt;0,0.5,IF(G71&gt;=80%,F71,IF(G71&lt;65%,0,E71)))</f>
        <v>0</v>
      </c>
      <c r="Q71" s="52"/>
      <c r="R71" s="44"/>
    </row>
    <row r="72" spans="1:18" s="29" customFormat="1" ht="46.5" customHeight="1">
      <c r="A72" s="598" t="s">
        <v>211</v>
      </c>
      <c r="B72" s="839" t="s">
        <v>219</v>
      </c>
      <c r="C72" s="840"/>
      <c r="D72" s="982"/>
      <c r="E72" s="279">
        <v>1</v>
      </c>
      <c r="F72" s="279">
        <v>1.5</v>
      </c>
      <c r="G72" s="553"/>
      <c r="H72" s="279">
        <f>IF(H32+H38&gt;0,0.5,IF(G72&gt;=80%,F72,IF(G72&lt;65%,0,E72)))</f>
        <v>0</v>
      </c>
      <c r="Q72" s="52"/>
      <c r="R72" s="44"/>
    </row>
    <row r="73" spans="1:18" s="29" customFormat="1">
      <c r="A73" s="597">
        <v>7.4</v>
      </c>
      <c r="B73" s="923" t="s">
        <v>393</v>
      </c>
      <c r="C73" s="923"/>
      <c r="D73" s="332" t="s">
        <v>2</v>
      </c>
      <c r="E73" s="279">
        <v>1</v>
      </c>
      <c r="F73" s="279">
        <v>1.5</v>
      </c>
      <c r="G73" s="553"/>
      <c r="H73" s="279">
        <f>IF(G73&gt;=80%,F73,IF(G73&lt;65%,0,E73))</f>
        <v>0</v>
      </c>
      <c r="Q73" s="52"/>
      <c r="R73" s="44"/>
    </row>
    <row r="74" spans="1:18" s="29" customFormat="1" ht="15" customHeight="1">
      <c r="A74" s="600">
        <v>7.5</v>
      </c>
      <c r="B74" s="928" t="s">
        <v>380</v>
      </c>
      <c r="C74" s="928"/>
      <c r="D74" s="490" t="s">
        <v>377</v>
      </c>
      <c r="E74" s="979">
        <v>2</v>
      </c>
      <c r="F74" s="979"/>
      <c r="G74" s="552"/>
      <c r="H74" s="557">
        <f>IF(G74&gt;=5%,E74,0)</f>
        <v>0</v>
      </c>
      <c r="Q74" s="52"/>
      <c r="R74" s="44"/>
    </row>
    <row r="75" spans="1:18" s="29" customFormat="1" ht="15.6">
      <c r="A75" s="66" t="s">
        <v>212</v>
      </c>
      <c r="B75" s="66" t="s">
        <v>517</v>
      </c>
      <c r="C75" s="67"/>
      <c r="D75" s="68"/>
      <c r="E75" s="69"/>
      <c r="F75" s="69"/>
      <c r="G75" s="69"/>
      <c r="H75" s="601"/>
      <c r="Q75" s="52"/>
      <c r="R75" s="44"/>
    </row>
    <row r="76" spans="1:18" s="29" customFormat="1">
      <c r="A76" s="597">
        <v>8.1</v>
      </c>
      <c r="B76" s="836" t="s">
        <v>220</v>
      </c>
      <c r="C76" s="836"/>
      <c r="D76" s="5" t="s">
        <v>50</v>
      </c>
      <c r="E76" s="20">
        <v>2</v>
      </c>
      <c r="F76" s="20">
        <v>2.5</v>
      </c>
      <c r="G76" s="553"/>
      <c r="H76" s="20">
        <f>IF(G76&gt;=80%,F76,IF(G76&lt;65%,0,E76))</f>
        <v>0</v>
      </c>
      <c r="I76" s="70"/>
      <c r="Q76" s="52"/>
      <c r="R76" s="44"/>
    </row>
    <row r="77" spans="1:18" s="29" customFormat="1">
      <c r="A77" s="597">
        <v>8.1999999999999993</v>
      </c>
      <c r="B77" s="836" t="s">
        <v>221</v>
      </c>
      <c r="C77" s="836"/>
      <c r="D77" s="5" t="s">
        <v>50</v>
      </c>
      <c r="E77" s="20">
        <v>2</v>
      </c>
      <c r="F77" s="20">
        <v>2.5</v>
      </c>
      <c r="G77" s="553"/>
      <c r="H77" s="20">
        <f>IF(G77&gt;=80%,F77,IF(G77&lt;65%,0,E77))</f>
        <v>0</v>
      </c>
      <c r="I77" s="11"/>
      <c r="J77" s="11"/>
      <c r="K77" s="11"/>
      <c r="Q77" s="52"/>
      <c r="R77" s="44"/>
    </row>
    <row r="78" spans="1:18" s="29" customFormat="1" ht="30.6" customHeight="1">
      <c r="A78" s="602">
        <v>8.3000000000000007</v>
      </c>
      <c r="B78" s="825" t="s">
        <v>607</v>
      </c>
      <c r="C78" s="827"/>
      <c r="D78" s="420" t="s">
        <v>50</v>
      </c>
      <c r="E78" s="434">
        <v>2</v>
      </c>
      <c r="F78" s="434">
        <v>2.5</v>
      </c>
      <c r="G78" s="553"/>
      <c r="H78" s="279">
        <f>IF(H76&gt;0,0,IF(G78&gt;=80%,F78,IF(G78&lt;65%,0,E78)))</f>
        <v>0</v>
      </c>
      <c r="I78" s="11"/>
      <c r="J78" s="11"/>
      <c r="K78" s="11"/>
      <c r="Q78" s="52"/>
      <c r="R78" s="44"/>
    </row>
    <row r="79" spans="1:18" s="29" customFormat="1">
      <c r="A79" s="602">
        <v>8.4</v>
      </c>
      <c r="B79" s="917" t="s">
        <v>138</v>
      </c>
      <c r="C79" s="843"/>
      <c r="D79" s="420" t="s">
        <v>2</v>
      </c>
      <c r="E79" s="434">
        <v>2</v>
      </c>
      <c r="F79" s="434">
        <v>2.5</v>
      </c>
      <c r="G79" s="30"/>
      <c r="H79" s="20">
        <f>IF(G79&gt;=80%,F79,IF(G79&lt;65%,0,E79))</f>
        <v>0</v>
      </c>
      <c r="Q79" s="52"/>
      <c r="R79" s="44"/>
    </row>
    <row r="80" spans="1:18" s="29" customFormat="1" ht="15.6">
      <c r="A80" s="66" t="s">
        <v>213</v>
      </c>
      <c r="B80" s="66" t="s">
        <v>518</v>
      </c>
      <c r="C80" s="67"/>
      <c r="D80" s="68"/>
      <c r="E80" s="69"/>
      <c r="F80" s="69"/>
      <c r="G80" s="69"/>
      <c r="H80" s="601"/>
      <c r="Q80" s="52"/>
      <c r="R80" s="44"/>
    </row>
    <row r="81" spans="1:18" s="29" customFormat="1" ht="31.5" customHeight="1">
      <c r="A81" s="602">
        <v>9.1</v>
      </c>
      <c r="B81" s="978" t="s">
        <v>514</v>
      </c>
      <c r="C81" s="978"/>
      <c r="D81" s="420" t="s">
        <v>50</v>
      </c>
      <c r="E81" s="434" t="s">
        <v>49</v>
      </c>
      <c r="F81" s="434">
        <v>2.5</v>
      </c>
      <c r="G81" s="517">
        <f>F21</f>
        <v>0</v>
      </c>
      <c r="H81" s="434">
        <f>IF(G81&gt;=80%,F81,0)</f>
        <v>0</v>
      </c>
      <c r="Q81" s="52"/>
      <c r="R81" s="44"/>
    </row>
    <row r="82" spans="1:18" s="29" customFormat="1" ht="31.5" customHeight="1">
      <c r="A82" s="602">
        <v>9.1999999999999993</v>
      </c>
      <c r="B82" s="825" t="s">
        <v>608</v>
      </c>
      <c r="C82" s="827"/>
      <c r="D82" s="420" t="s">
        <v>50</v>
      </c>
      <c r="E82" s="434">
        <v>2</v>
      </c>
      <c r="F82" s="434">
        <v>2.5</v>
      </c>
      <c r="G82" s="553"/>
      <c r="H82" s="279">
        <f>IF(G82&gt;=80%,F82,IF(G82&lt;65%,0,E82))</f>
        <v>0</v>
      </c>
      <c r="Q82" s="52"/>
      <c r="R82" s="44"/>
    </row>
    <row r="83" spans="1:18" s="29" customFormat="1" ht="15.6">
      <c r="A83" s="71" t="s">
        <v>214</v>
      </c>
      <c r="B83" s="71" t="s">
        <v>202</v>
      </c>
      <c r="C83" s="57"/>
      <c r="D83" s="57"/>
      <c r="E83" s="72"/>
      <c r="F83" s="72"/>
      <c r="G83" s="73"/>
      <c r="H83" s="603"/>
      <c r="Q83" s="52"/>
      <c r="R83" s="44"/>
    </row>
    <row r="84" spans="1:18" s="29" customFormat="1">
      <c r="A84" s="597">
        <v>10.1</v>
      </c>
      <c r="B84" s="776"/>
      <c r="C84" s="776"/>
      <c r="D84" s="520"/>
      <c r="E84" s="537"/>
      <c r="F84" s="537"/>
      <c r="G84" s="553"/>
      <c r="H84" s="20">
        <f>IF(G84&gt;=80%,F84,IF(G84&lt;65%,0,E84))</f>
        <v>0</v>
      </c>
      <c r="Q84" s="52"/>
      <c r="R84" s="44"/>
    </row>
    <row r="85" spans="1:18" s="29" customFormat="1">
      <c r="A85" s="597">
        <v>10.199999999999999</v>
      </c>
      <c r="B85" s="776"/>
      <c r="C85" s="776"/>
      <c r="D85" s="520"/>
      <c r="E85" s="537"/>
      <c r="F85" s="537"/>
      <c r="G85" s="553"/>
      <c r="H85" s="20">
        <f>IF(G85&gt;=80%,F85,IF(G85&lt;65%,0,E85))</f>
        <v>0</v>
      </c>
      <c r="Q85" s="52"/>
      <c r="R85" s="44"/>
    </row>
    <row r="86" spans="1:18" s="29" customFormat="1">
      <c r="A86" s="597">
        <v>10.3</v>
      </c>
      <c r="B86" s="776"/>
      <c r="C86" s="776"/>
      <c r="D86" s="520"/>
      <c r="E86" s="537"/>
      <c r="F86" s="537"/>
      <c r="G86" s="553"/>
      <c r="H86" s="20">
        <f>IF(G86&gt;=80%,F86,IF(G86&lt;65%,0,E86))</f>
        <v>0</v>
      </c>
      <c r="Q86" s="52"/>
      <c r="R86" s="44"/>
    </row>
    <row r="87" spans="1:18" s="29" customFormat="1" ht="15.6">
      <c r="A87" s="604"/>
      <c r="B87" s="307"/>
      <c r="C87" s="305"/>
      <c r="D87" s="305"/>
      <c r="E87" s="308"/>
      <c r="F87" s="309"/>
      <c r="G87" s="310" t="s">
        <v>375</v>
      </c>
      <c r="H87" s="605">
        <f>IFERROR((SUM(H64:H86)),0)</f>
        <v>0</v>
      </c>
      <c r="Q87" s="52"/>
      <c r="R87" s="44"/>
    </row>
    <row r="88" spans="1:18" s="29" customFormat="1">
      <c r="A88" s="592"/>
      <c r="B88" s="307"/>
      <c r="C88" s="305"/>
      <c r="D88" s="305"/>
      <c r="E88" s="305"/>
      <c r="F88" s="305"/>
      <c r="G88" s="311"/>
      <c r="H88" s="571"/>
      <c r="Q88" s="52"/>
      <c r="R88" s="44"/>
    </row>
    <row r="89" spans="1:18" s="29" customFormat="1" ht="15.6">
      <c r="A89" s="592"/>
      <c r="B89" s="307"/>
      <c r="C89" s="305"/>
      <c r="D89" s="305"/>
      <c r="E89" s="305"/>
      <c r="F89" s="305"/>
      <c r="G89" s="312" t="s">
        <v>128</v>
      </c>
      <c r="H89" s="74">
        <f>IFERROR(MIN(G27,H59+H87),0)</f>
        <v>0</v>
      </c>
      <c r="Q89" s="52"/>
      <c r="R89" s="44"/>
    </row>
    <row r="90" spans="1:18" s="29" customFormat="1" ht="16.2" thickBot="1">
      <c r="A90" s="594"/>
      <c r="B90" s="361"/>
      <c r="C90" s="362"/>
      <c r="D90" s="362"/>
      <c r="E90" s="362"/>
      <c r="F90" s="362"/>
      <c r="G90" s="364"/>
      <c r="H90" s="606"/>
      <c r="Q90" s="52"/>
      <c r="R90" s="44"/>
    </row>
    <row r="91" spans="1:18" s="29" customFormat="1" ht="15.6">
      <c r="A91" s="607" t="s">
        <v>51</v>
      </c>
      <c r="B91" s="358"/>
      <c r="C91" s="358"/>
      <c r="D91" s="358"/>
      <c r="E91" s="358"/>
      <c r="F91" s="359" t="s">
        <v>42</v>
      </c>
      <c r="G91" s="360">
        <f>VLOOKUP($A$7,'Manpower allocation'!A4:D11,3,FALSE)*100</f>
        <v>40</v>
      </c>
      <c r="H91" s="608" t="s">
        <v>41</v>
      </c>
      <c r="I91" s="75">
        <f>VLOOKUP($A$7,'Manpower allocation'!A4:D11,3,FALSE)*100</f>
        <v>40</v>
      </c>
      <c r="Q91" s="52"/>
      <c r="R91" s="44"/>
    </row>
    <row r="92" spans="1:18" s="29" customFormat="1" ht="15.6">
      <c r="A92" s="592"/>
      <c r="B92" s="313"/>
      <c r="C92" s="308"/>
      <c r="D92" s="305"/>
      <c r="E92" s="305"/>
      <c r="F92" s="305"/>
      <c r="G92" s="314"/>
      <c r="H92" s="571"/>
      <c r="Q92" s="52"/>
      <c r="R92" s="44"/>
    </row>
    <row r="93" spans="1:18" s="29" customFormat="1" ht="46.8">
      <c r="A93" s="609" t="s">
        <v>0</v>
      </c>
      <c r="B93" s="556"/>
      <c r="C93" s="156"/>
      <c r="D93" s="76"/>
      <c r="E93" s="77" t="s">
        <v>17</v>
      </c>
      <c r="F93" s="78" t="s">
        <v>80</v>
      </c>
      <c r="G93" s="78" t="s">
        <v>20</v>
      </c>
      <c r="H93" s="550" t="s">
        <v>52</v>
      </c>
      <c r="Q93" s="52"/>
      <c r="R93" s="44"/>
    </row>
    <row r="94" spans="1:18" s="29" customFormat="1" ht="15.6">
      <c r="A94" s="79" t="s">
        <v>280</v>
      </c>
      <c r="B94" s="79" t="s">
        <v>298</v>
      </c>
      <c r="C94" s="80"/>
      <c r="D94" s="80"/>
      <c r="E94" s="81"/>
      <c r="F94" s="81"/>
      <c r="G94" s="81"/>
      <c r="H94" s="610"/>
      <c r="Q94" s="52"/>
      <c r="R94" s="44"/>
    </row>
    <row r="95" spans="1:18" s="29" customFormat="1" ht="15.6">
      <c r="A95" s="82">
        <v>1</v>
      </c>
      <c r="B95" s="82" t="s">
        <v>304</v>
      </c>
      <c r="C95" s="83"/>
      <c r="D95" s="83"/>
      <c r="E95" s="84"/>
      <c r="F95" s="84"/>
      <c r="G95" s="84"/>
      <c r="H95" s="611"/>
      <c r="Q95" s="52"/>
      <c r="R95" s="44"/>
    </row>
    <row r="96" spans="1:18" s="29" customFormat="1">
      <c r="A96" s="597">
        <v>1.1000000000000001</v>
      </c>
      <c r="B96" s="858" t="s">
        <v>271</v>
      </c>
      <c r="C96" s="823"/>
      <c r="D96" s="824"/>
      <c r="E96" s="85">
        <f>VLOOKUP(A96,'Point Allocation'!$A$20:$J$41,MATCH(A7,'Point Allocation'!$A$20:$J$20,0),0)</f>
        <v>30</v>
      </c>
      <c r="F96" s="86"/>
      <c r="G96" s="87">
        <f>IFERROR(F96/$F$120,0)</f>
        <v>0</v>
      </c>
      <c r="H96" s="612">
        <f>E96*G96</f>
        <v>0</v>
      </c>
      <c r="Q96" s="44"/>
      <c r="R96" s="44"/>
    </row>
    <row r="97" spans="1:18" s="29" customFormat="1" ht="15.6">
      <c r="A97" s="88">
        <v>2</v>
      </c>
      <c r="B97" s="88" t="s">
        <v>305</v>
      </c>
      <c r="C97" s="89"/>
      <c r="D97" s="90"/>
      <c r="E97" s="90"/>
      <c r="F97" s="91"/>
      <c r="G97" s="92"/>
      <c r="H97" s="613"/>
      <c r="Q97" s="52"/>
      <c r="R97" s="44"/>
    </row>
    <row r="98" spans="1:18" s="29" customFormat="1">
      <c r="A98" s="814">
        <v>2.1</v>
      </c>
      <c r="B98" s="822" t="s">
        <v>196</v>
      </c>
      <c r="C98" s="823"/>
      <c r="D98" s="824"/>
      <c r="E98" s="819">
        <f>VLOOKUP(A98,'Point Allocation'!$A$20:$J$41,MATCH(A7,'Point Allocation'!$A$20:$J$20,0),0)</f>
        <v>28</v>
      </c>
      <c r="F98" s="820"/>
      <c r="G98" s="821">
        <f>IFERROR(F98/$F$120,0)</f>
        <v>0</v>
      </c>
      <c r="H98" s="819">
        <f>E98*G98</f>
        <v>0</v>
      </c>
      <c r="Q98" s="52"/>
      <c r="R98" s="44"/>
    </row>
    <row r="99" spans="1:18" s="29" customFormat="1" ht="15.6">
      <c r="A99" s="878"/>
      <c r="B99" s="816" t="s">
        <v>119</v>
      </c>
      <c r="C99" s="817"/>
      <c r="D99" s="818"/>
      <c r="E99" s="819"/>
      <c r="F99" s="820"/>
      <c r="G99" s="821"/>
      <c r="H99" s="819"/>
      <c r="Q99" s="52"/>
      <c r="R99" s="44"/>
    </row>
    <row r="100" spans="1:18" s="29" customFormat="1">
      <c r="A100" s="814">
        <v>2.2000000000000002</v>
      </c>
      <c r="B100" s="825" t="s">
        <v>606</v>
      </c>
      <c r="C100" s="826"/>
      <c r="D100" s="827"/>
      <c r="E100" s="819">
        <f>VLOOKUP(A100,'Point Allocation'!$A$20:$J$41,MATCH(A7,'Point Allocation'!$A$20:$J$20,0),0)</f>
        <v>28</v>
      </c>
      <c r="F100" s="820"/>
      <c r="G100" s="821">
        <f>IFERROR(F100/$F$120,0)</f>
        <v>0</v>
      </c>
      <c r="H100" s="819">
        <f>E100*G100</f>
        <v>0</v>
      </c>
      <c r="Q100" s="52"/>
      <c r="R100" s="44"/>
    </row>
    <row r="101" spans="1:18" s="29" customFormat="1" ht="15.6">
      <c r="A101" s="815"/>
      <c r="B101" s="816" t="s">
        <v>119</v>
      </c>
      <c r="C101" s="817"/>
      <c r="D101" s="818"/>
      <c r="E101" s="819"/>
      <c r="F101" s="820"/>
      <c r="G101" s="821"/>
      <c r="H101" s="819"/>
      <c r="Q101" s="52"/>
      <c r="R101" s="44"/>
    </row>
    <row r="102" spans="1:18" s="29" customFormat="1" ht="15.6">
      <c r="A102" s="82">
        <v>3</v>
      </c>
      <c r="B102" s="82" t="s">
        <v>306</v>
      </c>
      <c r="C102" s="89"/>
      <c r="D102" s="89"/>
      <c r="E102" s="91"/>
      <c r="F102" s="91"/>
      <c r="G102" s="92"/>
      <c r="H102" s="614"/>
      <c r="Q102" s="52"/>
      <c r="R102" s="44"/>
    </row>
    <row r="103" spans="1:18" s="29" customFormat="1">
      <c r="A103" s="814">
        <v>3.1</v>
      </c>
      <c r="B103" s="822" t="s">
        <v>197</v>
      </c>
      <c r="C103" s="823"/>
      <c r="D103" s="824"/>
      <c r="E103" s="819">
        <f>VLOOKUP(A103,'Point Allocation'!$A$20:$J$41,MATCH(A7,'Point Allocation'!$A$20:$J$20,0),0)</f>
        <v>27</v>
      </c>
      <c r="F103" s="820"/>
      <c r="G103" s="821">
        <f>IFERROR(F103/$F$120,0)</f>
        <v>0</v>
      </c>
      <c r="H103" s="819">
        <f>E103*G103</f>
        <v>0</v>
      </c>
      <c r="Q103" s="52"/>
      <c r="R103" s="44"/>
    </row>
    <row r="104" spans="1:18" s="29" customFormat="1" ht="15.6">
      <c r="A104" s="878"/>
      <c r="B104" s="816" t="s">
        <v>267</v>
      </c>
      <c r="C104" s="817"/>
      <c r="D104" s="818"/>
      <c r="E104" s="819"/>
      <c r="F104" s="820"/>
      <c r="G104" s="821"/>
      <c r="H104" s="819"/>
      <c r="Q104" s="52"/>
      <c r="R104" s="44"/>
    </row>
    <row r="105" spans="1:18" s="29" customFormat="1" ht="15.6">
      <c r="A105" s="82">
        <v>4</v>
      </c>
      <c r="B105" s="82" t="s">
        <v>307</v>
      </c>
      <c r="C105" s="89"/>
      <c r="D105" s="89"/>
      <c r="E105" s="91"/>
      <c r="F105" s="91"/>
      <c r="G105" s="92"/>
      <c r="H105" s="614"/>
      <c r="Q105" s="52"/>
      <c r="R105" s="44"/>
    </row>
    <row r="106" spans="1:18" s="29" customFormat="1" ht="30" customHeight="1">
      <c r="A106" s="598" t="s">
        <v>194</v>
      </c>
      <c r="B106" s="833" t="s">
        <v>273</v>
      </c>
      <c r="C106" s="834"/>
      <c r="D106" s="835"/>
      <c r="E106" s="93">
        <f>VLOOKUP(A106,'Point Allocation'!$A$20:$J$41,MATCH(A7,'Point Allocation'!$A$20:$J$20,0),0)</f>
        <v>25</v>
      </c>
      <c r="F106" s="538"/>
      <c r="G106" s="539">
        <f>IFERROR(F106/$F$120,0)</f>
        <v>0</v>
      </c>
      <c r="H106" s="94">
        <f>E106*G106</f>
        <v>0</v>
      </c>
      <c r="Q106" s="939"/>
      <c r="R106" s="44"/>
    </row>
    <row r="107" spans="1:18" s="29" customFormat="1">
      <c r="A107" s="598" t="s">
        <v>195</v>
      </c>
      <c r="B107" s="833" t="s">
        <v>274</v>
      </c>
      <c r="C107" s="834"/>
      <c r="D107" s="835"/>
      <c r="E107" s="93">
        <f>VLOOKUP(A107,'Point Allocation'!$A$20:$J$41,MATCH(A7,'Point Allocation'!$A$20:$J$20,0),0)</f>
        <v>25</v>
      </c>
      <c r="F107" s="538"/>
      <c r="G107" s="539">
        <f>IFERROR(F107/$F$120,0)</f>
        <v>0</v>
      </c>
      <c r="H107" s="94">
        <f>E107*G107</f>
        <v>0</v>
      </c>
      <c r="Q107" s="939"/>
      <c r="R107" s="44"/>
    </row>
    <row r="108" spans="1:18" s="29" customFormat="1">
      <c r="A108" s="597">
        <v>4.2</v>
      </c>
      <c r="B108" s="848" t="s">
        <v>198</v>
      </c>
      <c r="C108" s="924"/>
      <c r="D108" s="849"/>
      <c r="E108" s="93">
        <f>VLOOKUP(A108,'Point Allocation'!$A$20:$J$41,MATCH(A7,'Point Allocation'!$A$20:$J$20,0),0)</f>
        <v>25</v>
      </c>
      <c r="F108" s="538"/>
      <c r="G108" s="539">
        <f>IFERROR(F108/$F$120,0)</f>
        <v>0</v>
      </c>
      <c r="H108" s="94">
        <f>E108*G108</f>
        <v>0</v>
      </c>
      <c r="Q108" s="52"/>
      <c r="R108" s="44"/>
    </row>
    <row r="109" spans="1:18" s="29" customFormat="1">
      <c r="A109" s="597">
        <v>4.3</v>
      </c>
      <c r="B109" s="925" t="s">
        <v>150</v>
      </c>
      <c r="C109" s="926"/>
      <c r="D109" s="927"/>
      <c r="E109" s="93">
        <f>VLOOKUP(A109,'Point Allocation'!$A$20:$J$41,MATCH(A7,'Point Allocation'!$A$20:$J$20,0),0)</f>
        <v>25</v>
      </c>
      <c r="F109" s="538"/>
      <c r="G109" s="539">
        <f>IFERROR(F109/$F$120,0)</f>
        <v>0</v>
      </c>
      <c r="H109" s="174">
        <f>E109*G109</f>
        <v>0</v>
      </c>
      <c r="Q109" s="52"/>
      <c r="R109" s="44"/>
    </row>
    <row r="110" spans="1:18" s="29" customFormat="1">
      <c r="A110" s="597">
        <v>4.4000000000000004</v>
      </c>
      <c r="B110" s="925" t="s">
        <v>320</v>
      </c>
      <c r="C110" s="926"/>
      <c r="D110" s="927"/>
      <c r="E110" s="93">
        <f>VLOOKUP(A110,'Point Allocation'!$A$20:$J$41,MATCH(A7,'Point Allocation'!$A$20:$J$20,0),0)</f>
        <v>22</v>
      </c>
      <c r="F110" s="538"/>
      <c r="G110" s="539">
        <f>IFERROR(F110/$F$120,0)</f>
        <v>0</v>
      </c>
      <c r="H110" s="174">
        <f>E110*G110</f>
        <v>0</v>
      </c>
      <c r="Q110" s="52"/>
      <c r="R110" s="44"/>
    </row>
    <row r="111" spans="1:18" s="29" customFormat="1" ht="15.6">
      <c r="A111" s="95" t="s">
        <v>281</v>
      </c>
      <c r="B111" s="95" t="s">
        <v>223</v>
      </c>
      <c r="C111" s="96"/>
      <c r="D111" s="97"/>
      <c r="E111" s="98"/>
      <c r="F111" s="99"/>
      <c r="G111" s="100"/>
      <c r="H111" s="615"/>
      <c r="Q111" s="52"/>
      <c r="R111" s="44"/>
    </row>
    <row r="112" spans="1:18" s="29" customFormat="1" ht="15.6">
      <c r="A112" s="82">
        <v>5</v>
      </c>
      <c r="B112" s="82" t="s">
        <v>224</v>
      </c>
      <c r="C112" s="89"/>
      <c r="D112" s="89"/>
      <c r="E112" s="91"/>
      <c r="F112" s="91"/>
      <c r="G112" s="92"/>
      <c r="H112" s="614"/>
      <c r="Q112" s="52"/>
      <c r="R112" s="44"/>
    </row>
    <row r="113" spans="1:18" s="29" customFormat="1">
      <c r="A113" s="597">
        <v>5.0999999999999996</v>
      </c>
      <c r="B113" s="822" t="s">
        <v>199</v>
      </c>
      <c r="C113" s="823"/>
      <c r="D113" s="824"/>
      <c r="E113" s="101">
        <f>VLOOKUP(A113,'Point Allocation'!$A$20:$J$41,MATCH(A7,'Point Allocation'!$A$20:$J$20,0),0)</f>
        <v>16</v>
      </c>
      <c r="F113" s="147"/>
      <c r="G113" s="539">
        <f>IFERROR(F113/$F$120,0)</f>
        <v>0</v>
      </c>
      <c r="H113" s="547">
        <f>E113*G113</f>
        <v>0</v>
      </c>
      <c r="Q113" s="52"/>
      <c r="R113" s="44"/>
    </row>
    <row r="114" spans="1:18" s="29" customFormat="1">
      <c r="A114" s="597">
        <v>5.2</v>
      </c>
      <c r="B114" s="822" t="s">
        <v>321</v>
      </c>
      <c r="C114" s="823"/>
      <c r="D114" s="824"/>
      <c r="E114" s="101">
        <f>VLOOKUP(A114,'Point Allocation'!$A$20:$J$41,MATCH(A7,'Point Allocation'!$A$20:$J$20,0),0)</f>
        <v>5</v>
      </c>
      <c r="F114" s="86"/>
      <c r="G114" s="539">
        <f>IFERROR(F114/$F$120,0)</f>
        <v>0</v>
      </c>
      <c r="H114" s="547">
        <f>E114*G114</f>
        <v>0</v>
      </c>
      <c r="Q114" s="52"/>
      <c r="R114" s="44"/>
    </row>
    <row r="115" spans="1:18" s="29" customFormat="1">
      <c r="A115" s="597">
        <v>5.3</v>
      </c>
      <c r="B115" s="822" t="s">
        <v>322</v>
      </c>
      <c r="C115" s="823"/>
      <c r="D115" s="824"/>
      <c r="E115" s="101">
        <f>VLOOKUP(A115,'Point Allocation'!$A$20:$J$41,MATCH(A7,'Point Allocation'!$A$20:$J$20,0),0)</f>
        <v>0</v>
      </c>
      <c r="F115" s="146"/>
      <c r="G115" s="539">
        <f>IFERROR(F115/$F$120,0)</f>
        <v>0</v>
      </c>
      <c r="H115" s="616">
        <f>E115*G115</f>
        <v>0</v>
      </c>
      <c r="Q115" s="52"/>
      <c r="R115" s="44"/>
    </row>
    <row r="116" spans="1:18" s="29" customFormat="1" ht="15.6">
      <c r="A116" s="102">
        <v>6</v>
      </c>
      <c r="B116" s="102" t="s">
        <v>202</v>
      </c>
      <c r="C116" s="89"/>
      <c r="D116" s="89"/>
      <c r="E116" s="91"/>
      <c r="F116" s="91"/>
      <c r="G116" s="92"/>
      <c r="H116" s="614"/>
      <c r="Q116" s="52"/>
      <c r="R116" s="44"/>
    </row>
    <row r="117" spans="1:18" s="29" customFormat="1">
      <c r="A117" s="386">
        <v>6.1</v>
      </c>
      <c r="B117" s="765"/>
      <c r="C117" s="766"/>
      <c r="D117" s="847"/>
      <c r="E117" s="538"/>
      <c r="F117" s="538"/>
      <c r="G117" s="539">
        <f>IFERROR(F117/$F$120,0)</f>
        <v>0</v>
      </c>
      <c r="H117" s="616">
        <f>E117*G117</f>
        <v>0</v>
      </c>
      <c r="Q117" s="52"/>
      <c r="R117" s="44"/>
    </row>
    <row r="118" spans="1:18" s="29" customFormat="1">
      <c r="A118" s="386">
        <v>6.2</v>
      </c>
      <c r="B118" s="765"/>
      <c r="C118" s="766"/>
      <c r="D118" s="847"/>
      <c r="E118" s="538"/>
      <c r="F118" s="538"/>
      <c r="G118" s="539">
        <f>IFERROR(F118/$F$120,0)</f>
        <v>0</v>
      </c>
      <c r="H118" s="616">
        <f>E118*G118</f>
        <v>0</v>
      </c>
      <c r="Q118" s="52"/>
      <c r="R118" s="44"/>
    </row>
    <row r="119" spans="1:18" s="29" customFormat="1">
      <c r="A119" s="386">
        <v>6.3</v>
      </c>
      <c r="B119" s="920"/>
      <c r="C119" s="920"/>
      <c r="D119" s="920"/>
      <c r="E119" s="538"/>
      <c r="F119" s="538"/>
      <c r="G119" s="539">
        <f>IFERROR(F119/$F$120,0)</f>
        <v>0</v>
      </c>
      <c r="H119" s="616">
        <f>E119*G119</f>
        <v>0</v>
      </c>
      <c r="Q119" s="52"/>
      <c r="R119" s="44"/>
    </row>
    <row r="120" spans="1:18" s="29" customFormat="1" ht="15.6">
      <c r="A120" s="604"/>
      <c r="B120" s="307"/>
      <c r="C120" s="305"/>
      <c r="D120" s="305"/>
      <c r="E120" s="312" t="s">
        <v>61</v>
      </c>
      <c r="F120" s="315">
        <f>SUM(F96:F119)+E19</f>
        <v>0</v>
      </c>
      <c r="G120" s="316">
        <f>SUM(G96:G119)+F19</f>
        <v>0</v>
      </c>
      <c r="H120" s="617">
        <f>IFERROR(SUM(H96:H119),0)</f>
        <v>0</v>
      </c>
      <c r="Q120" s="52"/>
      <c r="R120" s="44"/>
    </row>
    <row r="121" spans="1:18" s="29" customFormat="1" ht="15.6" thickBot="1">
      <c r="A121" s="594"/>
      <c r="B121" s="361"/>
      <c r="C121" s="362"/>
      <c r="D121" s="362"/>
      <c r="E121" s="362"/>
      <c r="F121" s="362"/>
      <c r="G121" s="354"/>
      <c r="H121" s="595"/>
      <c r="Q121" s="52"/>
      <c r="R121" s="44"/>
    </row>
    <row r="122" spans="1:18" s="29" customFormat="1" ht="31.2">
      <c r="A122" s="618" t="s">
        <v>0</v>
      </c>
      <c r="B122" s="458"/>
      <c r="C122" s="458"/>
      <c r="D122" s="549" t="s">
        <v>17</v>
      </c>
      <c r="E122" s="459" t="s">
        <v>80</v>
      </c>
      <c r="F122" s="460" t="s">
        <v>301</v>
      </c>
      <c r="G122" s="460" t="s">
        <v>302</v>
      </c>
      <c r="H122" s="549" t="s">
        <v>52</v>
      </c>
      <c r="Q122" s="52"/>
      <c r="R122" s="44"/>
    </row>
    <row r="123" spans="1:18" s="29" customFormat="1" ht="15.6">
      <c r="A123" s="79" t="s">
        <v>225</v>
      </c>
      <c r="B123" s="79" t="s">
        <v>299</v>
      </c>
      <c r="C123" s="80"/>
      <c r="D123" s="81"/>
      <c r="E123" s="81"/>
      <c r="F123" s="81"/>
      <c r="G123" s="81"/>
      <c r="H123" s="610"/>
      <c r="Q123" s="52"/>
      <c r="R123" s="44"/>
    </row>
    <row r="124" spans="1:18" s="29" customFormat="1" ht="15.6">
      <c r="A124" s="82">
        <v>7</v>
      </c>
      <c r="B124" s="82" t="s">
        <v>304</v>
      </c>
      <c r="C124" s="83"/>
      <c r="D124" s="84"/>
      <c r="E124" s="84"/>
      <c r="F124" s="84"/>
      <c r="G124" s="84"/>
      <c r="H124" s="611"/>
      <c r="Q124" s="52"/>
      <c r="R124" s="44"/>
    </row>
    <row r="125" spans="1:18" s="29" customFormat="1" ht="15" customHeight="1">
      <c r="A125" s="543">
        <v>7.1</v>
      </c>
      <c r="B125" s="858" t="s">
        <v>271</v>
      </c>
      <c r="C125" s="840"/>
      <c r="D125" s="94">
        <f>VLOOKUP(A125,'Point Allocation'!$A$20:$J$41,MATCH(A7,'Point Allocation'!$A$20:$J$20,0),0)</f>
        <v>10</v>
      </c>
      <c r="E125" s="85">
        <f>F96</f>
        <v>0</v>
      </c>
      <c r="F125" s="85">
        <f>F32</f>
        <v>0</v>
      </c>
      <c r="G125" s="87">
        <f>IFERROR(SUM(E125:F125)/SUM($E$143:$F$143),0)</f>
        <v>0</v>
      </c>
      <c r="H125" s="612">
        <f>D125*G125</f>
        <v>0</v>
      </c>
      <c r="Q125" s="52"/>
      <c r="R125" s="44"/>
    </row>
    <row r="126" spans="1:18" s="29" customFormat="1" ht="15.6">
      <c r="A126" s="88">
        <v>8</v>
      </c>
      <c r="B126" s="88" t="s">
        <v>305</v>
      </c>
      <c r="C126" s="89"/>
      <c r="D126" s="90"/>
      <c r="E126" s="91"/>
      <c r="F126" s="91"/>
      <c r="G126" s="92"/>
      <c r="H126" s="613"/>
      <c r="Q126" s="52"/>
      <c r="R126" s="44"/>
    </row>
    <row r="127" spans="1:18" s="29" customFormat="1">
      <c r="A127" s="814">
        <v>8.1</v>
      </c>
      <c r="B127" s="822" t="s">
        <v>303</v>
      </c>
      <c r="C127" s="824"/>
      <c r="D127" s="921">
        <f>VLOOKUP(A127,'Point Allocation'!$A$20:$J$41,MATCH(A7,'Point Allocation'!$A$20:$J$20,0),0)</f>
        <v>8</v>
      </c>
      <c r="E127" s="945">
        <f>F98</f>
        <v>0</v>
      </c>
      <c r="F127" s="946"/>
      <c r="G127" s="983">
        <f>IFERROR(SUM(E127:F128)/SUM($E$143:$F$143),0)</f>
        <v>0</v>
      </c>
      <c r="H127" s="819">
        <f>D127*G127</f>
        <v>0</v>
      </c>
      <c r="Q127" s="52"/>
      <c r="R127" s="44"/>
    </row>
    <row r="128" spans="1:18" s="29" customFormat="1" ht="15.6">
      <c r="A128" s="815"/>
      <c r="B128" s="816" t="s">
        <v>119</v>
      </c>
      <c r="C128" s="818"/>
      <c r="D128" s="922"/>
      <c r="E128" s="945"/>
      <c r="F128" s="946"/>
      <c r="G128" s="984"/>
      <c r="H128" s="819"/>
      <c r="Q128" s="52"/>
      <c r="R128" s="44"/>
    </row>
    <row r="129" spans="1:18" s="29" customFormat="1">
      <c r="A129" s="543">
        <v>8.1999999999999993</v>
      </c>
      <c r="B129" s="825" t="s">
        <v>606</v>
      </c>
      <c r="C129" s="827"/>
      <c r="D129" s="94">
        <f>VLOOKUP(A129,'Point Allocation'!$A$20:$J$41,MATCH(A7,'Point Allocation'!$A$20:$J$20,0),0)</f>
        <v>8</v>
      </c>
      <c r="E129" s="174">
        <f>F100</f>
        <v>0</v>
      </c>
      <c r="F129" s="555"/>
      <c r="G129" s="87">
        <f>IFERROR(SUM(E129:F129)/SUM($E$143:$F$143),0)</f>
        <v>0</v>
      </c>
      <c r="H129" s="94">
        <f>D129*G129</f>
        <v>0</v>
      </c>
      <c r="Q129" s="52"/>
      <c r="R129" s="44"/>
    </row>
    <row r="130" spans="1:18" s="29" customFormat="1" ht="15.6">
      <c r="A130" s="82">
        <v>9</v>
      </c>
      <c r="B130" s="82" t="s">
        <v>306</v>
      </c>
      <c r="C130" s="89"/>
      <c r="D130" s="91"/>
      <c r="E130" s="91"/>
      <c r="F130" s="91"/>
      <c r="G130" s="92"/>
      <c r="H130" s="614"/>
      <c r="Q130" s="52"/>
      <c r="R130" s="44"/>
    </row>
    <row r="131" spans="1:18" s="29" customFormat="1">
      <c r="A131" s="814">
        <v>9.1</v>
      </c>
      <c r="B131" s="822" t="s">
        <v>339</v>
      </c>
      <c r="C131" s="824"/>
      <c r="D131" s="921">
        <f>VLOOKUP(A131,'Point Allocation'!$A$20:$J$41,MATCH(A7,'Point Allocation'!$A$20:$J$20,0),0)</f>
        <v>6</v>
      </c>
      <c r="E131" s="946"/>
      <c r="F131" s="946"/>
      <c r="G131" s="821">
        <f>IFERROR(SUM(E131:F132)/SUM($E$143:$F$143),0)</f>
        <v>0</v>
      </c>
      <c r="H131" s="819">
        <f>D131*G131</f>
        <v>0</v>
      </c>
      <c r="Q131" s="52"/>
      <c r="R131" s="44"/>
    </row>
    <row r="132" spans="1:18" s="29" customFormat="1" ht="15.6">
      <c r="A132" s="815"/>
      <c r="B132" s="816" t="s">
        <v>5</v>
      </c>
      <c r="C132" s="818"/>
      <c r="D132" s="922"/>
      <c r="E132" s="946"/>
      <c r="F132" s="946"/>
      <c r="G132" s="821"/>
      <c r="H132" s="819"/>
      <c r="Q132" s="52"/>
      <c r="R132" s="44"/>
    </row>
    <row r="133" spans="1:18" s="29" customFormat="1" ht="15.6">
      <c r="A133" s="82">
        <v>10</v>
      </c>
      <c r="B133" s="82" t="s">
        <v>308</v>
      </c>
      <c r="C133" s="89"/>
      <c r="D133" s="91"/>
      <c r="E133" s="91"/>
      <c r="F133" s="91"/>
      <c r="G133" s="92"/>
      <c r="H133" s="614"/>
      <c r="Q133" s="52"/>
      <c r="R133" s="44"/>
    </row>
    <row r="134" spans="1:18" s="29" customFormat="1" ht="15" customHeight="1">
      <c r="A134" s="541">
        <v>10.1</v>
      </c>
      <c r="B134" s="822" t="s">
        <v>340</v>
      </c>
      <c r="C134" s="824"/>
      <c r="D134" s="94">
        <f>VLOOKUP(A134,'Point Allocation'!$A$20:$J$41,MATCH(A7,'Point Allocation'!$A$20:$J$20,0),0)</f>
        <v>4</v>
      </c>
      <c r="E134" s="555"/>
      <c r="F134" s="555"/>
      <c r="G134" s="87">
        <f>IFERROR(SUM(E134:F134)/SUM($E$143:$F$143),0)</f>
        <v>0</v>
      </c>
      <c r="H134" s="94">
        <f>D134*G134</f>
        <v>0</v>
      </c>
      <c r="Q134" s="52"/>
      <c r="R134" s="44"/>
    </row>
    <row r="135" spans="1:18" s="29" customFormat="1" ht="32.25" customHeight="1">
      <c r="A135" s="589">
        <v>10.199999999999999</v>
      </c>
      <c r="B135" s="825" t="s">
        <v>318</v>
      </c>
      <c r="C135" s="827"/>
      <c r="D135" s="94">
        <f>VLOOKUP(A135,'Point Allocation'!$A$20:$J$41,MATCH(A7,'Point Allocation'!$A$20:$J$20,0),0)</f>
        <v>4</v>
      </c>
      <c r="E135" s="173"/>
      <c r="F135" s="555"/>
      <c r="G135" s="539">
        <f>IFERROR(SUM(E135:F135)/SUM($E$143:$F$143),0)</f>
        <v>0</v>
      </c>
      <c r="H135" s="94">
        <f>D135*G135</f>
        <v>0</v>
      </c>
      <c r="Q135" s="52"/>
      <c r="R135" s="44"/>
    </row>
    <row r="136" spans="1:18" s="29" customFormat="1" ht="15.6">
      <c r="A136" s="95" t="s">
        <v>226</v>
      </c>
      <c r="B136" s="95" t="s">
        <v>248</v>
      </c>
      <c r="C136" s="96"/>
      <c r="D136" s="98"/>
      <c r="E136" s="99"/>
      <c r="F136" s="99"/>
      <c r="G136" s="100"/>
      <c r="H136" s="615"/>
      <c r="Q136" s="52"/>
      <c r="R136" s="44"/>
    </row>
    <row r="137" spans="1:18" s="29" customFormat="1" ht="15.6">
      <c r="A137" s="82">
        <v>11</v>
      </c>
      <c r="B137" s="82" t="s">
        <v>249</v>
      </c>
      <c r="C137" s="89"/>
      <c r="D137" s="91"/>
      <c r="E137" s="91"/>
      <c r="F137" s="91"/>
      <c r="G137" s="92"/>
      <c r="H137" s="614"/>
      <c r="Q137" s="52"/>
      <c r="R137" s="44"/>
    </row>
    <row r="138" spans="1:18" s="29" customFormat="1">
      <c r="A138" s="541">
        <v>11.1</v>
      </c>
      <c r="B138" s="822" t="s">
        <v>642</v>
      </c>
      <c r="C138" s="824"/>
      <c r="D138" s="94">
        <f>VLOOKUP(A138,'Point Allocation'!$A$20:$J$41,MATCH(A7,'Point Allocation'!$A$20:$J$20,0),0)</f>
        <v>2</v>
      </c>
      <c r="E138" s="555"/>
      <c r="F138" s="555"/>
      <c r="G138" s="539">
        <f>IFERROR(SUM(E138:F138)/SUM($E$143:$F$143),0)</f>
        <v>0</v>
      </c>
      <c r="H138" s="94">
        <f t="shared" ref="H138:H142" si="2">D138*G138</f>
        <v>0</v>
      </c>
      <c r="Q138" s="52"/>
      <c r="R138" s="44"/>
    </row>
    <row r="139" spans="1:18" s="29" customFormat="1">
      <c r="A139" s="619">
        <v>11.2</v>
      </c>
      <c r="B139" s="848" t="s">
        <v>310</v>
      </c>
      <c r="C139" s="849"/>
      <c r="D139" s="174">
        <f>VLOOKUP(A138,'Point Allocation'!$A$20:$J$41,MATCH(A7,'Point Allocation'!$A$20:$J$20,0),0)</f>
        <v>2</v>
      </c>
      <c r="E139" s="555"/>
      <c r="F139" s="555"/>
      <c r="G139" s="539">
        <f>IFERROR(SUM(E139:F139)/SUM($E$143:$F$143),0)</f>
        <v>0</v>
      </c>
      <c r="H139" s="94">
        <f t="shared" si="2"/>
        <v>0</v>
      </c>
      <c r="Q139" s="52"/>
      <c r="R139" s="44"/>
    </row>
    <row r="140" spans="1:18" s="29" customFormat="1">
      <c r="A140" s="541">
        <v>11.3</v>
      </c>
      <c r="B140" s="848" t="s">
        <v>317</v>
      </c>
      <c r="C140" s="849"/>
      <c r="D140" s="94">
        <f>VLOOKUP(A140,'Point Allocation'!$A$20:$J$41,MATCH(A7,'Point Allocation'!$A$20:$J$20,0),0)</f>
        <v>0</v>
      </c>
      <c r="E140" s="555"/>
      <c r="F140" s="555"/>
      <c r="G140" s="539">
        <f>IFERROR(SUM(E140:F140)/SUM($E$143:$F$143),0)</f>
        <v>0</v>
      </c>
      <c r="H140" s="94">
        <f t="shared" si="2"/>
        <v>0</v>
      </c>
      <c r="Q140" s="52"/>
      <c r="R140" s="44"/>
    </row>
    <row r="141" spans="1:18" s="29" customFormat="1">
      <c r="A141" s="620">
        <v>11.4</v>
      </c>
      <c r="B141" s="968"/>
      <c r="C141" s="969"/>
      <c r="D141" s="538"/>
      <c r="E141" s="555"/>
      <c r="F141" s="555"/>
      <c r="G141" s="539">
        <f>IFERROR(SUM(E141:F141)/SUM($E$143:$F$143),0)</f>
        <v>0</v>
      </c>
      <c r="H141" s="94">
        <f t="shared" si="2"/>
        <v>0</v>
      </c>
      <c r="Q141" s="52"/>
      <c r="R141" s="44"/>
    </row>
    <row r="142" spans="1:18" s="29" customFormat="1">
      <c r="A142" s="620">
        <v>11.5</v>
      </c>
      <c r="B142" s="968"/>
      <c r="C142" s="969"/>
      <c r="D142" s="538"/>
      <c r="E142" s="555"/>
      <c r="F142" s="555"/>
      <c r="G142" s="539">
        <f>IFERROR(SUM(E142:F142)/SUM($E$143:$F$143),0)</f>
        <v>0</v>
      </c>
      <c r="H142" s="94">
        <f t="shared" si="2"/>
        <v>0</v>
      </c>
      <c r="Q142" s="52"/>
      <c r="R142" s="44"/>
    </row>
    <row r="143" spans="1:18" s="29" customFormat="1" ht="15.6">
      <c r="A143" s="592"/>
      <c r="B143" s="307"/>
      <c r="C143" s="305"/>
      <c r="D143" s="312" t="s">
        <v>131</v>
      </c>
      <c r="E143" s="315">
        <f>SUM(E125:E142)</f>
        <v>0</v>
      </c>
      <c r="F143" s="317">
        <f>SUM(F125:F142)</f>
        <v>0</v>
      </c>
      <c r="G143" s="318">
        <f>SUM(G125:G142)</f>
        <v>0</v>
      </c>
      <c r="H143" s="621">
        <f>IFERROR(SUM(H125:H142),0)</f>
        <v>0</v>
      </c>
      <c r="Q143" s="52"/>
      <c r="R143" s="44"/>
    </row>
    <row r="144" spans="1:18" s="29" customFormat="1">
      <c r="A144" s="622"/>
      <c r="B144" s="307"/>
      <c r="C144" s="305"/>
      <c r="D144" s="305"/>
      <c r="E144" s="305"/>
      <c r="F144" s="305"/>
      <c r="G144" s="314"/>
      <c r="H144" s="571"/>
      <c r="Q144" s="52"/>
      <c r="R144" s="44"/>
    </row>
    <row r="145" spans="1:18" s="29" customFormat="1" ht="46.8">
      <c r="A145" s="970" t="s">
        <v>0</v>
      </c>
      <c r="B145" s="971"/>
      <c r="C145" s="163"/>
      <c r="D145" s="550" t="s">
        <v>57</v>
      </c>
      <c r="E145" s="550" t="s">
        <v>58</v>
      </c>
      <c r="F145" s="956" t="s">
        <v>59</v>
      </c>
      <c r="G145" s="956"/>
      <c r="H145" s="623" t="s">
        <v>62</v>
      </c>
      <c r="J145" s="103" t="s">
        <v>71</v>
      </c>
      <c r="K145" s="103">
        <v>1</v>
      </c>
      <c r="L145" s="103">
        <v>2</v>
      </c>
      <c r="M145" s="103">
        <v>3</v>
      </c>
      <c r="N145" s="103">
        <v>4</v>
      </c>
      <c r="O145" s="103">
        <v>5</v>
      </c>
      <c r="P145" s="103">
        <v>6</v>
      </c>
      <c r="Q145" s="52"/>
      <c r="R145" s="44"/>
    </row>
    <row r="146" spans="1:18" s="29" customFormat="1" ht="15.6">
      <c r="A146" s="126" t="s">
        <v>227</v>
      </c>
      <c r="B146" s="126" t="s">
        <v>139</v>
      </c>
      <c r="C146" s="162"/>
      <c r="D146" s="56"/>
      <c r="E146" s="56"/>
      <c r="F146" s="57"/>
      <c r="G146" s="104"/>
      <c r="H146" s="624"/>
      <c r="J146" s="103" t="s">
        <v>73</v>
      </c>
      <c r="K146" s="103" t="s">
        <v>72</v>
      </c>
      <c r="L146" s="103">
        <v>1</v>
      </c>
      <c r="M146" s="103">
        <v>2</v>
      </c>
      <c r="N146" s="103">
        <v>3</v>
      </c>
      <c r="O146" s="103">
        <v>4</v>
      </c>
      <c r="P146" s="103">
        <v>4</v>
      </c>
      <c r="Q146" s="52"/>
      <c r="R146" s="44"/>
    </row>
    <row r="147" spans="1:18" s="29" customFormat="1">
      <c r="A147" s="625" t="s">
        <v>228</v>
      </c>
      <c r="B147" s="386" t="s">
        <v>394</v>
      </c>
      <c r="C147" s="164" t="s">
        <v>55</v>
      </c>
      <c r="D147" s="820"/>
      <c r="E147" s="820"/>
      <c r="F147" s="949" t="str">
        <f>IF(D147&gt;9,D147/E147," ")</f>
        <v xml:space="preserve"> </v>
      </c>
      <c r="G147" s="949"/>
      <c r="H147" s="94">
        <f>IF(D147="",0,IF(D147&lt;9,2,IF((D147/E147)=0,2,IF((D147/E147)&lt;10%,1.5,IF((D147/E147)&lt;15%,1,IF((D147/E147)&lt;20%,0.5,0))))))</f>
        <v>0</v>
      </c>
      <c r="J147" s="103" t="s">
        <v>74</v>
      </c>
      <c r="K147" s="103" t="s">
        <v>72</v>
      </c>
      <c r="L147" s="103">
        <v>5</v>
      </c>
      <c r="M147" s="103">
        <v>15</v>
      </c>
      <c r="N147" s="103">
        <v>25</v>
      </c>
      <c r="O147" s="103">
        <v>35</v>
      </c>
      <c r="P147" s="103">
        <v>35</v>
      </c>
      <c r="Q147" s="52"/>
      <c r="R147" s="44"/>
    </row>
    <row r="148" spans="1:18" s="29" customFormat="1">
      <c r="A148" s="625" t="s">
        <v>229</v>
      </c>
      <c r="B148" s="386" t="s">
        <v>395</v>
      </c>
      <c r="C148" s="164" t="s">
        <v>56</v>
      </c>
      <c r="D148" s="820"/>
      <c r="E148" s="820"/>
      <c r="F148" s="950"/>
      <c r="G148" s="950"/>
      <c r="H148" s="94">
        <f>IF(E147="",0,IF(E147&lt;15,HLOOKUP(F148,J145:P152,4,FALSE),IF(E147&lt;45,HLOOKUP(F148,J145:P152,5,FALSE),IF(E147&lt;90,HLOOKUP(F148,J145:P152,6,FALSE),IF(E147&lt;135,HLOOKUP(F148,J145:P152,7,FALSE),IF(E147&gt;=135,HLOOKUP(F148,J145:P152,8,FALSE),3))))))</f>
        <v>0</v>
      </c>
      <c r="I148" s="54"/>
      <c r="J148" s="103" t="s">
        <v>75</v>
      </c>
      <c r="K148" s="103">
        <v>3</v>
      </c>
      <c r="L148" s="103">
        <v>3</v>
      </c>
      <c r="M148" s="103">
        <v>3</v>
      </c>
      <c r="N148" s="103">
        <v>2.5</v>
      </c>
      <c r="O148" s="103">
        <v>1.5</v>
      </c>
      <c r="P148" s="103">
        <v>0</v>
      </c>
      <c r="Q148" s="52"/>
      <c r="R148" s="44"/>
    </row>
    <row r="149" spans="1:18" s="29" customFormat="1">
      <c r="A149" s="592"/>
      <c r="B149" s="307"/>
      <c r="C149" s="314"/>
      <c r="D149" s="319"/>
      <c r="E149" s="319"/>
      <c r="F149" s="319"/>
      <c r="G149" s="319"/>
      <c r="H149" s="626"/>
      <c r="I149" s="54"/>
      <c r="J149" s="103" t="s">
        <v>76</v>
      </c>
      <c r="K149" s="103">
        <v>3</v>
      </c>
      <c r="L149" s="103">
        <v>3</v>
      </c>
      <c r="M149" s="103">
        <v>2.5</v>
      </c>
      <c r="N149" s="103">
        <v>1.5</v>
      </c>
      <c r="O149" s="103">
        <v>1</v>
      </c>
      <c r="P149" s="103">
        <v>0</v>
      </c>
      <c r="Q149" s="52"/>
      <c r="R149" s="44"/>
    </row>
    <row r="150" spans="1:18" s="29" customFormat="1" ht="15.6">
      <c r="A150" s="592"/>
      <c r="B150" s="320"/>
      <c r="C150" s="314"/>
      <c r="D150" s="314"/>
      <c r="E150" s="314"/>
      <c r="F150" s="305"/>
      <c r="G150" s="321"/>
      <c r="H150" s="627"/>
      <c r="I150" s="54"/>
      <c r="J150" s="103" t="s">
        <v>77</v>
      </c>
      <c r="K150" s="103">
        <v>3</v>
      </c>
      <c r="L150" s="103">
        <v>2.5</v>
      </c>
      <c r="M150" s="103">
        <v>1.5</v>
      </c>
      <c r="N150" s="103">
        <v>1</v>
      </c>
      <c r="O150" s="103">
        <v>0</v>
      </c>
      <c r="P150" s="103">
        <v>0</v>
      </c>
      <c r="Q150" s="52"/>
      <c r="R150" s="44"/>
    </row>
    <row r="151" spans="1:18" s="29" customFormat="1" ht="15.75" customHeight="1">
      <c r="A151" s="972" t="s">
        <v>0</v>
      </c>
      <c r="B151" s="973"/>
      <c r="C151" s="888"/>
      <c r="D151" s="974" t="s">
        <v>4</v>
      </c>
      <c r="E151" s="951" t="s">
        <v>1</v>
      </c>
      <c r="F151" s="952"/>
      <c r="G151" s="953" t="s">
        <v>21</v>
      </c>
      <c r="H151" s="947" t="s">
        <v>62</v>
      </c>
      <c r="I151" s="54"/>
      <c r="J151" s="103" t="s">
        <v>78</v>
      </c>
      <c r="K151" s="103">
        <v>3</v>
      </c>
      <c r="L151" s="103">
        <v>1.5</v>
      </c>
      <c r="M151" s="103">
        <v>1</v>
      </c>
      <c r="N151" s="103">
        <v>0</v>
      </c>
      <c r="O151" s="103">
        <v>0</v>
      </c>
      <c r="P151" s="103">
        <v>0</v>
      </c>
      <c r="Q151" s="52"/>
      <c r="R151" s="44"/>
    </row>
    <row r="152" spans="1:18" s="29" customFormat="1" ht="30" customHeight="1">
      <c r="A152" s="867"/>
      <c r="B152" s="868"/>
      <c r="C152" s="870"/>
      <c r="D152" s="952"/>
      <c r="E152" s="550" t="s">
        <v>64</v>
      </c>
      <c r="F152" s="550" t="s">
        <v>65</v>
      </c>
      <c r="G152" s="954"/>
      <c r="H152" s="948"/>
      <c r="I152" s="54"/>
      <c r="J152" s="103" t="s">
        <v>79</v>
      </c>
      <c r="K152" s="103">
        <v>3</v>
      </c>
      <c r="L152" s="103">
        <v>1</v>
      </c>
      <c r="M152" s="103">
        <v>0</v>
      </c>
      <c r="N152" s="103">
        <v>0</v>
      </c>
      <c r="O152" s="103">
        <v>0</v>
      </c>
      <c r="P152" s="103">
        <v>0</v>
      </c>
      <c r="Q152" s="52"/>
      <c r="R152" s="44"/>
    </row>
    <row r="153" spans="1:18" s="29" customFormat="1" ht="15.6">
      <c r="A153" s="105" t="s">
        <v>230</v>
      </c>
      <c r="B153" s="105" t="s">
        <v>516</v>
      </c>
      <c r="C153" s="106"/>
      <c r="D153" s="106"/>
      <c r="E153" s="106"/>
      <c r="F153" s="110"/>
      <c r="G153" s="111"/>
      <c r="H153" s="628"/>
      <c r="J153" s="103" t="s">
        <v>73</v>
      </c>
      <c r="K153" s="103" t="s">
        <v>72</v>
      </c>
      <c r="L153" s="103">
        <v>1</v>
      </c>
      <c r="M153" s="103">
        <v>2</v>
      </c>
      <c r="N153" s="103">
        <v>3</v>
      </c>
      <c r="O153" s="103">
        <v>4</v>
      </c>
      <c r="P153" s="103">
        <v>4</v>
      </c>
      <c r="Q153" s="52"/>
      <c r="R153" s="44"/>
    </row>
    <row r="154" spans="1:18" s="29" customFormat="1" ht="15.6">
      <c r="A154" s="149" t="s">
        <v>231</v>
      </c>
      <c r="B154" s="149" t="s">
        <v>517</v>
      </c>
      <c r="C154" s="150"/>
      <c r="D154" s="151"/>
      <c r="E154" s="152"/>
      <c r="F154" s="152"/>
      <c r="G154" s="153"/>
      <c r="H154" s="629"/>
      <c r="I154" s="54"/>
      <c r="Q154" s="52"/>
      <c r="R154" s="44"/>
    </row>
    <row r="155" spans="1:18" s="29" customFormat="1">
      <c r="A155" s="630" t="s">
        <v>232</v>
      </c>
      <c r="B155" s="825" t="s">
        <v>612</v>
      </c>
      <c r="C155" s="827"/>
      <c r="D155" s="522" t="s">
        <v>50</v>
      </c>
      <c r="E155" s="523">
        <v>2</v>
      </c>
      <c r="F155" s="523">
        <v>3</v>
      </c>
      <c r="G155" s="27"/>
      <c r="H155" s="434">
        <f t="shared" ref="H155:H166" si="3">IF(G155&gt;=80%,F155,IF(G155&lt;65%,0,E155))</f>
        <v>0</v>
      </c>
      <c r="Q155" s="52"/>
      <c r="R155" s="44"/>
    </row>
    <row r="156" spans="1:18" s="29" customFormat="1">
      <c r="A156" s="630" t="s">
        <v>233</v>
      </c>
      <c r="B156" s="917" t="s">
        <v>613</v>
      </c>
      <c r="C156" s="843"/>
      <c r="D156" s="483" t="s">
        <v>50</v>
      </c>
      <c r="E156" s="434">
        <v>2</v>
      </c>
      <c r="F156" s="434">
        <v>3</v>
      </c>
      <c r="G156" s="553"/>
      <c r="H156" s="434">
        <f>IF(G156&gt;=80%,F156,IF(G156&lt;65%,0,E156))</f>
        <v>0</v>
      </c>
      <c r="Q156" s="52"/>
      <c r="R156" s="44"/>
    </row>
    <row r="157" spans="1:18" s="29" customFormat="1">
      <c r="A157" s="631" t="s">
        <v>234</v>
      </c>
      <c r="B157" s="917" t="s">
        <v>563</v>
      </c>
      <c r="C157" s="843"/>
      <c r="D157" s="524" t="s">
        <v>50</v>
      </c>
      <c r="E157" s="554">
        <v>2</v>
      </c>
      <c r="F157" s="434">
        <v>2.5</v>
      </c>
      <c r="G157" s="551"/>
      <c r="H157" s="434">
        <f t="shared" ref="H157" si="4">IF(G157&gt;=80%,F157,IF(G157&lt;65%,0,E157))</f>
        <v>0</v>
      </c>
      <c r="Q157" s="52"/>
      <c r="R157" s="44"/>
    </row>
    <row r="158" spans="1:18" s="29" customFormat="1">
      <c r="A158" s="631" t="s">
        <v>235</v>
      </c>
      <c r="B158" s="917" t="s">
        <v>623</v>
      </c>
      <c r="C158" s="843"/>
      <c r="D158" s="524" t="s">
        <v>50</v>
      </c>
      <c r="E158" s="554">
        <v>2</v>
      </c>
      <c r="F158" s="434">
        <v>2.5</v>
      </c>
      <c r="G158" s="551"/>
      <c r="H158" s="434">
        <f>IF(G158&gt;=80%,F158,IF(G158&lt;65%,0,E158))</f>
        <v>0</v>
      </c>
      <c r="Q158" s="52"/>
      <c r="R158" s="44"/>
    </row>
    <row r="159" spans="1:18" s="29" customFormat="1">
      <c r="A159" s="630" t="s">
        <v>371</v>
      </c>
      <c r="B159" s="875" t="s">
        <v>379</v>
      </c>
      <c r="C159" s="876"/>
      <c r="D159" s="530" t="s">
        <v>50</v>
      </c>
      <c r="E159" s="523">
        <v>2</v>
      </c>
      <c r="F159" s="523">
        <v>2.5</v>
      </c>
      <c r="G159" s="529"/>
      <c r="H159" s="434">
        <f>IF(G159&gt;=80%,F159,IF(G159&lt;65%,0,E159))</f>
        <v>0</v>
      </c>
      <c r="Q159" s="52"/>
      <c r="R159" s="44"/>
    </row>
    <row r="160" spans="1:18" s="29" customFormat="1" ht="30">
      <c r="A160" s="871" t="s">
        <v>519</v>
      </c>
      <c r="B160" s="873" t="s">
        <v>397</v>
      </c>
      <c r="C160" s="940"/>
      <c r="D160" s="524" t="s">
        <v>402</v>
      </c>
      <c r="E160" s="964">
        <v>2.5</v>
      </c>
      <c r="F160" s="965"/>
      <c r="G160" s="933"/>
      <c r="H160" s="931">
        <f>IF(G160&gt;=35,E161,IF(G160&gt;=30,E160,0))</f>
        <v>0</v>
      </c>
      <c r="Q160" s="52"/>
      <c r="R160" s="44"/>
    </row>
    <row r="161" spans="1:18" s="29" customFormat="1" ht="30">
      <c r="A161" s="872"/>
      <c r="B161" s="941"/>
      <c r="C161" s="942"/>
      <c r="D161" s="524" t="s">
        <v>396</v>
      </c>
      <c r="E161" s="964">
        <v>3</v>
      </c>
      <c r="F161" s="965"/>
      <c r="G161" s="934"/>
      <c r="H161" s="932"/>
      <c r="Q161" s="52"/>
      <c r="R161" s="44"/>
    </row>
    <row r="162" spans="1:18" s="29" customFormat="1" ht="31.5" customHeight="1">
      <c r="A162" s="871" t="s">
        <v>520</v>
      </c>
      <c r="B162" s="873" t="s">
        <v>398</v>
      </c>
      <c r="C162" s="874"/>
      <c r="D162" s="524" t="s">
        <v>333</v>
      </c>
      <c r="E162" s="962">
        <v>4</v>
      </c>
      <c r="F162" s="963"/>
      <c r="G162" s="933"/>
      <c r="H162" s="931">
        <f>IF(G162&gt;=80,E162,IF(G162&gt;=70,E163,IF(G162&gt;=60,E164,IF(G162&gt;=50,E165,0))))</f>
        <v>0</v>
      </c>
      <c r="Q162" s="52"/>
      <c r="R162" s="44"/>
    </row>
    <row r="163" spans="1:18" s="29" customFormat="1" ht="31.5" customHeight="1">
      <c r="A163" s="975"/>
      <c r="B163" s="929"/>
      <c r="C163" s="930"/>
      <c r="D163" s="524" t="s">
        <v>334</v>
      </c>
      <c r="E163" s="962">
        <v>3</v>
      </c>
      <c r="F163" s="963"/>
      <c r="G163" s="935"/>
      <c r="H163" s="936"/>
      <c r="Q163" s="52"/>
      <c r="R163" s="44"/>
    </row>
    <row r="164" spans="1:18" s="29" customFormat="1" ht="31.5" customHeight="1">
      <c r="A164" s="975"/>
      <c r="B164" s="929"/>
      <c r="C164" s="930"/>
      <c r="D164" s="524" t="s">
        <v>368</v>
      </c>
      <c r="E164" s="962">
        <v>2</v>
      </c>
      <c r="F164" s="963"/>
      <c r="G164" s="935"/>
      <c r="H164" s="936"/>
      <c r="Q164" s="52"/>
      <c r="R164" s="44"/>
    </row>
    <row r="165" spans="1:18" s="29" customFormat="1" ht="31.5" customHeight="1">
      <c r="A165" s="872"/>
      <c r="B165" s="875"/>
      <c r="C165" s="876"/>
      <c r="D165" s="524" t="s">
        <v>369</v>
      </c>
      <c r="E165" s="962">
        <v>1</v>
      </c>
      <c r="F165" s="963"/>
      <c r="G165" s="934"/>
      <c r="H165" s="932"/>
      <c r="Q165" s="52"/>
      <c r="R165" s="44"/>
    </row>
    <row r="166" spans="1:18" s="29" customFormat="1" ht="31.5" customHeight="1">
      <c r="A166" s="871" t="s">
        <v>643</v>
      </c>
      <c r="B166" s="873" t="s">
        <v>614</v>
      </c>
      <c r="C166" s="874"/>
      <c r="D166" s="524" t="s">
        <v>66</v>
      </c>
      <c r="E166" s="525">
        <v>3.5</v>
      </c>
      <c r="F166" s="525">
        <v>4</v>
      </c>
      <c r="G166" s="27"/>
      <c r="H166" s="434">
        <f t="shared" si="3"/>
        <v>0</v>
      </c>
      <c r="Q166" s="52"/>
      <c r="R166" s="44"/>
    </row>
    <row r="167" spans="1:18" s="29" customFormat="1" ht="30">
      <c r="A167" s="872"/>
      <c r="B167" s="875"/>
      <c r="C167" s="876"/>
      <c r="D167" s="524" t="s">
        <v>67</v>
      </c>
      <c r="E167" s="525" t="s">
        <v>49</v>
      </c>
      <c r="F167" s="525">
        <v>3</v>
      </c>
      <c r="G167" s="27"/>
      <c r="H167" s="434">
        <f>IF(G167&gt;=80%,F167,0)</f>
        <v>0</v>
      </c>
      <c r="Q167" s="52"/>
      <c r="R167" s="44"/>
    </row>
    <row r="168" spans="1:18" s="29" customFormat="1" ht="15.6">
      <c r="A168" s="82">
        <v>14</v>
      </c>
      <c r="B168" s="470" t="s">
        <v>515</v>
      </c>
      <c r="C168" s="89"/>
      <c r="D168" s="151"/>
      <c r="E168" s="152"/>
      <c r="F168" s="152"/>
      <c r="G168" s="153"/>
      <c r="H168" s="629"/>
      <c r="Q168" s="52"/>
      <c r="R168" s="44"/>
    </row>
    <row r="169" spans="1:18" s="29" customFormat="1" ht="31.95" customHeight="1">
      <c r="A169" s="630" t="s">
        <v>236</v>
      </c>
      <c r="B169" s="875" t="s">
        <v>648</v>
      </c>
      <c r="C169" s="876"/>
      <c r="D169" s="527" t="s">
        <v>50</v>
      </c>
      <c r="E169" s="528">
        <v>2</v>
      </c>
      <c r="F169" s="528">
        <v>2.5</v>
      </c>
      <c r="G169" s="529"/>
      <c r="H169" s="9">
        <f>IF(G169&gt;=80%,F169,IF(G169&lt;65%,0,E169))</f>
        <v>0</v>
      </c>
      <c r="Q169" s="52"/>
      <c r="R169" s="44"/>
    </row>
    <row r="170" spans="1:18" s="29" customFormat="1">
      <c r="A170" s="630" t="s">
        <v>237</v>
      </c>
      <c r="B170" s="875" t="s">
        <v>615</v>
      </c>
      <c r="C170" s="876"/>
      <c r="D170" s="530" t="s">
        <v>50</v>
      </c>
      <c r="E170" s="523" t="s">
        <v>49</v>
      </c>
      <c r="F170" s="523">
        <v>2.5</v>
      </c>
      <c r="G170" s="526">
        <f>F23</f>
        <v>0</v>
      </c>
      <c r="H170" s="434">
        <f>IF(G170&gt;=80%,F170,0)</f>
        <v>0</v>
      </c>
      <c r="Q170" s="52"/>
      <c r="R170" s="44"/>
    </row>
    <row r="171" spans="1:18" s="29" customFormat="1" ht="32.25" customHeight="1">
      <c r="A171" s="630" t="s">
        <v>378</v>
      </c>
      <c r="B171" s="875" t="s">
        <v>617</v>
      </c>
      <c r="C171" s="876"/>
      <c r="D171" s="530" t="s">
        <v>50</v>
      </c>
      <c r="E171" s="523">
        <v>2</v>
      </c>
      <c r="F171" s="523">
        <v>3</v>
      </c>
      <c r="G171" s="529"/>
      <c r="H171" s="434">
        <f>IF(G171&gt;=80%,F171,IF(G171&lt;65%,0,E171))</f>
        <v>0</v>
      </c>
      <c r="Q171" s="52"/>
      <c r="R171" s="44"/>
    </row>
    <row r="172" spans="1:18" s="29" customFormat="1" ht="30" customHeight="1">
      <c r="A172" s="632" t="s">
        <v>521</v>
      </c>
      <c r="B172" s="825" t="s">
        <v>616</v>
      </c>
      <c r="C172" s="827"/>
      <c r="D172" s="420" t="s">
        <v>50</v>
      </c>
      <c r="E172" s="434">
        <v>2</v>
      </c>
      <c r="F172" s="434">
        <v>2.5</v>
      </c>
      <c r="G172" s="30"/>
      <c r="H172" s="434">
        <f>IF(G172&gt;=80%,F172,IF(G172&lt;65%,0,E172))</f>
        <v>0</v>
      </c>
      <c r="Q172" s="52"/>
      <c r="R172" s="44"/>
    </row>
    <row r="173" spans="1:18" s="29" customFormat="1" ht="15.6">
      <c r="A173" s="82">
        <v>15</v>
      </c>
      <c r="B173" s="82" t="s">
        <v>259</v>
      </c>
      <c r="C173" s="89"/>
      <c r="D173" s="151"/>
      <c r="E173" s="152"/>
      <c r="F173" s="152"/>
      <c r="G173" s="153"/>
      <c r="H173" s="629"/>
      <c r="Q173" s="52"/>
      <c r="R173" s="44"/>
    </row>
    <row r="174" spans="1:18" s="29" customFormat="1">
      <c r="A174" s="877" t="s">
        <v>238</v>
      </c>
      <c r="B174" s="879" t="s">
        <v>275</v>
      </c>
      <c r="C174" s="880"/>
      <c r="D174" s="943" t="s">
        <v>50</v>
      </c>
      <c r="E174" s="828">
        <v>2.5</v>
      </c>
      <c r="F174" s="828">
        <v>4</v>
      </c>
      <c r="G174" s="957"/>
      <c r="H174" s="828">
        <f>IF(G174&gt;=80%,F174,IF(G174&lt;65%,0,E174))</f>
        <v>0</v>
      </c>
      <c r="Q174" s="52"/>
      <c r="R174" s="44"/>
    </row>
    <row r="175" spans="1:18" s="29" customFormat="1" ht="15.6">
      <c r="A175" s="878"/>
      <c r="B175" s="810" t="s">
        <v>276</v>
      </c>
      <c r="C175" s="810"/>
      <c r="D175" s="944"/>
      <c r="E175" s="829"/>
      <c r="F175" s="829"/>
      <c r="G175" s="958"/>
      <c r="H175" s="829"/>
      <c r="Q175" s="52"/>
      <c r="R175" s="44"/>
    </row>
    <row r="176" spans="1:18" s="29" customFormat="1">
      <c r="A176" s="877" t="s">
        <v>239</v>
      </c>
      <c r="B176" s="858" t="s">
        <v>137</v>
      </c>
      <c r="C176" s="840"/>
      <c r="D176" s="937" t="s">
        <v>50</v>
      </c>
      <c r="E176" s="938">
        <v>2.5</v>
      </c>
      <c r="F176" s="938">
        <v>4</v>
      </c>
      <c r="G176" s="961"/>
      <c r="H176" s="811">
        <f>IF(G176&gt;=80%,F176,IF(G176&lt;65%,0,E176))</f>
        <v>0</v>
      </c>
      <c r="Q176" s="52"/>
      <c r="R176" s="44"/>
    </row>
    <row r="177" spans="1:18" s="29" customFormat="1" ht="15.6">
      <c r="A177" s="878"/>
      <c r="B177" s="810" t="s">
        <v>119</v>
      </c>
      <c r="C177" s="810"/>
      <c r="D177" s="937"/>
      <c r="E177" s="938"/>
      <c r="F177" s="938"/>
      <c r="G177" s="961"/>
      <c r="H177" s="811"/>
      <c r="Q177" s="52"/>
      <c r="R177" s="44"/>
    </row>
    <row r="178" spans="1:18" s="29" customFormat="1" ht="15.6">
      <c r="A178" s="102">
        <v>16</v>
      </c>
      <c r="B178" s="102" t="s">
        <v>202</v>
      </c>
      <c r="C178" s="89"/>
      <c r="D178" s="89"/>
      <c r="E178" s="91"/>
      <c r="F178" s="91"/>
      <c r="G178" s="92"/>
      <c r="H178" s="614"/>
      <c r="Q178" s="59"/>
      <c r="R178" s="44"/>
    </row>
    <row r="179" spans="1:18" s="29" customFormat="1">
      <c r="A179" s="598" t="s">
        <v>241</v>
      </c>
      <c r="B179" s="765"/>
      <c r="C179" s="766"/>
      <c r="D179" s="107"/>
      <c r="E179" s="538"/>
      <c r="F179" s="538"/>
      <c r="G179" s="65"/>
      <c r="H179" s="633">
        <f>IF(G179&gt;=80%,F179,IF(G179&lt;65%,0,E179))</f>
        <v>0</v>
      </c>
      <c r="Q179" s="52"/>
      <c r="R179" s="44"/>
    </row>
    <row r="180" spans="1:18" s="29" customFormat="1">
      <c r="A180" s="598" t="s">
        <v>242</v>
      </c>
      <c r="B180" s="765"/>
      <c r="C180" s="766"/>
      <c r="D180" s="107"/>
      <c r="E180" s="538"/>
      <c r="F180" s="538"/>
      <c r="G180" s="65"/>
      <c r="H180" s="633">
        <f>IF(G180&gt;=80%,F180,IF(G180&lt;65%,0,E180))</f>
        <v>0</v>
      </c>
      <c r="Q180" s="52"/>
      <c r="R180" s="44"/>
    </row>
    <row r="181" spans="1:18" s="29" customFormat="1">
      <c r="A181" s="598" t="s">
        <v>243</v>
      </c>
      <c r="B181" s="765"/>
      <c r="C181" s="766"/>
      <c r="D181" s="107"/>
      <c r="E181" s="538"/>
      <c r="F181" s="538"/>
      <c r="G181" s="65"/>
      <c r="H181" s="633">
        <f>IF(G181&gt;=80%,F181,IF(G181&lt;65%,0,E181))</f>
        <v>0</v>
      </c>
      <c r="Q181" s="52"/>
      <c r="R181" s="44"/>
    </row>
    <row r="182" spans="1:18" s="29" customFormat="1" ht="15.6">
      <c r="A182" s="604"/>
      <c r="B182" s="307"/>
      <c r="C182" s="305"/>
      <c r="D182" s="305"/>
      <c r="E182" s="305"/>
      <c r="F182" s="309"/>
      <c r="G182" s="310" t="s">
        <v>376</v>
      </c>
      <c r="H182" s="634">
        <f>IFERROR((SUM(H147:H181)),0)</f>
        <v>0</v>
      </c>
      <c r="Q182" s="52"/>
      <c r="R182" s="44"/>
    </row>
    <row r="183" spans="1:18" s="29" customFormat="1" ht="15.6" thickBot="1">
      <c r="A183" s="594"/>
      <c r="B183" s="361"/>
      <c r="C183" s="362"/>
      <c r="D183" s="362"/>
      <c r="E183" s="362"/>
      <c r="F183" s="362"/>
      <c r="G183" s="354"/>
      <c r="H183" s="595"/>
      <c r="Q183" s="52"/>
      <c r="R183" s="44"/>
    </row>
    <row r="184" spans="1:18" s="29" customFormat="1" ht="30.75" customHeight="1">
      <c r="A184" s="865" t="s">
        <v>0</v>
      </c>
      <c r="B184" s="866"/>
      <c r="C184" s="869"/>
      <c r="D184" s="856" t="s">
        <v>4</v>
      </c>
      <c r="E184" s="959" t="s">
        <v>1</v>
      </c>
      <c r="F184" s="960"/>
      <c r="G184" s="955" t="s">
        <v>21</v>
      </c>
      <c r="H184" s="856" t="s">
        <v>62</v>
      </c>
      <c r="Q184" s="52"/>
      <c r="R184" s="44"/>
    </row>
    <row r="185" spans="1:18" s="29" customFormat="1" ht="15.6">
      <c r="A185" s="867"/>
      <c r="B185" s="868"/>
      <c r="C185" s="870"/>
      <c r="D185" s="857"/>
      <c r="E185" s="550" t="s">
        <v>120</v>
      </c>
      <c r="F185" s="550" t="s">
        <v>121</v>
      </c>
      <c r="G185" s="956"/>
      <c r="H185" s="857"/>
      <c r="Q185" s="52"/>
      <c r="R185" s="44"/>
    </row>
    <row r="186" spans="1:18" s="29" customFormat="1" ht="15.6">
      <c r="A186" s="126" t="s">
        <v>240</v>
      </c>
      <c r="B186" s="105" t="s">
        <v>244</v>
      </c>
      <c r="C186" s="106"/>
      <c r="D186" s="106"/>
      <c r="E186" s="106"/>
      <c r="F186" s="110"/>
      <c r="G186" s="111"/>
      <c r="H186" s="628"/>
      <c r="Q186" s="52"/>
      <c r="R186" s="44"/>
    </row>
    <row r="187" spans="1:18" s="29" customFormat="1">
      <c r="A187" s="625" t="s">
        <v>277</v>
      </c>
      <c r="B187" s="858" t="s">
        <v>245</v>
      </c>
      <c r="C187" s="859"/>
      <c r="D187" s="5" t="s">
        <v>50</v>
      </c>
      <c r="E187" s="20">
        <v>-1</v>
      </c>
      <c r="F187" s="20">
        <v>-2</v>
      </c>
      <c r="G187" s="28"/>
      <c r="H187" s="20">
        <f>IF(G187&gt;=30%,F187,IF(G187=0%,0,E187))</f>
        <v>0</v>
      </c>
      <c r="Q187" s="52"/>
      <c r="R187" s="44"/>
    </row>
    <row r="188" spans="1:18" s="29" customFormat="1">
      <c r="A188" s="625" t="s">
        <v>278</v>
      </c>
      <c r="B188" s="858" t="s">
        <v>246</v>
      </c>
      <c r="C188" s="859"/>
      <c r="D188" s="5" t="s">
        <v>50</v>
      </c>
      <c r="E188" s="20">
        <v>-1</v>
      </c>
      <c r="F188" s="20">
        <v>-1.5</v>
      </c>
      <c r="G188" s="28"/>
      <c r="H188" s="20">
        <f>IF(G188&gt;=30%,F188,IF(G188=0%,0,E188))</f>
        <v>0</v>
      </c>
      <c r="Q188" s="52"/>
      <c r="R188" s="44"/>
    </row>
    <row r="189" spans="1:18" s="29" customFormat="1">
      <c r="A189" s="625" t="s">
        <v>279</v>
      </c>
      <c r="B189" s="858" t="s">
        <v>247</v>
      </c>
      <c r="C189" s="859"/>
      <c r="D189" s="5" t="s">
        <v>50</v>
      </c>
      <c r="E189" s="811">
        <v>-1</v>
      </c>
      <c r="F189" s="811"/>
      <c r="G189" s="553"/>
      <c r="H189" s="20">
        <f>IF(G189&gt;0%,E189,0)</f>
        <v>0</v>
      </c>
      <c r="Q189" s="52"/>
      <c r="R189" s="44"/>
    </row>
    <row r="190" spans="1:18" s="29" customFormat="1" ht="15.6">
      <c r="A190" s="604"/>
      <c r="B190" s="307"/>
      <c r="C190" s="305"/>
      <c r="D190" s="305"/>
      <c r="E190" s="305"/>
      <c r="F190" s="309"/>
      <c r="G190" s="310" t="s">
        <v>133</v>
      </c>
      <c r="H190" s="634">
        <f>IFERROR(MAX(SUM(H187:H189),-4),0)</f>
        <v>0</v>
      </c>
      <c r="Q190" s="44"/>
      <c r="R190" s="44"/>
    </row>
    <row r="191" spans="1:18" s="29" customFormat="1">
      <c r="A191" s="592"/>
      <c r="B191" s="307"/>
      <c r="C191" s="305"/>
      <c r="D191" s="305"/>
      <c r="E191" s="305"/>
      <c r="F191" s="305"/>
      <c r="G191" s="314"/>
      <c r="H191" s="571"/>
      <c r="Q191" s="52"/>
      <c r="R191" s="44"/>
    </row>
    <row r="192" spans="1:18" s="29" customFormat="1" ht="15.6">
      <c r="A192" s="592"/>
      <c r="B192" s="307"/>
      <c r="C192" s="305"/>
      <c r="D192" s="305"/>
      <c r="E192" s="305"/>
      <c r="F192" s="305"/>
      <c r="G192" s="312" t="s">
        <v>132</v>
      </c>
      <c r="H192" s="154">
        <f>IFERROR(MIN(SUM(H120+H143+H182+H190),G91),0)</f>
        <v>0</v>
      </c>
      <c r="Q192" s="52"/>
      <c r="R192" s="44"/>
    </row>
    <row r="193" spans="1:18" s="29" customFormat="1" ht="16.2" thickBot="1">
      <c r="A193" s="594"/>
      <c r="B193" s="361"/>
      <c r="C193" s="362"/>
      <c r="D193" s="362"/>
      <c r="E193" s="362"/>
      <c r="F193" s="362"/>
      <c r="G193" s="363"/>
      <c r="H193" s="606"/>
      <c r="Q193" s="52"/>
      <c r="R193" s="44"/>
    </row>
    <row r="194" spans="1:18" s="29" customFormat="1" ht="15.6">
      <c r="A194" s="635" t="s">
        <v>63</v>
      </c>
      <c r="B194" s="355"/>
      <c r="C194" s="355"/>
      <c r="D194" s="355"/>
      <c r="E194" s="355"/>
      <c r="F194" s="356" t="s">
        <v>42</v>
      </c>
      <c r="G194" s="357">
        <f>VLOOKUP($A$7,'Manpower allocation'!A4:D11,4,FALSE)*100</f>
        <v>15</v>
      </c>
      <c r="H194" s="636" t="s">
        <v>41</v>
      </c>
      <c r="I194" s="108">
        <f>VLOOKUP($A$7,'Manpower allocation'!A4:D11,4,FALSE)*100</f>
        <v>15</v>
      </c>
      <c r="Q194" s="52"/>
      <c r="R194" s="44"/>
    </row>
    <row r="195" spans="1:18" s="29" customFormat="1" ht="15.6">
      <c r="A195" s="592"/>
      <c r="B195" s="313"/>
      <c r="C195" s="305"/>
      <c r="D195" s="305"/>
      <c r="E195" s="305"/>
      <c r="F195" s="305"/>
      <c r="G195" s="314"/>
      <c r="H195" s="571"/>
      <c r="Q195" s="52"/>
      <c r="R195" s="44"/>
    </row>
    <row r="196" spans="1:18" s="29" customFormat="1" ht="46.8">
      <c r="A196" s="850" t="s">
        <v>0</v>
      </c>
      <c r="B196" s="851"/>
      <c r="C196" s="109"/>
      <c r="D196" s="545" t="s">
        <v>17</v>
      </c>
      <c r="E196" s="545" t="s">
        <v>124</v>
      </c>
      <c r="F196" s="545" t="s">
        <v>108</v>
      </c>
      <c r="G196" s="545" t="s">
        <v>18</v>
      </c>
      <c r="H196" s="545" t="s">
        <v>62</v>
      </c>
      <c r="Q196" s="52"/>
      <c r="R196" s="44"/>
    </row>
    <row r="197" spans="1:18" s="29" customFormat="1" ht="15.6">
      <c r="A197" s="105" t="s">
        <v>250</v>
      </c>
      <c r="B197" s="531" t="s">
        <v>618</v>
      </c>
      <c r="C197" s="106"/>
      <c r="D197" s="106"/>
      <c r="E197" s="106"/>
      <c r="F197" s="110"/>
      <c r="G197" s="111"/>
      <c r="H197" s="628"/>
      <c r="Q197" s="52"/>
      <c r="R197" s="44"/>
    </row>
    <row r="198" spans="1:18" s="29" customFormat="1" ht="15.6">
      <c r="A198" s="112">
        <v>1</v>
      </c>
      <c r="B198" s="112" t="s">
        <v>304</v>
      </c>
      <c r="C198" s="113"/>
      <c r="D198" s="114"/>
      <c r="E198" s="114"/>
      <c r="F198" s="114"/>
      <c r="G198" s="114"/>
      <c r="H198" s="637"/>
      <c r="Q198" s="52"/>
      <c r="R198" s="44"/>
    </row>
    <row r="199" spans="1:18" s="29" customFormat="1">
      <c r="A199" s="541">
        <v>1.1000000000000001</v>
      </c>
      <c r="B199" s="822" t="s">
        <v>271</v>
      </c>
      <c r="C199" s="824"/>
      <c r="D199" s="20">
        <f>VLOOKUP(A199,'Point Allocation'!$A$46:$J$55,MATCH(A7,'Point Allocation'!$A$46:$J$46,0),0)</f>
        <v>15</v>
      </c>
      <c r="E199" s="38"/>
      <c r="F199" s="38"/>
      <c r="G199" s="31">
        <f>MIN(IFERROR(F199/E199,0),100%)</f>
        <v>0</v>
      </c>
      <c r="H199" s="20">
        <f>D199*G199</f>
        <v>0</v>
      </c>
      <c r="Q199" s="52"/>
      <c r="R199" s="44"/>
    </row>
    <row r="200" spans="1:18" s="29" customFormat="1" ht="15.6">
      <c r="A200" s="115">
        <v>2</v>
      </c>
      <c r="B200" s="115" t="s">
        <v>305</v>
      </c>
      <c r="C200" s="116"/>
      <c r="D200" s="32"/>
      <c r="E200" s="33"/>
      <c r="F200" s="33"/>
      <c r="G200" s="34"/>
      <c r="H200" s="638"/>
      <c r="Q200" s="52"/>
      <c r="R200" s="44"/>
    </row>
    <row r="201" spans="1:18" s="29" customFormat="1" ht="33" customHeight="1">
      <c r="A201" s="544">
        <v>2.1</v>
      </c>
      <c r="B201" s="863" t="s">
        <v>251</v>
      </c>
      <c r="C201" s="864"/>
      <c r="D201" s="20">
        <f>VLOOKUP(A201,'Point Allocation'!$A$46:$J$55,MATCH(A7,'Point Allocation'!$A$46:$J$46,0),0)</f>
        <v>12</v>
      </c>
      <c r="E201" s="38"/>
      <c r="F201" s="38"/>
      <c r="G201" s="31">
        <f>MIN(IFERROR(F201/E201,0),100%)</f>
        <v>0</v>
      </c>
      <c r="H201" s="20">
        <f>D201*G201</f>
        <v>0</v>
      </c>
      <c r="Q201" s="52"/>
      <c r="R201" s="44"/>
    </row>
    <row r="202" spans="1:18" s="29" customFormat="1" ht="15.6">
      <c r="A202" s="112">
        <v>3</v>
      </c>
      <c r="B202" s="112" t="s">
        <v>309</v>
      </c>
      <c r="C202" s="117"/>
      <c r="D202" s="35"/>
      <c r="E202" s="35"/>
      <c r="F202" s="35"/>
      <c r="G202" s="34"/>
      <c r="H202" s="639"/>
      <c r="Q202" s="52"/>
      <c r="R202" s="44"/>
    </row>
    <row r="203" spans="1:18" s="29" customFormat="1">
      <c r="A203" s="540">
        <v>3.1</v>
      </c>
      <c r="B203" s="837" t="s">
        <v>400</v>
      </c>
      <c r="C203" s="838"/>
      <c r="D203" s="20">
        <f>VLOOKUP(A203,'Point Allocation'!$A$46:$J$55,MATCH(A7,'Point Allocation'!$A$46:$J$46,0),0)</f>
        <v>4</v>
      </c>
      <c r="E203" s="38"/>
      <c r="F203" s="38"/>
      <c r="G203" s="31">
        <f>MIN(IFERROR(F203/E203,0),100%)</f>
        <v>0</v>
      </c>
      <c r="H203" s="20">
        <f>D203*G203</f>
        <v>0</v>
      </c>
      <c r="Q203" s="52"/>
      <c r="R203" s="44"/>
    </row>
    <row r="204" spans="1:18" s="29" customFormat="1">
      <c r="A204" s="540">
        <v>3.2</v>
      </c>
      <c r="B204" s="837" t="s">
        <v>401</v>
      </c>
      <c r="C204" s="838"/>
      <c r="D204" s="20">
        <f>VLOOKUP(A204,'Point Allocation'!$A$46:$J$55,MATCH(A7,'Point Allocation'!$A$46:$J$46,0),0)</f>
        <v>4</v>
      </c>
      <c r="E204" s="165"/>
      <c r="F204" s="38"/>
      <c r="G204" s="31">
        <f>MIN(IFERROR(F204/E204,0),100%)</f>
        <v>0</v>
      </c>
      <c r="H204" s="20">
        <f>D204*G204</f>
        <v>0</v>
      </c>
      <c r="Q204" s="52"/>
      <c r="R204" s="44"/>
    </row>
    <row r="205" spans="1:18" s="29" customFormat="1">
      <c r="A205" s="543">
        <v>3.3</v>
      </c>
      <c r="B205" s="858" t="s">
        <v>161</v>
      </c>
      <c r="C205" s="859"/>
      <c r="D205" s="20">
        <f>VLOOKUP(A205,'Point Allocation'!$A$46:$J$55,MATCH(A7,'Point Allocation'!$A$46:$J$46,0),0)</f>
        <v>4</v>
      </c>
      <c r="E205" s="166"/>
      <c r="F205" s="537"/>
      <c r="G205" s="31">
        <f>MIN(IFERROR(F205/E205,0),100%)</f>
        <v>0</v>
      </c>
      <c r="H205" s="20">
        <f>D205*G205</f>
        <v>0</v>
      </c>
      <c r="Q205" s="52"/>
      <c r="R205" s="44"/>
    </row>
    <row r="206" spans="1:18" s="29" customFormat="1" ht="15.6">
      <c r="A206" s="592"/>
      <c r="B206" s="307"/>
      <c r="C206" s="305"/>
      <c r="D206" s="306" t="s">
        <v>6</v>
      </c>
      <c r="E206" s="283">
        <f>MAX(SUM(E199:E205),F206)</f>
        <v>0</v>
      </c>
      <c r="F206" s="283">
        <f>SUM(F199:F205)</f>
        <v>0</v>
      </c>
      <c r="G206" s="322">
        <f>IFERROR(MIN(F206/E206,100%),0)</f>
        <v>0</v>
      </c>
      <c r="H206" s="593">
        <f>IFERROR(SUM(H199:H205),0)</f>
        <v>0</v>
      </c>
      <c r="Q206" s="52"/>
      <c r="R206" s="44"/>
    </row>
    <row r="207" spans="1:18" s="29" customFormat="1" ht="15.6">
      <c r="A207" s="592"/>
      <c r="B207" s="320"/>
      <c r="C207" s="323"/>
      <c r="D207" s="324"/>
      <c r="E207" s="323"/>
      <c r="F207" s="323"/>
      <c r="G207" s="325"/>
      <c r="H207" s="317"/>
      <c r="Q207" s="52"/>
      <c r="R207" s="44"/>
    </row>
    <row r="208" spans="1:18" s="29" customFormat="1" ht="15.6">
      <c r="A208" s="850" t="s">
        <v>0</v>
      </c>
      <c r="B208" s="851"/>
      <c r="C208" s="860"/>
      <c r="D208" s="862" t="s">
        <v>4</v>
      </c>
      <c r="E208" s="862" t="s">
        <v>1</v>
      </c>
      <c r="F208" s="862"/>
      <c r="G208" s="881" t="s">
        <v>21</v>
      </c>
      <c r="H208" s="881" t="s">
        <v>62</v>
      </c>
      <c r="Q208" s="52"/>
      <c r="R208" s="44"/>
    </row>
    <row r="209" spans="1:18" s="29" customFormat="1" ht="30.75" customHeight="1">
      <c r="A209" s="852"/>
      <c r="B209" s="853"/>
      <c r="C209" s="861"/>
      <c r="D209" s="862"/>
      <c r="E209" s="545" t="s">
        <v>64</v>
      </c>
      <c r="F209" s="545" t="s">
        <v>65</v>
      </c>
      <c r="G209" s="881"/>
      <c r="H209" s="881"/>
      <c r="Q209" s="52"/>
      <c r="R209" s="44"/>
    </row>
    <row r="210" spans="1:18" s="29" customFormat="1" ht="15.6">
      <c r="A210" s="45" t="s">
        <v>253</v>
      </c>
      <c r="B210" s="45" t="s">
        <v>254</v>
      </c>
      <c r="C210" s="56"/>
      <c r="D210" s="56"/>
      <c r="E210" s="56"/>
      <c r="F210" s="57"/>
      <c r="G210" s="104"/>
      <c r="H210" s="624"/>
      <c r="Q210" s="52"/>
      <c r="R210" s="44"/>
    </row>
    <row r="211" spans="1:18" s="29" customFormat="1" ht="15.6">
      <c r="A211" s="118">
        <v>4</v>
      </c>
      <c r="B211" s="118" t="s">
        <v>307</v>
      </c>
      <c r="C211" s="116"/>
      <c r="D211" s="119"/>
      <c r="E211" s="120"/>
      <c r="F211" s="120"/>
      <c r="G211" s="121"/>
      <c r="H211" s="640"/>
      <c r="Q211" s="52"/>
      <c r="R211" s="44"/>
    </row>
    <row r="212" spans="1:18" s="29" customFormat="1">
      <c r="A212" s="541">
        <v>4.0999999999999996</v>
      </c>
      <c r="B212" s="822" t="s">
        <v>155</v>
      </c>
      <c r="C212" s="824"/>
      <c r="D212" s="5" t="s">
        <v>50</v>
      </c>
      <c r="E212" s="20" t="s">
        <v>49</v>
      </c>
      <c r="F212" s="20">
        <f>VLOOKUP(A212,'Point Allocation'!$A$46:$J$55,MATCH(A7,'Point Allocation'!$A$46:$J$46,0),0)</f>
        <v>1.5</v>
      </c>
      <c r="G212" s="553"/>
      <c r="H212" s="20">
        <f>IF(G212&gt;=80%,F212,0)</f>
        <v>0</v>
      </c>
      <c r="Q212" s="52"/>
      <c r="R212" s="44"/>
    </row>
    <row r="213" spans="1:18" s="29" customFormat="1">
      <c r="A213" s="541">
        <v>4.2</v>
      </c>
      <c r="B213" s="822" t="s">
        <v>152</v>
      </c>
      <c r="C213" s="824"/>
      <c r="D213" s="5" t="s">
        <v>50</v>
      </c>
      <c r="E213" s="20" t="s">
        <v>49</v>
      </c>
      <c r="F213" s="20">
        <f>VLOOKUP(A213,'Point Allocation'!$A$46:$J$55,MATCH(A7,'Point Allocation'!$A$46:$J$46,0),0)</f>
        <v>1.5</v>
      </c>
      <c r="G213" s="553"/>
      <c r="H213" s="20">
        <f>IF(G213&gt;=80%,F213,0)</f>
        <v>0</v>
      </c>
      <c r="Q213" s="52"/>
      <c r="R213" s="44"/>
    </row>
    <row r="214" spans="1:18" s="29" customFormat="1">
      <c r="A214" s="541">
        <v>4.3</v>
      </c>
      <c r="B214" s="822" t="s">
        <v>146</v>
      </c>
      <c r="C214" s="824"/>
      <c r="D214" s="5" t="s">
        <v>3</v>
      </c>
      <c r="E214" s="20" t="s">
        <v>49</v>
      </c>
      <c r="F214" s="20">
        <f>VLOOKUP(A214,'Point Allocation'!$A$46:$J$55,MATCH(A7,'Point Allocation'!$A$46:$J$46,0),0)</f>
        <v>1.5</v>
      </c>
      <c r="G214" s="553"/>
      <c r="H214" s="20">
        <f>IF(G214&gt;=80%,F214,0)</f>
        <v>0</v>
      </c>
      <c r="Q214" s="52"/>
      <c r="R214" s="44"/>
    </row>
    <row r="215" spans="1:18" s="29" customFormat="1">
      <c r="A215" s="542">
        <v>4.4000000000000004</v>
      </c>
      <c r="B215" s="848" t="s">
        <v>252</v>
      </c>
      <c r="C215" s="849"/>
      <c r="D215" s="5" t="s">
        <v>3</v>
      </c>
      <c r="E215" s="20" t="s">
        <v>49</v>
      </c>
      <c r="F215" s="20">
        <f>VLOOKUP(A215,'Point Allocation'!$A$46:$J$55,MATCH(A7,'Point Allocation'!$A$46:$J$46,0),0)</f>
        <v>1.5</v>
      </c>
      <c r="G215" s="553"/>
      <c r="H215" s="20">
        <f>IF(G215&gt;=80%,F215,0)</f>
        <v>0</v>
      </c>
      <c r="Q215" s="52"/>
      <c r="R215" s="44"/>
    </row>
    <row r="216" spans="1:18" s="29" customFormat="1" ht="15.6">
      <c r="A216" s="118">
        <v>5</v>
      </c>
      <c r="B216" s="118" t="s">
        <v>202</v>
      </c>
      <c r="C216" s="116"/>
      <c r="D216" s="122"/>
      <c r="E216" s="123"/>
      <c r="F216" s="123"/>
      <c r="G216" s="124"/>
      <c r="H216" s="641"/>
      <c r="Q216" s="52"/>
      <c r="R216" s="44"/>
    </row>
    <row r="217" spans="1:18" s="29" customFormat="1">
      <c r="A217" s="591">
        <v>5.0999999999999996</v>
      </c>
      <c r="B217" s="765"/>
      <c r="C217" s="847"/>
      <c r="D217" s="391"/>
      <c r="E217" s="537"/>
      <c r="F217" s="537"/>
      <c r="G217" s="553"/>
      <c r="H217" s="633">
        <f>IF(G217&gt;=80%,F217,IF(G217&lt;65%,0,E217))</f>
        <v>0</v>
      </c>
      <c r="Q217" s="52"/>
      <c r="R217" s="44"/>
    </row>
    <row r="218" spans="1:18" s="29" customFormat="1">
      <c r="A218" s="591">
        <v>5.2</v>
      </c>
      <c r="B218" s="765"/>
      <c r="C218" s="847"/>
      <c r="D218" s="391"/>
      <c r="E218" s="537"/>
      <c r="F218" s="537"/>
      <c r="G218" s="553"/>
      <c r="H218" s="633">
        <f>IF(G218&gt;=80%,F218,IF(G218&lt;65%,0,E218))</f>
        <v>0</v>
      </c>
      <c r="Q218" s="52"/>
      <c r="R218" s="44"/>
    </row>
    <row r="219" spans="1:18" s="29" customFormat="1">
      <c r="A219" s="591">
        <v>5.3</v>
      </c>
      <c r="B219" s="765"/>
      <c r="C219" s="847"/>
      <c r="D219" s="391"/>
      <c r="E219" s="537"/>
      <c r="F219" s="537"/>
      <c r="G219" s="553"/>
      <c r="H219" s="633">
        <f>IF(G219&gt;=80%,F219,IF(G219&lt;65%,0,E219))</f>
        <v>0</v>
      </c>
      <c r="Q219" s="52"/>
      <c r="R219" s="44"/>
    </row>
    <row r="220" spans="1:18" s="29" customFormat="1" ht="15.6">
      <c r="A220" s="592"/>
      <c r="B220" s="326"/>
      <c r="C220" s="326"/>
      <c r="D220" s="314"/>
      <c r="E220" s="314"/>
      <c r="F220" s="314"/>
      <c r="G220" s="312" t="s">
        <v>7</v>
      </c>
      <c r="H220" s="617">
        <f>IFERROR(SUM(H212:H215,H217:H219),0)</f>
        <v>0</v>
      </c>
      <c r="Q220" s="52"/>
      <c r="R220" s="44"/>
    </row>
    <row r="221" spans="1:18" s="29" customFormat="1">
      <c r="A221" s="592"/>
      <c r="B221" s="307"/>
      <c r="C221" s="305"/>
      <c r="D221" s="305"/>
      <c r="E221" s="305"/>
      <c r="F221" s="305"/>
      <c r="G221" s="314"/>
      <c r="H221" s="571"/>
      <c r="Q221" s="52"/>
      <c r="R221" s="44"/>
    </row>
    <row r="222" spans="1:18" s="29" customFormat="1" ht="15.6">
      <c r="A222" s="850" t="s">
        <v>0</v>
      </c>
      <c r="B222" s="851"/>
      <c r="C222" s="860"/>
      <c r="D222" s="881" t="s">
        <v>4</v>
      </c>
      <c r="E222" s="862" t="s">
        <v>1</v>
      </c>
      <c r="F222" s="862"/>
      <c r="G222" s="881" t="s">
        <v>21</v>
      </c>
      <c r="H222" s="881" t="s">
        <v>62</v>
      </c>
      <c r="Q222" s="52"/>
      <c r="R222" s="44"/>
    </row>
    <row r="223" spans="1:18" s="29" customFormat="1" ht="31.2">
      <c r="A223" s="852"/>
      <c r="B223" s="853"/>
      <c r="C223" s="861"/>
      <c r="D223" s="862"/>
      <c r="E223" s="545" t="s">
        <v>64</v>
      </c>
      <c r="F223" s="545" t="s">
        <v>65</v>
      </c>
      <c r="G223" s="881"/>
      <c r="H223" s="881"/>
      <c r="Q223" s="52"/>
      <c r="R223" s="44"/>
    </row>
    <row r="224" spans="1:18" s="29" customFormat="1" ht="15.6">
      <c r="A224" s="105" t="s">
        <v>255</v>
      </c>
      <c r="B224" s="105" t="s">
        <v>518</v>
      </c>
      <c r="C224" s="125"/>
      <c r="D224" s="126"/>
      <c r="E224" s="126"/>
      <c r="F224" s="127"/>
      <c r="G224" s="128"/>
      <c r="H224" s="127"/>
      <c r="Q224" s="52"/>
      <c r="R224" s="44"/>
    </row>
    <row r="225" spans="1:18" s="29" customFormat="1" ht="15.6">
      <c r="A225" s="625" t="s">
        <v>188</v>
      </c>
      <c r="B225" s="822" t="s">
        <v>256</v>
      </c>
      <c r="C225" s="824"/>
      <c r="D225" s="94" t="s">
        <v>2</v>
      </c>
      <c r="E225" s="94">
        <v>1</v>
      </c>
      <c r="F225" s="94">
        <v>2</v>
      </c>
      <c r="G225" s="65"/>
      <c r="H225" s="94">
        <f>IF(G225&gt;=80%,F225,IF(G225&lt;65%,0,E225))</f>
        <v>0</v>
      </c>
      <c r="J225" s="131"/>
      <c r="Q225" s="52"/>
      <c r="R225" s="44"/>
    </row>
    <row r="226" spans="1:18" s="29" customFormat="1">
      <c r="A226" s="575" t="s">
        <v>189</v>
      </c>
      <c r="B226" s="825" t="s">
        <v>619</v>
      </c>
      <c r="C226" s="827"/>
      <c r="D226" s="94" t="s">
        <v>50</v>
      </c>
      <c r="E226" s="94">
        <v>0.5</v>
      </c>
      <c r="F226" s="94">
        <v>1</v>
      </c>
      <c r="G226" s="65"/>
      <c r="H226" s="94">
        <f>IF(G226&gt;=80%,F226,IF(G226&lt;65%,0,E226))</f>
        <v>0</v>
      </c>
      <c r="Q226" s="52"/>
      <c r="R226" s="44"/>
    </row>
    <row r="227" spans="1:18" s="29" customFormat="1" ht="15.6">
      <c r="A227" s="592"/>
      <c r="B227" s="307"/>
      <c r="C227" s="305"/>
      <c r="D227" s="305"/>
      <c r="E227" s="305"/>
      <c r="F227" s="308"/>
      <c r="G227" s="312" t="s">
        <v>109</v>
      </c>
      <c r="H227" s="129">
        <f>IFERROR(SUM(H225:H226),0)</f>
        <v>0</v>
      </c>
      <c r="Q227" s="52"/>
      <c r="R227" s="44"/>
    </row>
    <row r="228" spans="1:18" s="29" customFormat="1">
      <c r="A228" s="592"/>
      <c r="B228" s="307"/>
      <c r="C228" s="305"/>
      <c r="D228" s="305"/>
      <c r="E228" s="305"/>
      <c r="F228" s="305"/>
      <c r="G228" s="314"/>
      <c r="H228" s="571"/>
      <c r="Q228" s="52"/>
      <c r="R228" s="44"/>
    </row>
    <row r="229" spans="1:18" s="29" customFormat="1" ht="15.6">
      <c r="A229" s="592"/>
      <c r="B229" s="307"/>
      <c r="C229" s="305"/>
      <c r="D229" s="305"/>
      <c r="E229" s="305"/>
      <c r="F229" s="305"/>
      <c r="G229" s="312" t="s">
        <v>110</v>
      </c>
      <c r="H229" s="129">
        <f>IFERROR(MIN(SUM(H206+H220+H227),G194),0)</f>
        <v>0</v>
      </c>
      <c r="Q229" s="52"/>
      <c r="R229" s="44"/>
    </row>
    <row r="230" spans="1:18" s="29" customFormat="1" ht="16.2" thickBot="1">
      <c r="A230" s="594"/>
      <c r="B230" s="361"/>
      <c r="C230" s="362"/>
      <c r="D230" s="362"/>
      <c r="E230" s="362"/>
      <c r="F230" s="362"/>
      <c r="G230" s="364"/>
      <c r="H230" s="606"/>
      <c r="Q230" s="52"/>
      <c r="R230" s="44"/>
    </row>
    <row r="231" spans="1:18" s="29" customFormat="1" ht="15.6">
      <c r="A231" s="642" t="s">
        <v>129</v>
      </c>
      <c r="B231" s="455"/>
      <c r="C231" s="455"/>
      <c r="D231" s="455"/>
      <c r="E231" s="455"/>
      <c r="F231" s="456" t="s">
        <v>42</v>
      </c>
      <c r="G231" s="457">
        <v>20</v>
      </c>
      <c r="H231" s="643" t="s">
        <v>41</v>
      </c>
      <c r="Q231" s="52"/>
      <c r="R231" s="44"/>
    </row>
    <row r="232" spans="1:18" s="29" customFormat="1" ht="15.6">
      <c r="A232" s="592"/>
      <c r="B232" s="329"/>
      <c r="C232" s="305"/>
      <c r="D232" s="305"/>
      <c r="E232" s="305"/>
      <c r="F232" s="305"/>
      <c r="G232" s="314"/>
      <c r="H232" s="571"/>
      <c r="Q232" s="52"/>
      <c r="R232" s="44"/>
    </row>
    <row r="233" spans="1:18" s="29" customFormat="1" ht="33" customHeight="1">
      <c r="A233" s="854" t="s">
        <v>0</v>
      </c>
      <c r="B233" s="855"/>
      <c r="C233" s="132"/>
      <c r="D233" s="132"/>
      <c r="E233" s="133" t="s">
        <v>4</v>
      </c>
      <c r="F233" s="133" t="s">
        <v>69</v>
      </c>
      <c r="G233" s="134" t="s">
        <v>21</v>
      </c>
      <c r="H233" s="644" t="s">
        <v>62</v>
      </c>
      <c r="Q233" s="52"/>
      <c r="R233" s="44"/>
    </row>
    <row r="234" spans="1:18" s="29" customFormat="1" ht="15.6">
      <c r="A234" s="105" t="s">
        <v>257</v>
      </c>
      <c r="B234" s="105" t="s">
        <v>258</v>
      </c>
      <c r="C234" s="106"/>
      <c r="D234" s="106"/>
      <c r="E234" s="106"/>
      <c r="F234" s="57"/>
      <c r="G234" s="135"/>
      <c r="H234" s="645"/>
      <c r="I234" s="130"/>
      <c r="Q234" s="52"/>
      <c r="R234" s="44"/>
    </row>
    <row r="235" spans="1:18" s="29" customFormat="1" ht="15.6">
      <c r="A235" s="591">
        <v>1.1000000000000001</v>
      </c>
      <c r="B235" s="816" t="s">
        <v>122</v>
      </c>
      <c r="C235" s="817"/>
      <c r="D235" s="818"/>
      <c r="E235" s="155"/>
      <c r="F235" s="136"/>
      <c r="G235" s="137"/>
      <c r="H235" s="547">
        <f t="shared" ref="H235:H240" si="5">F235*G235</f>
        <v>0</v>
      </c>
      <c r="Q235" s="52"/>
      <c r="R235" s="44"/>
    </row>
    <row r="236" spans="1:18" s="29" customFormat="1" ht="15.6">
      <c r="A236" s="589">
        <v>1.2</v>
      </c>
      <c r="B236" s="844" t="s">
        <v>123</v>
      </c>
      <c r="C236" s="845"/>
      <c r="D236" s="846"/>
      <c r="E236" s="155"/>
      <c r="F236" s="136"/>
      <c r="G236" s="137"/>
      <c r="H236" s="547">
        <f t="shared" si="5"/>
        <v>0</v>
      </c>
      <c r="Q236" s="52"/>
      <c r="R236" s="44"/>
    </row>
    <row r="237" spans="1:18" s="29" customFormat="1" ht="15.6">
      <c r="A237" s="591">
        <v>1.3</v>
      </c>
      <c r="B237" s="816" t="s">
        <v>114</v>
      </c>
      <c r="C237" s="817"/>
      <c r="D237" s="818"/>
      <c r="E237" s="155"/>
      <c r="F237" s="136"/>
      <c r="G237" s="137"/>
      <c r="H237" s="547">
        <f t="shared" si="5"/>
        <v>0</v>
      </c>
      <c r="Q237" s="52"/>
      <c r="R237" s="44"/>
    </row>
    <row r="238" spans="1:18" s="29" customFormat="1" ht="15.6">
      <c r="A238" s="591">
        <v>1.4</v>
      </c>
      <c r="B238" s="816" t="s">
        <v>282</v>
      </c>
      <c r="C238" s="817"/>
      <c r="D238" s="818"/>
      <c r="E238" s="155"/>
      <c r="F238" s="136"/>
      <c r="G238" s="137"/>
      <c r="H238" s="547">
        <f t="shared" si="5"/>
        <v>0</v>
      </c>
      <c r="Q238" s="52"/>
      <c r="R238" s="44"/>
    </row>
    <row r="239" spans="1:18" s="29" customFormat="1" ht="15.6">
      <c r="A239" s="591">
        <v>1.5</v>
      </c>
      <c r="B239" s="816"/>
      <c r="C239" s="817"/>
      <c r="D239" s="818"/>
      <c r="E239" s="155"/>
      <c r="F239" s="136"/>
      <c r="G239" s="137"/>
      <c r="H239" s="547">
        <f t="shared" si="5"/>
        <v>0</v>
      </c>
      <c r="Q239" s="52"/>
      <c r="R239" s="44"/>
    </row>
    <row r="240" spans="1:18" s="29" customFormat="1" ht="15.6">
      <c r="A240" s="591">
        <v>1.6</v>
      </c>
      <c r="B240" s="816"/>
      <c r="C240" s="817"/>
      <c r="D240" s="818"/>
      <c r="E240" s="155"/>
      <c r="F240" s="136"/>
      <c r="G240" s="137"/>
      <c r="H240" s="547">
        <f t="shared" si="5"/>
        <v>0</v>
      </c>
      <c r="Q240" s="52"/>
      <c r="R240" s="44"/>
    </row>
    <row r="241" spans="1:18" s="29" customFormat="1" ht="15.6">
      <c r="A241" s="105" t="s">
        <v>260</v>
      </c>
      <c r="B241" s="105" t="s">
        <v>259</v>
      </c>
      <c r="C241" s="106"/>
      <c r="D241" s="106"/>
      <c r="E241" s="106"/>
      <c r="F241" s="57"/>
      <c r="G241" s="135"/>
      <c r="H241" s="645"/>
      <c r="Q241" s="52"/>
      <c r="R241" s="44"/>
    </row>
    <row r="242" spans="1:18" s="29" customFormat="1" ht="30.6" customHeight="1">
      <c r="A242" s="620">
        <v>2.1</v>
      </c>
      <c r="B242" s="825" t="s">
        <v>620</v>
      </c>
      <c r="C242" s="842"/>
      <c r="D242" s="843"/>
      <c r="E242" s="148" t="s">
        <v>367</v>
      </c>
      <c r="F242" s="389">
        <v>2</v>
      </c>
      <c r="G242" s="390"/>
      <c r="H242" s="547">
        <f>IFERROR(VLOOKUP(E242,J243:K246,2,FALSE),0)</f>
        <v>0</v>
      </c>
      <c r="J242" s="29" t="s">
        <v>367</v>
      </c>
      <c r="K242" s="29">
        <v>0</v>
      </c>
      <c r="Q242" s="52"/>
      <c r="R242" s="44"/>
    </row>
    <row r="243" spans="1:18" s="29" customFormat="1" ht="15.6">
      <c r="A243" s="592"/>
      <c r="B243" s="304"/>
      <c r="C243" s="305"/>
      <c r="D243" s="305"/>
      <c r="E243" s="305"/>
      <c r="F243" s="305"/>
      <c r="G243" s="312" t="s">
        <v>130</v>
      </c>
      <c r="H243" s="138">
        <f>IFERROR(MIN(SUM(H235:H242),G231),0)</f>
        <v>0</v>
      </c>
      <c r="J243" s="29" t="s">
        <v>363</v>
      </c>
      <c r="K243" s="29">
        <v>2</v>
      </c>
      <c r="Q243" s="44"/>
      <c r="R243" s="44"/>
    </row>
    <row r="244" spans="1:18" s="29" customFormat="1">
      <c r="A244" s="592"/>
      <c r="B244" s="307"/>
      <c r="C244" s="305"/>
      <c r="D244" s="305"/>
      <c r="E244" s="305"/>
      <c r="F244" s="305"/>
      <c r="G244" s="314"/>
      <c r="H244" s="571"/>
      <c r="J244" s="29" t="s">
        <v>364</v>
      </c>
      <c r="K244" s="29">
        <v>2</v>
      </c>
      <c r="Q244" s="44"/>
      <c r="R244" s="44"/>
    </row>
    <row r="245" spans="1:18" s="29" customFormat="1" ht="15.6">
      <c r="A245" s="592"/>
      <c r="B245" s="307"/>
      <c r="C245" s="305"/>
      <c r="D245" s="305"/>
      <c r="E245" s="305"/>
      <c r="F245" s="305"/>
      <c r="G245" s="312" t="s">
        <v>68</v>
      </c>
      <c r="H245" s="617">
        <f>IFERROR(H89+H192+H229+H243,0)</f>
        <v>0</v>
      </c>
      <c r="J245" s="29" t="s">
        <v>365</v>
      </c>
      <c r="K245" s="29">
        <v>2</v>
      </c>
      <c r="Q245" s="44"/>
      <c r="R245" s="44"/>
    </row>
    <row r="246" spans="1:18" s="29" customFormat="1">
      <c r="A246" s="592"/>
      <c r="B246" s="307"/>
      <c r="C246" s="305"/>
      <c r="D246" s="305"/>
      <c r="E246" s="305"/>
      <c r="F246" s="305"/>
      <c r="G246" s="314"/>
      <c r="H246" s="571"/>
      <c r="J246" s="29" t="s">
        <v>366</v>
      </c>
      <c r="K246" s="29">
        <v>2</v>
      </c>
      <c r="Q246" s="52"/>
      <c r="R246" s="44"/>
    </row>
    <row r="247" spans="1:18" s="29" customFormat="1" ht="15.75" customHeight="1">
      <c r="A247" s="592"/>
      <c r="B247" s="327" t="s">
        <v>37</v>
      </c>
      <c r="C247" s="314"/>
      <c r="D247" s="809" t="s">
        <v>372</v>
      </c>
      <c r="E247" s="809"/>
      <c r="F247" s="809"/>
      <c r="G247" s="314"/>
      <c r="H247" s="646"/>
      <c r="Q247" s="52"/>
      <c r="R247" s="44"/>
    </row>
    <row r="248" spans="1:18" s="29" customFormat="1" ht="15.6">
      <c r="A248" s="592"/>
      <c r="B248" s="328"/>
      <c r="C248" s="314"/>
      <c r="D248" s="809"/>
      <c r="E248" s="809"/>
      <c r="F248" s="809"/>
      <c r="G248" s="314"/>
      <c r="H248" s="646"/>
      <c r="Q248" s="52"/>
      <c r="R248" s="44"/>
    </row>
    <row r="249" spans="1:18" s="29" customFormat="1" ht="15.6">
      <c r="A249" s="647" t="s">
        <v>261</v>
      </c>
      <c r="B249" s="328" t="s">
        <v>99</v>
      </c>
      <c r="C249" s="347">
        <f>IFERROR(SUM(G32+G35+G37+G38+G47+G50),0)</f>
        <v>0</v>
      </c>
      <c r="D249" s="314" t="s">
        <v>265</v>
      </c>
      <c r="E249" s="137"/>
      <c r="F249" s="314" t="s">
        <v>266</v>
      </c>
      <c r="G249" s="139">
        <f>MIN(IFERROR(SUM(C249+E249),0),100%)</f>
        <v>0</v>
      </c>
      <c r="H249" s="571"/>
      <c r="L249" s="52"/>
      <c r="M249" s="44"/>
    </row>
    <row r="250" spans="1:18" s="29" customFormat="1" ht="15.6">
      <c r="A250" s="647" t="s">
        <v>262</v>
      </c>
      <c r="B250" s="328" t="s">
        <v>100</v>
      </c>
      <c r="C250" s="347">
        <f>IFERROR(SUM(F19+G96+G98+G100+G103+G106+G107+G108+G109+G110),0)</f>
        <v>0</v>
      </c>
      <c r="D250" s="314" t="s">
        <v>265</v>
      </c>
      <c r="E250" s="137"/>
      <c r="F250" s="314" t="s">
        <v>266</v>
      </c>
      <c r="G250" s="139">
        <f>MIN(IFERROR(SUM(C250+E250),0),100%)</f>
        <v>0</v>
      </c>
      <c r="H250" s="571"/>
      <c r="L250" s="52"/>
      <c r="M250" s="44"/>
    </row>
    <row r="251" spans="1:18" s="29" customFormat="1" ht="15.6">
      <c r="A251" s="647" t="s">
        <v>263</v>
      </c>
      <c r="B251" s="328" t="s">
        <v>101</v>
      </c>
      <c r="C251" s="347">
        <f>IFERROR(G206,0)</f>
        <v>0</v>
      </c>
      <c r="D251" s="314" t="s">
        <v>265</v>
      </c>
      <c r="E251" s="137"/>
      <c r="F251" s="286" t="s">
        <v>266</v>
      </c>
      <c r="G251" s="139">
        <f>MIN(IFERROR(SUM(C251+E251),0),100%)</f>
        <v>0</v>
      </c>
      <c r="H251" s="562"/>
      <c r="I251" s="3"/>
      <c r="J251" s="3"/>
      <c r="K251" s="3"/>
      <c r="L251" s="52"/>
      <c r="M251" s="44"/>
    </row>
    <row r="252" spans="1:18" s="29" customFormat="1">
      <c r="A252" s="622"/>
      <c r="B252" s="320"/>
      <c r="C252" s="323"/>
      <c r="D252" s="323"/>
      <c r="E252" s="323"/>
      <c r="F252" s="323"/>
      <c r="G252" s="648"/>
      <c r="H252" s="649"/>
      <c r="J252" s="3"/>
      <c r="K252" s="3"/>
      <c r="L252" s="3"/>
      <c r="M252" s="3"/>
      <c r="N252" s="3"/>
      <c r="O252" s="3"/>
      <c r="P252" s="3"/>
      <c r="Q252" s="52"/>
      <c r="R252" s="44"/>
    </row>
    <row r="253" spans="1:18" s="29" customFormat="1">
      <c r="A253" s="161"/>
      <c r="B253" s="3"/>
      <c r="C253" s="3"/>
      <c r="D253" s="3"/>
      <c r="E253" s="3"/>
      <c r="F253" s="3"/>
      <c r="G253" s="10"/>
      <c r="H253" s="3"/>
      <c r="J253" s="3"/>
      <c r="K253" s="3"/>
      <c r="L253" s="3"/>
      <c r="M253" s="3"/>
      <c r="N253" s="3"/>
      <c r="O253" s="3"/>
      <c r="P253" s="3"/>
      <c r="Q253" s="52"/>
      <c r="R253" s="44"/>
    </row>
    <row r="254" spans="1:18" s="29" customFormat="1">
      <c r="A254" s="161"/>
      <c r="B254" s="3"/>
      <c r="C254" s="3"/>
      <c r="D254" s="3"/>
      <c r="E254" s="3"/>
      <c r="F254" s="3"/>
      <c r="G254" s="10"/>
      <c r="H254" s="3"/>
      <c r="J254" s="3"/>
      <c r="K254" s="3"/>
      <c r="L254" s="3"/>
      <c r="M254" s="3"/>
      <c r="N254" s="3"/>
      <c r="O254" s="3"/>
      <c r="P254" s="3"/>
      <c r="Q254" s="52"/>
      <c r="R254" s="44"/>
    </row>
    <row r="255" spans="1:18" s="29" customFormat="1">
      <c r="A255" s="161"/>
      <c r="B255" s="3"/>
      <c r="C255" s="3"/>
      <c r="D255" s="3"/>
      <c r="E255" s="3"/>
      <c r="F255" s="3"/>
      <c r="G255" s="10"/>
      <c r="H255" s="3"/>
      <c r="J255" s="3"/>
      <c r="K255" s="3"/>
      <c r="L255" s="3"/>
      <c r="M255" s="3"/>
      <c r="N255" s="3"/>
      <c r="O255" s="3"/>
      <c r="P255" s="3"/>
      <c r="Q255" s="52"/>
      <c r="R255" s="44"/>
    </row>
    <row r="256" spans="1:18" s="29" customFormat="1">
      <c r="A256" s="161"/>
      <c r="B256" s="3"/>
      <c r="C256" s="3"/>
      <c r="D256" s="3"/>
      <c r="E256" s="3"/>
      <c r="F256" s="3"/>
      <c r="G256" s="10"/>
      <c r="H256" s="3"/>
      <c r="J256" s="3"/>
      <c r="K256" s="3"/>
      <c r="L256" s="3"/>
      <c r="M256" s="3"/>
      <c r="N256" s="3"/>
      <c r="O256" s="3"/>
      <c r="P256" s="3"/>
      <c r="Q256" s="44"/>
      <c r="R256" s="44"/>
    </row>
    <row r="257" spans="1:18" s="29" customFormat="1">
      <c r="A257" s="161"/>
      <c r="B257" s="3"/>
      <c r="C257" s="3"/>
      <c r="D257" s="3"/>
      <c r="E257" s="3"/>
      <c r="F257" s="3"/>
      <c r="G257" s="10"/>
      <c r="H257" s="3"/>
      <c r="J257" s="3"/>
      <c r="K257" s="3"/>
      <c r="L257" s="3"/>
      <c r="M257" s="3"/>
      <c r="N257" s="3"/>
      <c r="O257" s="3"/>
      <c r="P257" s="3"/>
      <c r="Q257" s="44"/>
      <c r="R257" s="44"/>
    </row>
    <row r="258" spans="1:18" s="29" customFormat="1">
      <c r="A258" s="161"/>
      <c r="B258" s="3"/>
      <c r="C258" s="3"/>
      <c r="D258" s="3"/>
      <c r="E258" s="3"/>
      <c r="F258" s="3"/>
      <c r="G258" s="10"/>
      <c r="H258" s="3"/>
      <c r="J258" s="3"/>
      <c r="K258" s="3"/>
      <c r="L258" s="3"/>
      <c r="M258" s="3"/>
      <c r="N258" s="3"/>
      <c r="O258" s="3"/>
      <c r="P258" s="3"/>
      <c r="Q258" s="44"/>
      <c r="R258" s="44"/>
    </row>
    <row r="259" spans="1:18" s="29" customFormat="1">
      <c r="A259" s="161"/>
      <c r="B259" s="3"/>
      <c r="C259" s="3"/>
      <c r="D259" s="3"/>
      <c r="E259" s="3"/>
      <c r="F259" s="3"/>
      <c r="G259" s="10"/>
      <c r="H259" s="3"/>
      <c r="J259" s="3"/>
      <c r="K259" s="3"/>
      <c r="L259" s="3"/>
      <c r="M259" s="3"/>
      <c r="N259" s="3"/>
      <c r="O259" s="3"/>
      <c r="P259" s="3"/>
      <c r="Q259" s="44"/>
      <c r="R259" s="44"/>
    </row>
  </sheetData>
  <sheetProtection algorithmName="SHA-512" hashValue="w8MFXgMIZR9i1eEUpUHxuWtAa2aAMn4pxbL3qKW0x5yh0GeLXTxqdlts4zMU/0z645CZBjCidwPgOpGJkBY9IQ==" saltValue="guplbu4A0gMpQ3s2mYXvsA==" spinCount="100000" sheet="1" selectLockedCells="1"/>
  <mergeCells count="236">
    <mergeCell ref="A38:A39"/>
    <mergeCell ref="B38:D39"/>
    <mergeCell ref="B22:C22"/>
    <mergeCell ref="A4:B4"/>
    <mergeCell ref="D7:G7"/>
    <mergeCell ref="A7:B7"/>
    <mergeCell ref="D11:D12"/>
    <mergeCell ref="E11:E12"/>
    <mergeCell ref="F11:F12"/>
    <mergeCell ref="B14:C14"/>
    <mergeCell ref="B15:C15"/>
    <mergeCell ref="B16:C16"/>
    <mergeCell ref="A11:B12"/>
    <mergeCell ref="B17:C17"/>
    <mergeCell ref="B19:C19"/>
    <mergeCell ref="B20:C20"/>
    <mergeCell ref="B21:C21"/>
    <mergeCell ref="E38:E39"/>
    <mergeCell ref="B23:C23"/>
    <mergeCell ref="B24:C24"/>
    <mergeCell ref="B25:C25"/>
    <mergeCell ref="A32:A33"/>
    <mergeCell ref="E32:E33"/>
    <mergeCell ref="F32:F33"/>
    <mergeCell ref="B53:D53"/>
    <mergeCell ref="B37:D37"/>
    <mergeCell ref="B41:D41"/>
    <mergeCell ref="B67:C67"/>
    <mergeCell ref="B69:C69"/>
    <mergeCell ref="B66:C66"/>
    <mergeCell ref="B54:D54"/>
    <mergeCell ref="B56:D56"/>
    <mergeCell ref="B57:D57"/>
    <mergeCell ref="B44:D44"/>
    <mergeCell ref="B179:C179"/>
    <mergeCell ref="B180:C180"/>
    <mergeCell ref="B32:D32"/>
    <mergeCell ref="B50:D50"/>
    <mergeCell ref="B40:D40"/>
    <mergeCell ref="B35:D35"/>
    <mergeCell ref="B65:C65"/>
    <mergeCell ref="B103:D103"/>
    <mergeCell ref="B104:D104"/>
    <mergeCell ref="B64:C64"/>
    <mergeCell ref="B96:D96"/>
    <mergeCell ref="B99:D99"/>
    <mergeCell ref="B68:C68"/>
    <mergeCell ref="B81:C81"/>
    <mergeCell ref="B70:C70"/>
    <mergeCell ref="B71:C71"/>
    <mergeCell ref="B73:C73"/>
    <mergeCell ref="B77:C77"/>
    <mergeCell ref="B79:C79"/>
    <mergeCell ref="B74:C74"/>
    <mergeCell ref="B85:C85"/>
    <mergeCell ref="B86:C86"/>
    <mergeCell ref="B58:D58"/>
    <mergeCell ref="A61:B62"/>
    <mergeCell ref="H151:H152"/>
    <mergeCell ref="B155:C155"/>
    <mergeCell ref="B156:C156"/>
    <mergeCell ref="B157:C157"/>
    <mergeCell ref="B158:C158"/>
    <mergeCell ref="A160:A161"/>
    <mergeCell ref="A98:A99"/>
    <mergeCell ref="B98:D98"/>
    <mergeCell ref="E98:E99"/>
    <mergeCell ref="F98:F99"/>
    <mergeCell ref="B101:D101"/>
    <mergeCell ref="B108:D108"/>
    <mergeCell ref="G98:G99"/>
    <mergeCell ref="H98:H99"/>
    <mergeCell ref="B134:C134"/>
    <mergeCell ref="B135:C135"/>
    <mergeCell ref="B110:D110"/>
    <mergeCell ref="B114:D114"/>
    <mergeCell ref="B113:D113"/>
    <mergeCell ref="B109:D109"/>
    <mergeCell ref="B127:C127"/>
    <mergeCell ref="A100:A101"/>
    <mergeCell ref="B100:D100"/>
    <mergeCell ref="E100:E101"/>
    <mergeCell ref="A176:A177"/>
    <mergeCell ref="B176:C176"/>
    <mergeCell ref="D176:D177"/>
    <mergeCell ref="E176:E177"/>
    <mergeCell ref="F176:F177"/>
    <mergeCell ref="G176:G177"/>
    <mergeCell ref="H176:H177"/>
    <mergeCell ref="B177:C177"/>
    <mergeCell ref="B129:C129"/>
    <mergeCell ref="A131:A132"/>
    <mergeCell ref="B131:C131"/>
    <mergeCell ref="D131:D132"/>
    <mergeCell ref="E131:E132"/>
    <mergeCell ref="F131:F132"/>
    <mergeCell ref="G131:G132"/>
    <mergeCell ref="D147:D148"/>
    <mergeCell ref="E147:E148"/>
    <mergeCell ref="F147:G147"/>
    <mergeCell ref="F148:G148"/>
    <mergeCell ref="A151:B152"/>
    <mergeCell ref="C151:C152"/>
    <mergeCell ref="D151:D152"/>
    <mergeCell ref="E151:F151"/>
    <mergeCell ref="G151:G152"/>
    <mergeCell ref="G208:G209"/>
    <mergeCell ref="H208:H209"/>
    <mergeCell ref="B212:C212"/>
    <mergeCell ref="B213:C213"/>
    <mergeCell ref="B214:C214"/>
    <mergeCell ref="B215:C215"/>
    <mergeCell ref="B218:C218"/>
    <mergeCell ref="B219:C219"/>
    <mergeCell ref="A222:B223"/>
    <mergeCell ref="C222:C223"/>
    <mergeCell ref="D222:D223"/>
    <mergeCell ref="E222:F222"/>
    <mergeCell ref="G222:G223"/>
    <mergeCell ref="H222:H223"/>
    <mergeCell ref="B217:C217"/>
    <mergeCell ref="H100:H101"/>
    <mergeCell ref="A103:A104"/>
    <mergeCell ref="E103:E104"/>
    <mergeCell ref="F103:F104"/>
    <mergeCell ref="G103:G104"/>
    <mergeCell ref="H103:H104"/>
    <mergeCell ref="G32:G33"/>
    <mergeCell ref="H32:H33"/>
    <mergeCell ref="B33:D33"/>
    <mergeCell ref="G61:G62"/>
    <mergeCell ref="H61:H62"/>
    <mergeCell ref="D69:D72"/>
    <mergeCell ref="B72:C72"/>
    <mergeCell ref="E74:F74"/>
    <mergeCell ref="B76:C76"/>
    <mergeCell ref="H38:H39"/>
    <mergeCell ref="E40:E45"/>
    <mergeCell ref="H40:H45"/>
    <mergeCell ref="B43:D43"/>
    <mergeCell ref="B48:D48"/>
    <mergeCell ref="B49:D49"/>
    <mergeCell ref="B42:D42"/>
    <mergeCell ref="B47:D47"/>
    <mergeCell ref="B45:D45"/>
    <mergeCell ref="A127:A128"/>
    <mergeCell ref="D127:D128"/>
    <mergeCell ref="B78:C78"/>
    <mergeCell ref="B82:C82"/>
    <mergeCell ref="B84:C84"/>
    <mergeCell ref="E61:F61"/>
    <mergeCell ref="D61:D62"/>
    <mergeCell ref="F100:F101"/>
    <mergeCell ref="G100:G101"/>
    <mergeCell ref="E127:E128"/>
    <mergeCell ref="F127:F128"/>
    <mergeCell ref="G127:G128"/>
    <mergeCell ref="H127:H128"/>
    <mergeCell ref="B128:C128"/>
    <mergeCell ref="Q106:Q107"/>
    <mergeCell ref="H131:H132"/>
    <mergeCell ref="B132:C132"/>
    <mergeCell ref="B138:C138"/>
    <mergeCell ref="B106:D106"/>
    <mergeCell ref="B107:D107"/>
    <mergeCell ref="B115:D115"/>
    <mergeCell ref="B117:D117"/>
    <mergeCell ref="B118:D118"/>
    <mergeCell ref="B119:D119"/>
    <mergeCell ref="B125:C125"/>
    <mergeCell ref="B139:C139"/>
    <mergeCell ref="B140:C140"/>
    <mergeCell ref="B141:C141"/>
    <mergeCell ref="B142:C142"/>
    <mergeCell ref="A145:B145"/>
    <mergeCell ref="F145:G145"/>
    <mergeCell ref="B160:C161"/>
    <mergeCell ref="E160:F160"/>
    <mergeCell ref="G160:G161"/>
    <mergeCell ref="B159:C159"/>
    <mergeCell ref="H160:H161"/>
    <mergeCell ref="E161:F161"/>
    <mergeCell ref="A162:A165"/>
    <mergeCell ref="B162:C165"/>
    <mergeCell ref="E162:F162"/>
    <mergeCell ref="G162:G165"/>
    <mergeCell ref="H162:H165"/>
    <mergeCell ref="E163:F163"/>
    <mergeCell ref="E164:F164"/>
    <mergeCell ref="E165:F165"/>
    <mergeCell ref="B166:C167"/>
    <mergeCell ref="B170:C170"/>
    <mergeCell ref="A174:A175"/>
    <mergeCell ref="B174:C174"/>
    <mergeCell ref="D174:D175"/>
    <mergeCell ref="E174:E175"/>
    <mergeCell ref="F174:F175"/>
    <mergeCell ref="G174:G175"/>
    <mergeCell ref="H174:H175"/>
    <mergeCell ref="B175:C175"/>
    <mergeCell ref="B172:C172"/>
    <mergeCell ref="B171:C171"/>
    <mergeCell ref="A166:A167"/>
    <mergeCell ref="B169:C169"/>
    <mergeCell ref="B181:C181"/>
    <mergeCell ref="A184:B185"/>
    <mergeCell ref="C184:C185"/>
    <mergeCell ref="D184:D185"/>
    <mergeCell ref="E184:F184"/>
    <mergeCell ref="G184:G185"/>
    <mergeCell ref="H184:H185"/>
    <mergeCell ref="B187:C187"/>
    <mergeCell ref="B188:C188"/>
    <mergeCell ref="B189:C189"/>
    <mergeCell ref="E189:F189"/>
    <mergeCell ref="A196:B196"/>
    <mergeCell ref="B199:C199"/>
    <mergeCell ref="B201:C201"/>
    <mergeCell ref="A208:B209"/>
    <mergeCell ref="C208:C209"/>
    <mergeCell ref="D208:D209"/>
    <mergeCell ref="E208:F208"/>
    <mergeCell ref="B204:C204"/>
    <mergeCell ref="B205:C205"/>
    <mergeCell ref="B203:C203"/>
    <mergeCell ref="B242:D242"/>
    <mergeCell ref="D247:F248"/>
    <mergeCell ref="B225:C225"/>
    <mergeCell ref="B226:C226"/>
    <mergeCell ref="A233:B233"/>
    <mergeCell ref="B235:D235"/>
    <mergeCell ref="B236:D236"/>
    <mergeCell ref="B237:D237"/>
    <mergeCell ref="B238:D238"/>
    <mergeCell ref="B239:D239"/>
    <mergeCell ref="B240:D240"/>
  </mergeCells>
  <dataValidations count="3">
    <dataValidation type="list" allowBlank="1" showInputMessage="1" showErrorMessage="1" sqref="E242" xr:uid="{DEACC572-A961-4E5E-A0A7-21DFE9F5416E}">
      <formula1>$J$242:$J$246</formula1>
    </dataValidation>
    <dataValidation type="list" allowBlank="1" showInputMessage="1" showErrorMessage="1" sqref="F148:G148" xr:uid="{AC6D61BF-E834-497E-8433-0D79CA8604AF}">
      <formula1>$K$145:$P$145</formula1>
    </dataValidation>
    <dataValidation type="list" allowBlank="1" showInputMessage="1" showErrorMessage="1" sqref="A7:B7" xr:uid="{63C1C112-8ABF-4763-A077-9770B5C54A82}">
      <formula1>$J$1:$J$6</formula1>
    </dataValidation>
  </dataValidations>
  <pageMargins left="0.25" right="0.25" top="0.75" bottom="0.75" header="0.3" footer="0.3"/>
  <pageSetup paperSize="9" scale="55" fitToHeight="4" orientation="portrait" r:id="rId1"/>
  <headerFooter>
    <oddFooter>&amp;F</oddFooter>
  </headerFooter>
  <rowBreaks count="3" manualBreakCount="3">
    <brk id="60" max="7" man="1"/>
    <brk id="121" max="7" man="1"/>
    <brk id="183" max="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R259"/>
  <sheetViews>
    <sheetView zoomScale="80" zoomScaleNormal="80" zoomScaleSheetLayoutView="100" workbookViewId="0">
      <selection activeCell="A7" sqref="A7:B7"/>
    </sheetView>
  </sheetViews>
  <sheetFormatPr defaultColWidth="9.109375" defaultRowHeight="15"/>
  <cols>
    <col min="1" max="1" width="7" style="160"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29" style="3" hidden="1" customWidth="1"/>
    <col min="10" max="10" width="45.6640625" style="3" hidden="1" customWidth="1"/>
    <col min="11" max="15" width="9.109375" style="3" hidden="1" customWidth="1"/>
    <col min="16" max="16" width="9.6640625" style="3" hidden="1" customWidth="1"/>
    <col min="17" max="17" width="9.109375" style="3" customWidth="1"/>
    <col min="18" max="16384" width="9.109375" style="3"/>
  </cols>
  <sheetData>
    <row r="1" spans="1:15" ht="15.6">
      <c r="A1" s="558" t="s">
        <v>89</v>
      </c>
      <c r="B1" s="559"/>
      <c r="C1" s="559"/>
      <c r="D1" s="559"/>
      <c r="E1" s="559"/>
      <c r="F1" s="559"/>
      <c r="G1" s="559"/>
      <c r="H1" s="560"/>
      <c r="J1" s="3" t="s">
        <v>40</v>
      </c>
    </row>
    <row r="2" spans="1:15">
      <c r="A2" s="561"/>
      <c r="B2" s="264"/>
      <c r="C2" s="264"/>
      <c r="D2" s="264"/>
      <c r="E2" s="264"/>
      <c r="F2" s="264"/>
      <c r="G2" s="265"/>
      <c r="H2" s="562"/>
      <c r="I2" s="6"/>
      <c r="J2" s="6" t="s">
        <v>384</v>
      </c>
    </row>
    <row r="3" spans="1:15" ht="15.6">
      <c r="A3" s="563" t="s">
        <v>336</v>
      </c>
      <c r="B3" s="264"/>
      <c r="C3" s="264"/>
      <c r="D3" s="331" t="s">
        <v>134</v>
      </c>
      <c r="E3" s="331" t="s">
        <v>135</v>
      </c>
      <c r="F3" s="331" t="s">
        <v>136</v>
      </c>
      <c r="G3" s="289" t="s">
        <v>104</v>
      </c>
      <c r="H3" s="564" t="s">
        <v>62</v>
      </c>
      <c r="I3" s="6"/>
      <c r="J3" s="6" t="s">
        <v>44</v>
      </c>
    </row>
    <row r="4" spans="1:15" ht="15.6">
      <c r="A4" s="966">
        <f>Summary!A6</f>
        <v>0</v>
      </c>
      <c r="B4" s="967"/>
      <c r="C4" s="264"/>
      <c r="D4" s="74">
        <f>H89</f>
        <v>0</v>
      </c>
      <c r="E4" s="154">
        <f>H192</f>
        <v>0</v>
      </c>
      <c r="F4" s="129">
        <f>H229</f>
        <v>0</v>
      </c>
      <c r="G4" s="138">
        <f>H243</f>
        <v>0</v>
      </c>
      <c r="H4" s="565">
        <f>H245</f>
        <v>0</v>
      </c>
      <c r="I4" s="6"/>
      <c r="J4" s="6" t="s">
        <v>15</v>
      </c>
    </row>
    <row r="5" spans="1:15">
      <c r="A5" s="561"/>
      <c r="B5" s="264"/>
      <c r="C5" s="264"/>
      <c r="D5" s="264"/>
      <c r="E5" s="264"/>
      <c r="F5" s="264"/>
      <c r="G5" s="265"/>
      <c r="H5" s="562"/>
      <c r="I5" s="6"/>
      <c r="J5" s="6" t="s">
        <v>16</v>
      </c>
    </row>
    <row r="6" spans="1:15" s="4" customFormat="1" ht="15.6">
      <c r="A6" s="563" t="s">
        <v>90</v>
      </c>
      <c r="B6" s="296"/>
      <c r="C6" s="296"/>
      <c r="D6" s="297" t="s">
        <v>35</v>
      </c>
      <c r="E6" s="264"/>
      <c r="F6" s="264"/>
      <c r="G6" s="265"/>
      <c r="H6" s="562"/>
      <c r="I6" s="6"/>
      <c r="J6" s="6" t="s">
        <v>383</v>
      </c>
      <c r="K6" s="3"/>
      <c r="L6" s="3"/>
      <c r="M6" s="3"/>
    </row>
    <row r="7" spans="1:15" ht="15.75" customHeight="1">
      <c r="A7" s="976" t="s">
        <v>384</v>
      </c>
      <c r="B7" s="977"/>
      <c r="D7" s="761">
        <f>Summary!A102</f>
        <v>0</v>
      </c>
      <c r="E7" s="779"/>
      <c r="F7" s="779"/>
      <c r="G7" s="780"/>
      <c r="H7" s="566"/>
      <c r="I7" s="29"/>
      <c r="J7" s="29" t="s">
        <v>382</v>
      </c>
    </row>
    <row r="8" spans="1:15" ht="15.6" thickBot="1">
      <c r="A8" s="561"/>
      <c r="B8" s="298"/>
      <c r="C8" s="264"/>
      <c r="D8" s="264"/>
      <c r="E8" s="264"/>
      <c r="F8" s="264"/>
      <c r="G8" s="265"/>
      <c r="H8" s="562"/>
    </row>
    <row r="9" spans="1:15" ht="16.2" thickBot="1">
      <c r="A9" s="567" t="s">
        <v>125</v>
      </c>
      <c r="B9" s="140"/>
      <c r="C9" s="140"/>
      <c r="D9" s="140"/>
      <c r="E9" s="140"/>
      <c r="F9" s="141"/>
      <c r="G9" s="16"/>
      <c r="H9" s="568"/>
    </row>
    <row r="10" spans="1:15">
      <c r="A10" s="561"/>
      <c r="B10" s="299"/>
      <c r="C10" s="264"/>
      <c r="D10" s="264"/>
      <c r="E10" s="264"/>
      <c r="F10" s="264"/>
      <c r="G10" s="265"/>
      <c r="H10" s="562"/>
    </row>
    <row r="11" spans="1:15" ht="15.75" customHeight="1">
      <c r="A11" s="905" t="s">
        <v>0</v>
      </c>
      <c r="B11" s="906"/>
      <c r="C11" s="144"/>
      <c r="D11" s="883" t="s">
        <v>4</v>
      </c>
      <c r="E11" s="882" t="s">
        <v>80</v>
      </c>
      <c r="F11" s="882" t="s">
        <v>21</v>
      </c>
      <c r="G11" s="300"/>
      <c r="H11" s="569"/>
    </row>
    <row r="12" spans="1:15" ht="15.75" customHeight="1">
      <c r="A12" s="907"/>
      <c r="B12" s="908"/>
      <c r="C12" s="145"/>
      <c r="D12" s="884"/>
      <c r="E12" s="882"/>
      <c r="F12" s="882"/>
      <c r="G12" s="300"/>
      <c r="H12" s="569"/>
    </row>
    <row r="13" spans="1:15" s="29" customFormat="1" ht="15.6">
      <c r="A13" s="570" t="s">
        <v>127</v>
      </c>
      <c r="B13" s="167"/>
      <c r="C13" s="167"/>
      <c r="D13" s="167"/>
      <c r="E13" s="170"/>
      <c r="F13" s="170"/>
      <c r="G13" s="301"/>
      <c r="H13" s="571"/>
      <c r="N13" s="44"/>
      <c r="O13" s="44"/>
    </row>
    <row r="14" spans="1:15">
      <c r="A14" s="572">
        <v>1</v>
      </c>
      <c r="B14" s="826" t="s">
        <v>268</v>
      </c>
      <c r="C14" s="827"/>
      <c r="D14" s="511" t="s">
        <v>2</v>
      </c>
      <c r="E14" s="512" t="s">
        <v>49</v>
      </c>
      <c r="F14" s="30"/>
      <c r="G14" s="573" t="str">
        <f>IF(F14&lt;65%,"To comply with min. 65%"," ")</f>
        <v>To comply with min. 65%</v>
      </c>
      <c r="H14" s="574"/>
    </row>
    <row r="15" spans="1:15">
      <c r="A15" s="575">
        <v>2</v>
      </c>
      <c r="B15" s="826" t="s">
        <v>590</v>
      </c>
      <c r="C15" s="827"/>
      <c r="D15" s="513" t="s">
        <v>50</v>
      </c>
      <c r="E15" s="514" t="s">
        <v>49</v>
      </c>
      <c r="F15" s="553"/>
      <c r="G15" s="573" t="str">
        <f>IF(F15&lt;80%,"To comply with min. 80%"," ")</f>
        <v>To comply with min. 80%</v>
      </c>
      <c r="H15" s="562"/>
    </row>
    <row r="16" spans="1:15" ht="15" customHeight="1">
      <c r="A16" s="572">
        <v>3</v>
      </c>
      <c r="B16" s="826" t="s">
        <v>589</v>
      </c>
      <c r="C16" s="827"/>
      <c r="D16" s="513" t="s">
        <v>50</v>
      </c>
      <c r="E16" s="514" t="s">
        <v>49</v>
      </c>
      <c r="F16" s="553"/>
      <c r="G16" s="573" t="str">
        <f>IF(F16&lt;80%,"To comply with min. 80%"," ")</f>
        <v>To comply with min. 80%</v>
      </c>
      <c r="H16" s="569"/>
    </row>
    <row r="17" spans="1:18">
      <c r="A17" s="572">
        <v>4</v>
      </c>
      <c r="B17" s="826" t="s">
        <v>591</v>
      </c>
      <c r="C17" s="827"/>
      <c r="D17" s="515" t="s">
        <v>3</v>
      </c>
      <c r="E17" s="514" t="s">
        <v>49</v>
      </c>
      <c r="F17" s="553"/>
      <c r="G17" s="573" t="str">
        <f>IF(F17&lt;65%,"To comply with min. 65%"," ")</f>
        <v>To comply with min. 65%</v>
      </c>
      <c r="H17" s="569"/>
    </row>
    <row r="18" spans="1:18" s="29" customFormat="1" ht="15.6">
      <c r="A18" s="576" t="s">
        <v>126</v>
      </c>
      <c r="B18" s="167"/>
      <c r="C18" s="167"/>
      <c r="D18" s="167"/>
      <c r="E18" s="168"/>
      <c r="F18" s="169"/>
      <c r="G18" s="534"/>
      <c r="H18" s="571"/>
      <c r="J18" s="10"/>
      <c r="N18" s="44"/>
      <c r="O18" s="44"/>
    </row>
    <row r="19" spans="1:18" ht="32.25" customHeight="1">
      <c r="A19" s="577">
        <v>5</v>
      </c>
      <c r="B19" s="886" t="s">
        <v>269</v>
      </c>
      <c r="C19" s="887"/>
      <c r="D19" s="143" t="s">
        <v>3</v>
      </c>
      <c r="E19" s="537"/>
      <c r="F19" s="31">
        <f>IFERROR(E19/$F$120,0)</f>
        <v>0</v>
      </c>
      <c r="G19" s="573" t="str">
        <f>IF(OR($A$7=$J$2,$A$7=$J$3),IF(E19=0,"Please input wall length"," ")," ")</f>
        <v>Please input wall length</v>
      </c>
      <c r="H19" s="569"/>
    </row>
    <row r="20" spans="1:18">
      <c r="A20" s="577" t="s">
        <v>509</v>
      </c>
      <c r="B20" s="826" t="s">
        <v>270</v>
      </c>
      <c r="C20" s="827"/>
      <c r="D20" s="516" t="s">
        <v>50</v>
      </c>
      <c r="E20" s="514" t="s">
        <v>49</v>
      </c>
      <c r="F20" s="30"/>
      <c r="G20" s="573" t="str">
        <f>IF(OR($A$7=$J$2,$A$7=$J$3),IF(F20&lt;65%,"To comply with min. 65%"," ")," ")</f>
        <v>To comply with min. 65%</v>
      </c>
      <c r="H20" s="569"/>
    </row>
    <row r="21" spans="1:18">
      <c r="A21" s="577" t="s">
        <v>510</v>
      </c>
      <c r="B21" s="826" t="s">
        <v>592</v>
      </c>
      <c r="C21" s="827"/>
      <c r="D21" s="516" t="s">
        <v>50</v>
      </c>
      <c r="E21" s="514" t="s">
        <v>49</v>
      </c>
      <c r="F21" s="30"/>
      <c r="G21" s="573" t="str">
        <f>IF(OR($A$7=$J$2,$A$7=$J$3),IF(F21&lt;60%,"To comply with min. 60%"," ")," ")</f>
        <v>To comply with min. 60%</v>
      </c>
      <c r="H21" s="569"/>
    </row>
    <row r="22" spans="1:18">
      <c r="A22" s="577" t="s">
        <v>511</v>
      </c>
      <c r="B22" s="826" t="s">
        <v>593</v>
      </c>
      <c r="C22" s="827"/>
      <c r="D22" s="516" t="s">
        <v>50</v>
      </c>
      <c r="E22" s="514" t="s">
        <v>49</v>
      </c>
      <c r="F22" s="30"/>
      <c r="G22" s="573" t="str">
        <f>IF(OR($A$7=$J$2,$A$7=$J$3),IF(F22&lt;65%,"To comply with min. 65%"," ")," ")</f>
        <v>To comply with min. 65%</v>
      </c>
      <c r="H22" s="569"/>
    </row>
    <row r="23" spans="1:18">
      <c r="A23" s="577" t="s">
        <v>512</v>
      </c>
      <c r="B23" s="826" t="s">
        <v>594</v>
      </c>
      <c r="C23" s="827"/>
      <c r="D23" s="516" t="s">
        <v>50</v>
      </c>
      <c r="E23" s="514" t="s">
        <v>49</v>
      </c>
      <c r="F23" s="30"/>
      <c r="G23" s="573" t="str">
        <f>IF(OR($A$7=$J$2,$A$7=$J$3),IF(F23&lt;60%,"To comply with min. 60%"," ")," ")</f>
        <v>To comply with min. 60%</v>
      </c>
      <c r="H23" s="569"/>
    </row>
    <row r="24" spans="1:18">
      <c r="A24" s="577" t="s">
        <v>283</v>
      </c>
      <c r="B24" s="826" t="s">
        <v>595</v>
      </c>
      <c r="C24" s="827"/>
      <c r="D24" s="513" t="s">
        <v>50</v>
      </c>
      <c r="E24" s="514" t="s">
        <v>49</v>
      </c>
      <c r="F24" s="553"/>
      <c r="G24" s="573" t="str">
        <f>IF(OR($A$7=$J$2,$A$7=$J$3),IF(F24&lt;65%,"To comply with min. 65%"," ")," ")</f>
        <v>To comply with min. 65%</v>
      </c>
      <c r="H24" s="569"/>
    </row>
    <row r="25" spans="1:18">
      <c r="A25" s="577" t="s">
        <v>513</v>
      </c>
      <c r="B25" s="826" t="s">
        <v>596</v>
      </c>
      <c r="C25" s="827"/>
      <c r="D25" s="513" t="s">
        <v>50</v>
      </c>
      <c r="E25" s="514" t="s">
        <v>49</v>
      </c>
      <c r="F25" s="553"/>
      <c r="G25" s="573" t="str">
        <f>IF(OR($A$7=$J$2,$A$7=$J$3),IF(F25&lt;80%,"To comply with min. 80%"," ")," ")</f>
        <v>To comply with min. 80%</v>
      </c>
      <c r="H25" s="569"/>
    </row>
    <row r="26" spans="1:18">
      <c r="A26" s="561"/>
      <c r="B26" s="264"/>
      <c r="C26" s="264"/>
      <c r="D26" s="264"/>
      <c r="E26" s="264"/>
      <c r="F26" s="264"/>
      <c r="G26" s="265"/>
      <c r="H26" s="562"/>
      <c r="J26" s="6"/>
    </row>
    <row r="27" spans="1:18" ht="15.6">
      <c r="A27" s="578" t="s">
        <v>43</v>
      </c>
      <c r="B27" s="157"/>
      <c r="C27" s="157"/>
      <c r="D27" s="157"/>
      <c r="E27" s="157"/>
      <c r="F27" s="158" t="s">
        <v>42</v>
      </c>
      <c r="G27" s="159">
        <f>VLOOKUP($A$7,'Manpower allocation'!A4:D11,2,FALSE)*100</f>
        <v>45</v>
      </c>
      <c r="H27" s="579" t="s">
        <v>41</v>
      </c>
      <c r="I27" s="365">
        <f>VLOOKUP($A$7,'Manpower allocation'!A4:D11,2,FALSE)*100</f>
        <v>45</v>
      </c>
      <c r="J27" s="6"/>
    </row>
    <row r="28" spans="1:18" ht="15.6">
      <c r="A28" s="561"/>
      <c r="B28" s="302"/>
      <c r="C28" s="303"/>
      <c r="D28" s="264"/>
      <c r="E28" s="264"/>
      <c r="F28" s="264"/>
      <c r="G28" s="265"/>
      <c r="H28" s="562"/>
      <c r="J28" s="6"/>
    </row>
    <row r="29" spans="1:18" s="29" customFormat="1" ht="46.8">
      <c r="A29" s="580" t="s">
        <v>0</v>
      </c>
      <c r="B29" s="40"/>
      <c r="C29" s="40"/>
      <c r="D29" s="41"/>
      <c r="E29" s="42" t="s">
        <v>17</v>
      </c>
      <c r="F29" s="42" t="s">
        <v>113</v>
      </c>
      <c r="G29" s="42" t="s">
        <v>18</v>
      </c>
      <c r="H29" s="42" t="s">
        <v>52</v>
      </c>
      <c r="J29" s="43"/>
      <c r="Q29" s="44"/>
      <c r="R29" s="44"/>
    </row>
    <row r="30" spans="1:18" s="29" customFormat="1" ht="15.6">
      <c r="A30" s="581" t="s">
        <v>187</v>
      </c>
      <c r="B30" s="45" t="s">
        <v>203</v>
      </c>
      <c r="C30" s="46"/>
      <c r="D30" s="46"/>
      <c r="E30" s="47"/>
      <c r="F30" s="47"/>
      <c r="G30" s="47"/>
      <c r="H30" s="582"/>
      <c r="Q30" s="44"/>
      <c r="R30" s="44"/>
    </row>
    <row r="31" spans="1:18" s="29" customFormat="1" ht="15.6">
      <c r="A31" s="583">
        <v>1</v>
      </c>
      <c r="B31" s="39" t="s">
        <v>304</v>
      </c>
      <c r="C31" s="40"/>
      <c r="D31" s="48"/>
      <c r="E31" s="40"/>
      <c r="F31" s="49"/>
      <c r="G31" s="49"/>
      <c r="H31" s="584"/>
      <c r="Q31" s="44"/>
      <c r="R31" s="44"/>
    </row>
    <row r="32" spans="1:18" s="29" customFormat="1">
      <c r="A32" s="918">
        <v>1.1000000000000001</v>
      </c>
      <c r="B32" s="836" t="s">
        <v>271</v>
      </c>
      <c r="C32" s="885"/>
      <c r="D32" s="885"/>
      <c r="E32" s="811">
        <f>VLOOKUP(A32,'Point Allocation'!$A$5:$J$15,MATCH(A7,'Point Allocation'!$A$5:$J$5,0),0)</f>
        <v>45</v>
      </c>
      <c r="F32" s="812"/>
      <c r="G32" s="813">
        <f>IFERROR(F32/$F$59,0)</f>
        <v>0</v>
      </c>
      <c r="H32" s="811">
        <f>E32*G32</f>
        <v>0</v>
      </c>
      <c r="Q32" s="44"/>
      <c r="R32" s="44"/>
    </row>
    <row r="33" spans="1:18" s="29" customFormat="1" ht="15.6">
      <c r="A33" s="919"/>
      <c r="B33" s="810" t="s">
        <v>358</v>
      </c>
      <c r="C33" s="810"/>
      <c r="D33" s="810"/>
      <c r="E33" s="811"/>
      <c r="F33" s="812"/>
      <c r="G33" s="813">
        <f t="shared" ref="G33" si="0">IFERROR(F33/$F$59,0)</f>
        <v>0</v>
      </c>
      <c r="H33" s="811"/>
      <c r="Q33" s="44"/>
      <c r="R33" s="44"/>
    </row>
    <row r="34" spans="1:18" s="29" customFormat="1" ht="15.6">
      <c r="A34" s="583">
        <v>2</v>
      </c>
      <c r="B34" s="39" t="s">
        <v>305</v>
      </c>
      <c r="C34" s="50"/>
      <c r="D34" s="48"/>
      <c r="E34" s="51"/>
      <c r="F34" s="8"/>
      <c r="G34" s="22"/>
      <c r="H34" s="585"/>
      <c r="Q34" s="52"/>
      <c r="R34" s="44"/>
    </row>
    <row r="35" spans="1:18" s="29" customFormat="1">
      <c r="A35" s="586">
        <v>2.1</v>
      </c>
      <c r="B35" s="858" t="s">
        <v>192</v>
      </c>
      <c r="C35" s="859"/>
      <c r="D35" s="840"/>
      <c r="E35" s="20">
        <f>VLOOKUP(A35,'Point Allocation'!$A$5:$J$15,MATCH(A7,'Point Allocation'!$A$5:$J$5,0),0)</f>
        <v>42</v>
      </c>
      <c r="F35" s="537"/>
      <c r="G35" s="31">
        <f>IFERROR(F35/$F$59,0)</f>
        <v>0</v>
      </c>
      <c r="H35" s="20">
        <f>E35*G35</f>
        <v>0</v>
      </c>
      <c r="Q35" s="52"/>
      <c r="R35" s="44"/>
    </row>
    <row r="36" spans="1:18" s="29" customFormat="1" ht="15.6">
      <c r="A36" s="583">
        <v>3</v>
      </c>
      <c r="B36" s="39" t="s">
        <v>306</v>
      </c>
      <c r="C36" s="50"/>
      <c r="D36" s="48"/>
      <c r="E36" s="51"/>
      <c r="F36" s="8"/>
      <c r="G36" s="22"/>
      <c r="H36" s="585"/>
      <c r="Q36" s="52"/>
      <c r="R36" s="44"/>
    </row>
    <row r="37" spans="1:18" s="29" customFormat="1" ht="15" customHeight="1">
      <c r="A37" s="586">
        <v>3.1</v>
      </c>
      <c r="B37" s="858" t="s">
        <v>640</v>
      </c>
      <c r="C37" s="859"/>
      <c r="D37" s="840"/>
      <c r="E37" s="20">
        <f>VLOOKUP(A37,'Point Allocation'!$A$5:$J$15,MATCH(A7,'Point Allocation'!$A$5:$J$5,0),0)</f>
        <v>39</v>
      </c>
      <c r="F37" s="37"/>
      <c r="G37" s="31">
        <f>IFERROR(F37/$F$59,0)</f>
        <v>0</v>
      </c>
      <c r="H37" s="546">
        <f>E37*G37</f>
        <v>0</v>
      </c>
      <c r="Q37" s="52"/>
      <c r="R37" s="44"/>
    </row>
    <row r="38" spans="1:18" s="29" customFormat="1" ht="31.5" customHeight="1">
      <c r="A38" s="909">
        <v>3.2</v>
      </c>
      <c r="B38" s="863" t="s">
        <v>296</v>
      </c>
      <c r="C38" s="911"/>
      <c r="D38" s="864"/>
      <c r="E38" s="828">
        <f>VLOOKUP(A38,'Point Allocation'!$A$5:$J$15,MATCH(A7,'Point Allocation'!$A$5:$J$5,0),0)</f>
        <v>39</v>
      </c>
      <c r="F38" s="37"/>
      <c r="G38" s="31">
        <f>IFERROR(F38/$F$59,0)</f>
        <v>0</v>
      </c>
      <c r="H38" s="828">
        <f>IF(SUM(I40:I45)&gt;=4,E38*G38,0)</f>
        <v>0</v>
      </c>
      <c r="Q38" s="52"/>
      <c r="R38" s="44"/>
    </row>
    <row r="39" spans="1:18" s="29" customFormat="1" ht="46.95" customHeight="1">
      <c r="A39" s="910"/>
      <c r="B39" s="912"/>
      <c r="C39" s="913"/>
      <c r="D39" s="914"/>
      <c r="E39" s="829"/>
      <c r="F39" s="521" t="s">
        <v>601</v>
      </c>
      <c r="G39" s="53" t="s">
        <v>116</v>
      </c>
      <c r="H39" s="829"/>
      <c r="Q39" s="52"/>
      <c r="R39" s="44"/>
    </row>
    <row r="40" spans="1:18" s="29" customFormat="1" ht="112.2" customHeight="1">
      <c r="A40" s="587" t="s">
        <v>181</v>
      </c>
      <c r="B40" s="830" t="s">
        <v>323</v>
      </c>
      <c r="C40" s="831"/>
      <c r="D40" s="832"/>
      <c r="E40" s="900"/>
      <c r="F40" s="536" t="s">
        <v>609</v>
      </c>
      <c r="G40" s="552"/>
      <c r="H40" s="889"/>
      <c r="I40" s="54">
        <f t="shared" ref="I40:I45" si="1">IF(G40&gt;=65%,1,0)</f>
        <v>0</v>
      </c>
      <c r="Q40" s="52"/>
      <c r="R40" s="44"/>
    </row>
    <row r="41" spans="1:18" s="29" customFormat="1" ht="63" customHeight="1">
      <c r="A41" s="587" t="s">
        <v>182</v>
      </c>
      <c r="B41" s="833" t="s">
        <v>204</v>
      </c>
      <c r="C41" s="834"/>
      <c r="D41" s="835"/>
      <c r="E41" s="900"/>
      <c r="F41" s="483" t="s">
        <v>598</v>
      </c>
      <c r="G41" s="553"/>
      <c r="H41" s="889"/>
      <c r="I41" s="54">
        <f t="shared" si="1"/>
        <v>0</v>
      </c>
      <c r="Q41" s="52"/>
      <c r="R41" s="44"/>
    </row>
    <row r="42" spans="1:18" s="29" customFormat="1" ht="48.75" customHeight="1">
      <c r="A42" s="587" t="s">
        <v>190</v>
      </c>
      <c r="B42" s="833" t="s">
        <v>205</v>
      </c>
      <c r="C42" s="834"/>
      <c r="D42" s="835"/>
      <c r="E42" s="900"/>
      <c r="F42" s="483" t="s">
        <v>611</v>
      </c>
      <c r="G42" s="553"/>
      <c r="H42" s="889"/>
      <c r="I42" s="54">
        <f t="shared" si="1"/>
        <v>0</v>
      </c>
      <c r="Q42" s="52"/>
      <c r="R42" s="44"/>
    </row>
    <row r="43" spans="1:18" s="29" customFormat="1" ht="45">
      <c r="A43" s="587" t="s">
        <v>183</v>
      </c>
      <c r="B43" s="833" t="s">
        <v>206</v>
      </c>
      <c r="C43" s="834"/>
      <c r="D43" s="835"/>
      <c r="E43" s="900"/>
      <c r="F43" s="483" t="s">
        <v>597</v>
      </c>
      <c r="G43" s="553"/>
      <c r="H43" s="889"/>
      <c r="I43" s="54">
        <f t="shared" si="1"/>
        <v>0</v>
      </c>
      <c r="Q43" s="52"/>
      <c r="R43" s="44"/>
    </row>
    <row r="44" spans="1:18" s="29" customFormat="1" ht="63" customHeight="1">
      <c r="A44" s="587" t="s">
        <v>191</v>
      </c>
      <c r="B44" s="833" t="s">
        <v>207</v>
      </c>
      <c r="C44" s="834"/>
      <c r="D44" s="835"/>
      <c r="E44" s="900"/>
      <c r="F44" s="483" t="s">
        <v>599</v>
      </c>
      <c r="G44" s="553"/>
      <c r="H44" s="889"/>
      <c r="I44" s="54">
        <f t="shared" si="1"/>
        <v>0</v>
      </c>
      <c r="Q44" s="52"/>
      <c r="R44" s="44"/>
    </row>
    <row r="45" spans="1:18" s="29" customFormat="1" ht="31.5" customHeight="1">
      <c r="A45" s="587" t="s">
        <v>184</v>
      </c>
      <c r="B45" s="915" t="s">
        <v>610</v>
      </c>
      <c r="C45" s="916"/>
      <c r="D45" s="886"/>
      <c r="E45" s="901"/>
      <c r="F45" s="483" t="s">
        <v>600</v>
      </c>
      <c r="G45" s="553"/>
      <c r="H45" s="829"/>
      <c r="I45" s="54">
        <f t="shared" si="1"/>
        <v>0</v>
      </c>
      <c r="Q45" s="52"/>
      <c r="R45" s="44"/>
    </row>
    <row r="46" spans="1:18" s="29" customFormat="1" ht="15.6">
      <c r="A46" s="583" t="s">
        <v>185</v>
      </c>
      <c r="B46" s="39" t="s">
        <v>307</v>
      </c>
      <c r="C46" s="55"/>
      <c r="D46" s="48"/>
      <c r="E46" s="51"/>
      <c r="F46" s="36"/>
      <c r="G46" s="23"/>
      <c r="H46" s="588"/>
      <c r="Q46" s="52"/>
      <c r="R46" s="44"/>
    </row>
    <row r="47" spans="1:18" s="29" customFormat="1" ht="31.5" customHeight="1">
      <c r="A47" s="543">
        <v>4.0999999999999996</v>
      </c>
      <c r="B47" s="858" t="s">
        <v>602</v>
      </c>
      <c r="C47" s="859"/>
      <c r="D47" s="840"/>
      <c r="E47" s="20">
        <f>VLOOKUP(A47,'Point Allocation'!$A$5:$J$15,MATCH(A7,'Point Allocation'!$A$5:$J$5,0),0)</f>
        <v>35</v>
      </c>
      <c r="F47" s="537"/>
      <c r="G47" s="31">
        <f>IFERROR(F47/$F$59,0)</f>
        <v>0</v>
      </c>
      <c r="H47" s="20">
        <f>E47*G47</f>
        <v>0</v>
      </c>
      <c r="Q47" s="52"/>
      <c r="R47" s="44"/>
    </row>
    <row r="48" spans="1:18" s="29" customFormat="1">
      <c r="A48" s="589">
        <v>4.2</v>
      </c>
      <c r="B48" s="825" t="s">
        <v>313</v>
      </c>
      <c r="C48" s="826"/>
      <c r="D48" s="827"/>
      <c r="E48" s="20">
        <f>VLOOKUP(A48,'Point Allocation'!$A$5:$J$15,MATCH(A7,'Point Allocation'!$A$5:$J$5,0),0)</f>
        <v>35</v>
      </c>
      <c r="F48" s="537"/>
      <c r="G48" s="31">
        <f>IFERROR(F48/$F$59,0)</f>
        <v>0</v>
      </c>
      <c r="H48" s="20">
        <f>E48*G48</f>
        <v>0</v>
      </c>
      <c r="Q48" s="52"/>
      <c r="R48" s="44"/>
    </row>
    <row r="49" spans="1:18" s="29" customFormat="1">
      <c r="A49" s="589">
        <v>4.3</v>
      </c>
      <c r="B49" s="902" t="s">
        <v>311</v>
      </c>
      <c r="C49" s="903"/>
      <c r="D49" s="904"/>
      <c r="E49" s="20">
        <f>VLOOKUP(A49,'Point Allocation'!$A$5:$J$15,MATCH(A7,'Point Allocation'!$A$5:$J$5,0),0)</f>
        <v>28</v>
      </c>
      <c r="F49" s="537"/>
      <c r="G49" s="31">
        <f>IFERROR(F49/$F$59,0)</f>
        <v>0</v>
      </c>
      <c r="H49" s="20">
        <f>E49*G49</f>
        <v>0</v>
      </c>
      <c r="Q49" s="52"/>
      <c r="R49" s="44"/>
    </row>
    <row r="50" spans="1:18" s="29" customFormat="1">
      <c r="A50" s="543">
        <v>4.4000000000000004</v>
      </c>
      <c r="B50" s="858" t="s">
        <v>312</v>
      </c>
      <c r="C50" s="859"/>
      <c r="D50" s="840"/>
      <c r="E50" s="20">
        <f>VLOOKUP(A50,'Point Allocation'!$A$5:$J$15,MATCH(A7,'Point Allocation'!$A$5:$J$5,0),0)</f>
        <v>28</v>
      </c>
      <c r="F50" s="537"/>
      <c r="G50" s="31">
        <f>IFERROR(F50/$F$59,0)</f>
        <v>0</v>
      </c>
      <c r="H50" s="20">
        <f>E50*G50</f>
        <v>0</v>
      </c>
      <c r="Q50" s="52"/>
      <c r="R50" s="44"/>
    </row>
    <row r="51" spans="1:18" s="58" customFormat="1" ht="15.6">
      <c r="A51" s="581" t="s">
        <v>186</v>
      </c>
      <c r="B51" s="45" t="s">
        <v>200</v>
      </c>
      <c r="C51" s="56"/>
      <c r="D51" s="57"/>
      <c r="E51" s="7"/>
      <c r="F51" s="7"/>
      <c r="G51" s="24"/>
      <c r="H51" s="590"/>
      <c r="I51" s="29"/>
      <c r="J51" s="29"/>
      <c r="K51" s="29"/>
      <c r="L51" s="29"/>
      <c r="M51" s="29"/>
      <c r="Q51" s="59"/>
    </row>
    <row r="52" spans="1:18" s="58" customFormat="1" ht="15.6">
      <c r="A52" s="39">
        <v>5</v>
      </c>
      <c r="B52" s="39" t="s">
        <v>201</v>
      </c>
      <c r="C52" s="48"/>
      <c r="D52" s="48"/>
      <c r="E52" s="8"/>
      <c r="F52" s="8"/>
      <c r="G52" s="22"/>
      <c r="H52" s="588"/>
      <c r="I52" s="29"/>
      <c r="J52" s="29"/>
      <c r="K52" s="29"/>
      <c r="L52" s="29"/>
      <c r="M52" s="29"/>
      <c r="Q52" s="59"/>
    </row>
    <row r="53" spans="1:18" s="29" customFormat="1">
      <c r="A53" s="541">
        <v>5.0999999999999996</v>
      </c>
      <c r="B53" s="822" t="s">
        <v>193</v>
      </c>
      <c r="C53" s="823"/>
      <c r="D53" s="824"/>
      <c r="E53" s="20">
        <f>VLOOKUP(A53,'Point Allocation'!$A$5:$J$15,MATCH(A7,'Point Allocation'!$A$5:$J$5,0),0)</f>
        <v>22</v>
      </c>
      <c r="F53" s="537"/>
      <c r="G53" s="31">
        <f>IFERROR(F53/$F$59,0)</f>
        <v>0</v>
      </c>
      <c r="H53" s="20">
        <f>E53*G53</f>
        <v>0</v>
      </c>
      <c r="Q53" s="52"/>
      <c r="R53" s="44"/>
    </row>
    <row r="54" spans="1:18" s="29" customFormat="1">
      <c r="A54" s="541">
        <v>5.2</v>
      </c>
      <c r="B54" s="822" t="s">
        <v>142</v>
      </c>
      <c r="C54" s="823"/>
      <c r="D54" s="824"/>
      <c r="E54" s="20">
        <f>VLOOKUP(A54,'Point Allocation'!$A$5:$J$15,MATCH(A7,'Point Allocation'!$A$5:$J$5,0),0)</f>
        <v>10</v>
      </c>
      <c r="F54" s="537"/>
      <c r="G54" s="31">
        <f>IFERROR(F54/$F$59,0)</f>
        <v>0</v>
      </c>
      <c r="H54" s="20">
        <f>E54*G54</f>
        <v>0</v>
      </c>
      <c r="Q54" s="52"/>
      <c r="R54" s="44"/>
    </row>
    <row r="55" spans="1:18" s="29" customFormat="1" ht="15.6">
      <c r="A55" s="60">
        <v>6</v>
      </c>
      <c r="B55" s="60" t="s">
        <v>202</v>
      </c>
      <c r="C55" s="48"/>
      <c r="D55" s="48"/>
      <c r="E55" s="8"/>
      <c r="F55" s="8"/>
      <c r="G55" s="22"/>
      <c r="H55" s="588"/>
      <c r="Q55" s="52"/>
      <c r="R55" s="44"/>
    </row>
    <row r="56" spans="1:18" s="29" customFormat="1">
      <c r="A56" s="591">
        <v>6.1</v>
      </c>
      <c r="B56" s="762"/>
      <c r="C56" s="763"/>
      <c r="D56" s="803"/>
      <c r="E56" s="537"/>
      <c r="F56" s="537"/>
      <c r="G56" s="31">
        <f>IFERROR(F56/$F$59,0)</f>
        <v>0</v>
      </c>
      <c r="H56" s="20">
        <f>E56*G56</f>
        <v>0</v>
      </c>
      <c r="Q56" s="52"/>
      <c r="R56" s="44"/>
    </row>
    <row r="57" spans="1:18" s="29" customFormat="1">
      <c r="A57" s="591">
        <v>6.2</v>
      </c>
      <c r="B57" s="762"/>
      <c r="C57" s="763"/>
      <c r="D57" s="803"/>
      <c r="E57" s="537"/>
      <c r="F57" s="537"/>
      <c r="G57" s="31">
        <f>IFERROR(F57/$F$59,0)</f>
        <v>0</v>
      </c>
      <c r="H57" s="20">
        <f>E57*G57</f>
        <v>0</v>
      </c>
      <c r="Q57" s="52"/>
      <c r="R57" s="44"/>
    </row>
    <row r="58" spans="1:18" s="29" customFormat="1">
      <c r="A58" s="591">
        <v>6.3</v>
      </c>
      <c r="B58" s="762"/>
      <c r="C58" s="763"/>
      <c r="D58" s="803"/>
      <c r="E58" s="537"/>
      <c r="F58" s="537"/>
      <c r="G58" s="31">
        <f>IFERROR(F58/$F$59,0)</f>
        <v>0</v>
      </c>
      <c r="H58" s="20">
        <f>E58*G58</f>
        <v>0</v>
      </c>
      <c r="Q58" s="52"/>
      <c r="R58" s="44"/>
    </row>
    <row r="59" spans="1:18" s="29" customFormat="1" ht="15.6">
      <c r="A59" s="592"/>
      <c r="B59" s="304"/>
      <c r="C59" s="305"/>
      <c r="D59" s="305"/>
      <c r="E59" s="306" t="s">
        <v>60</v>
      </c>
      <c r="F59" s="26">
        <f>SUM(F32,F35,F37,F38,F47,F48,F49,F50,F53,F54,F56,F57,F58)</f>
        <v>0</v>
      </c>
      <c r="G59" s="25">
        <f>SUM(G32,G35:G35,G37:G38,G47:G50,G53:G54,G56:G58)</f>
        <v>0</v>
      </c>
      <c r="H59" s="593">
        <f>IFERROR(SUM(H32:H58),0)</f>
        <v>0</v>
      </c>
      <c r="M59" s="61"/>
      <c r="Q59" s="52"/>
      <c r="R59" s="44"/>
    </row>
    <row r="60" spans="1:18" s="29" customFormat="1" ht="15.6" thickBot="1">
      <c r="A60" s="594"/>
      <c r="B60" s="361"/>
      <c r="C60" s="362"/>
      <c r="D60" s="362"/>
      <c r="E60" s="362"/>
      <c r="F60" s="362"/>
      <c r="G60" s="354"/>
      <c r="H60" s="595"/>
      <c r="Q60" s="52"/>
      <c r="R60" s="44"/>
    </row>
    <row r="61" spans="1:18" s="29" customFormat="1" ht="15.6">
      <c r="A61" s="896" t="s">
        <v>0</v>
      </c>
      <c r="B61" s="897"/>
      <c r="C61" s="461"/>
      <c r="D61" s="892" t="s">
        <v>4</v>
      </c>
      <c r="E61" s="894" t="s">
        <v>1</v>
      </c>
      <c r="F61" s="895"/>
      <c r="G61" s="890" t="s">
        <v>21</v>
      </c>
      <c r="H61" s="892" t="s">
        <v>62</v>
      </c>
      <c r="Q61" s="52"/>
      <c r="R61" s="44"/>
    </row>
    <row r="62" spans="1:18" s="29" customFormat="1" ht="31.2">
      <c r="A62" s="898"/>
      <c r="B62" s="899"/>
      <c r="C62" s="62"/>
      <c r="D62" s="893"/>
      <c r="E62" s="42" t="s">
        <v>117</v>
      </c>
      <c r="F62" s="42" t="s">
        <v>118</v>
      </c>
      <c r="G62" s="891"/>
      <c r="H62" s="893"/>
      <c r="I62" s="63"/>
      <c r="Q62" s="52"/>
      <c r="R62" s="44"/>
    </row>
    <row r="63" spans="1:18" s="29" customFormat="1" ht="15.6">
      <c r="A63" s="45" t="s">
        <v>208</v>
      </c>
      <c r="B63" s="45" t="s">
        <v>139</v>
      </c>
      <c r="C63" s="57"/>
      <c r="D63" s="64"/>
      <c r="E63" s="47"/>
      <c r="F63" s="47"/>
      <c r="G63" s="47"/>
      <c r="H63" s="596"/>
      <c r="I63" s="61"/>
      <c r="J63" s="61"/>
      <c r="K63" s="61"/>
      <c r="L63" s="61"/>
      <c r="Q63" s="52"/>
      <c r="R63" s="44"/>
    </row>
    <row r="64" spans="1:18" s="29" customFormat="1" ht="15" customHeight="1">
      <c r="A64" s="597" t="s">
        <v>314</v>
      </c>
      <c r="B64" s="837" t="s">
        <v>647</v>
      </c>
      <c r="C64" s="838"/>
      <c r="D64" s="5" t="s">
        <v>50</v>
      </c>
      <c r="E64" s="9">
        <v>3</v>
      </c>
      <c r="F64" s="9">
        <v>4</v>
      </c>
      <c r="G64" s="30"/>
      <c r="H64" s="20">
        <f>IF(G64&gt;=80%,F64,IF(G64&lt;65%,0,E64))</f>
        <v>0</v>
      </c>
      <c r="Q64" s="52"/>
      <c r="R64" s="44"/>
    </row>
    <row r="65" spans="1:18" s="29" customFormat="1">
      <c r="A65" s="597" t="s">
        <v>315</v>
      </c>
      <c r="B65" s="837" t="s">
        <v>646</v>
      </c>
      <c r="C65" s="838"/>
      <c r="D65" s="5" t="s">
        <v>50</v>
      </c>
      <c r="E65" s="9">
        <v>3</v>
      </c>
      <c r="F65" s="9">
        <v>4</v>
      </c>
      <c r="G65" s="30"/>
      <c r="H65" s="20">
        <f>IF(G65&gt;=80%,F65,IF(G65&lt;65%,0,E65))</f>
        <v>0</v>
      </c>
      <c r="Q65" s="52"/>
      <c r="R65" s="44"/>
    </row>
    <row r="66" spans="1:18" s="29" customFormat="1">
      <c r="A66" s="598" t="s">
        <v>316</v>
      </c>
      <c r="B66" s="837" t="s">
        <v>641</v>
      </c>
      <c r="C66" s="838"/>
      <c r="D66" s="5" t="s">
        <v>50</v>
      </c>
      <c r="E66" s="9">
        <v>3</v>
      </c>
      <c r="F66" s="9">
        <v>4</v>
      </c>
      <c r="G66" s="30"/>
      <c r="H66" s="20">
        <f>IF(G66&gt;=80%,F66,IF(G66&lt;65%,0,E66))</f>
        <v>0</v>
      </c>
      <c r="Q66" s="52"/>
      <c r="R66" s="44"/>
    </row>
    <row r="67" spans="1:18" s="29" customFormat="1" ht="51" customHeight="1">
      <c r="A67" s="597">
        <v>7.2</v>
      </c>
      <c r="B67" s="841" t="s">
        <v>319</v>
      </c>
      <c r="C67" s="841"/>
      <c r="D67" s="385" t="s">
        <v>50</v>
      </c>
      <c r="E67" s="546">
        <v>2</v>
      </c>
      <c r="F67" s="546">
        <v>2.5</v>
      </c>
      <c r="G67" s="518"/>
      <c r="H67" s="546">
        <f>IF(H38&gt;0,0,IF(G67&gt;=80%,F67,IF(G67&lt;65%,0,E67)))</f>
        <v>0</v>
      </c>
      <c r="I67" s="11"/>
      <c r="J67" s="11"/>
      <c r="K67" s="11"/>
      <c r="Q67" s="52"/>
      <c r="R67" s="44"/>
    </row>
    <row r="68" spans="1:18" s="29" customFormat="1" ht="15" customHeight="1">
      <c r="A68" s="597">
        <v>7.3</v>
      </c>
      <c r="B68" s="858" t="s">
        <v>215</v>
      </c>
      <c r="C68" s="859"/>
      <c r="D68" s="353"/>
      <c r="E68" s="353"/>
      <c r="F68" s="353"/>
      <c r="G68" s="519"/>
      <c r="H68" s="599"/>
      <c r="I68" s="11"/>
      <c r="J68" s="11"/>
      <c r="K68" s="11"/>
      <c r="Q68" s="52"/>
      <c r="R68" s="44"/>
    </row>
    <row r="69" spans="1:18" s="29" customFormat="1" ht="32.25" customHeight="1">
      <c r="A69" s="598" t="s">
        <v>209</v>
      </c>
      <c r="B69" s="839" t="s">
        <v>216</v>
      </c>
      <c r="C69" s="840"/>
      <c r="D69" s="980" t="s">
        <v>50</v>
      </c>
      <c r="E69" s="279">
        <v>1</v>
      </c>
      <c r="F69" s="279">
        <v>1.5</v>
      </c>
      <c r="G69" s="553"/>
      <c r="H69" s="279">
        <f>IF(H32+H38&gt;0,0.5,IF(G69&gt;=80%,F69,IF(G69&lt;65%,0,E69)))</f>
        <v>0</v>
      </c>
      <c r="J69" s="11"/>
      <c r="K69" s="11"/>
      <c r="Q69" s="52"/>
      <c r="R69" s="44"/>
    </row>
    <row r="70" spans="1:18" s="29" customFormat="1" ht="47.25" customHeight="1">
      <c r="A70" s="598" t="s">
        <v>210</v>
      </c>
      <c r="B70" s="839" t="s">
        <v>217</v>
      </c>
      <c r="C70" s="840"/>
      <c r="D70" s="981"/>
      <c r="E70" s="279">
        <v>1</v>
      </c>
      <c r="F70" s="279">
        <v>1.5</v>
      </c>
      <c r="G70" s="553"/>
      <c r="H70" s="279">
        <f>IF(H32+H38&gt;0,0.5,IF(G70&gt;=80%,F70,IF(G70&lt;65%,0,E70)))</f>
        <v>0</v>
      </c>
      <c r="Q70" s="52"/>
      <c r="R70" s="44"/>
    </row>
    <row r="71" spans="1:18" s="29" customFormat="1">
      <c r="A71" s="598" t="s">
        <v>222</v>
      </c>
      <c r="B71" s="839" t="s">
        <v>218</v>
      </c>
      <c r="C71" s="840"/>
      <c r="D71" s="981"/>
      <c r="E71" s="279">
        <v>1</v>
      </c>
      <c r="F71" s="279">
        <v>1.5</v>
      </c>
      <c r="G71" s="553"/>
      <c r="H71" s="279">
        <f>IF(H32+H38&gt;0,0.5,IF(G71&gt;=80%,F71,IF(G71&lt;65%,0,E71)))</f>
        <v>0</v>
      </c>
      <c r="Q71" s="52"/>
      <c r="R71" s="44"/>
    </row>
    <row r="72" spans="1:18" s="29" customFormat="1" ht="46.5" customHeight="1">
      <c r="A72" s="598" t="s">
        <v>211</v>
      </c>
      <c r="B72" s="839" t="s">
        <v>219</v>
      </c>
      <c r="C72" s="840"/>
      <c r="D72" s="982"/>
      <c r="E72" s="279">
        <v>1</v>
      </c>
      <c r="F72" s="279">
        <v>1.5</v>
      </c>
      <c r="G72" s="553"/>
      <c r="H72" s="279">
        <f>IF(H32+H38&gt;0,0.5,IF(G72&gt;=80%,F72,IF(G72&lt;65%,0,E72)))</f>
        <v>0</v>
      </c>
      <c r="Q72" s="52"/>
      <c r="R72" s="44"/>
    </row>
    <row r="73" spans="1:18" s="29" customFormat="1">
      <c r="A73" s="597">
        <v>7.4</v>
      </c>
      <c r="B73" s="923" t="s">
        <v>393</v>
      </c>
      <c r="C73" s="923"/>
      <c r="D73" s="332" t="s">
        <v>2</v>
      </c>
      <c r="E73" s="279">
        <v>1</v>
      </c>
      <c r="F73" s="279">
        <v>1.5</v>
      </c>
      <c r="G73" s="553"/>
      <c r="H73" s="279">
        <f>IF(G73&gt;=80%,F73,IF(G73&lt;65%,0,E73))</f>
        <v>0</v>
      </c>
      <c r="Q73" s="52"/>
      <c r="R73" s="44"/>
    </row>
    <row r="74" spans="1:18" s="29" customFormat="1" ht="15" customHeight="1">
      <c r="A74" s="600">
        <v>7.5</v>
      </c>
      <c r="B74" s="928" t="s">
        <v>380</v>
      </c>
      <c r="C74" s="928"/>
      <c r="D74" s="490" t="s">
        <v>377</v>
      </c>
      <c r="E74" s="979">
        <v>2</v>
      </c>
      <c r="F74" s="979"/>
      <c r="G74" s="552"/>
      <c r="H74" s="557">
        <f>IF(G74&gt;=5%,E74,0)</f>
        <v>0</v>
      </c>
      <c r="Q74" s="52"/>
      <c r="R74" s="44"/>
    </row>
    <row r="75" spans="1:18" s="29" customFormat="1" ht="15.6">
      <c r="A75" s="66" t="s">
        <v>212</v>
      </c>
      <c r="B75" s="66" t="s">
        <v>517</v>
      </c>
      <c r="C75" s="67"/>
      <c r="D75" s="68"/>
      <c r="E75" s="69"/>
      <c r="F75" s="69"/>
      <c r="G75" s="69"/>
      <c r="H75" s="601"/>
      <c r="Q75" s="52"/>
      <c r="R75" s="44"/>
    </row>
    <row r="76" spans="1:18" s="29" customFormat="1">
      <c r="A76" s="597">
        <v>8.1</v>
      </c>
      <c r="B76" s="836" t="s">
        <v>220</v>
      </c>
      <c r="C76" s="836"/>
      <c r="D76" s="5" t="s">
        <v>50</v>
      </c>
      <c r="E76" s="20">
        <v>2</v>
      </c>
      <c r="F76" s="20">
        <v>2.5</v>
      </c>
      <c r="G76" s="553"/>
      <c r="H76" s="20">
        <f>IF(G76&gt;=80%,F76,IF(G76&lt;65%,0,E76))</f>
        <v>0</v>
      </c>
      <c r="I76" s="70"/>
      <c r="Q76" s="52"/>
      <c r="R76" s="44"/>
    </row>
    <row r="77" spans="1:18" s="29" customFormat="1">
      <c r="A77" s="597">
        <v>8.1999999999999993</v>
      </c>
      <c r="B77" s="836" t="s">
        <v>221</v>
      </c>
      <c r="C77" s="836"/>
      <c r="D77" s="5" t="s">
        <v>50</v>
      </c>
      <c r="E77" s="20">
        <v>2</v>
      </c>
      <c r="F77" s="20">
        <v>2.5</v>
      </c>
      <c r="G77" s="553"/>
      <c r="H77" s="20">
        <f>IF(G77&gt;=80%,F77,IF(G77&lt;65%,0,E77))</f>
        <v>0</v>
      </c>
      <c r="I77" s="11"/>
      <c r="J77" s="11"/>
      <c r="K77" s="11"/>
      <c r="Q77" s="52"/>
      <c r="R77" s="44"/>
    </row>
    <row r="78" spans="1:18" s="29" customFormat="1" ht="30.6" customHeight="1">
      <c r="A78" s="602">
        <v>8.3000000000000007</v>
      </c>
      <c r="B78" s="825" t="s">
        <v>607</v>
      </c>
      <c r="C78" s="827"/>
      <c r="D78" s="420" t="s">
        <v>50</v>
      </c>
      <c r="E78" s="434">
        <v>2</v>
      </c>
      <c r="F78" s="434">
        <v>2.5</v>
      </c>
      <c r="G78" s="553"/>
      <c r="H78" s="279">
        <f>IF(H76&gt;0,0,IF(G78&gt;=80%,F78,IF(G78&lt;65%,0,E78)))</f>
        <v>0</v>
      </c>
      <c r="I78" s="11"/>
      <c r="J78" s="11"/>
      <c r="K78" s="11"/>
      <c r="Q78" s="52"/>
      <c r="R78" s="44"/>
    </row>
    <row r="79" spans="1:18" s="29" customFormat="1">
      <c r="A79" s="602">
        <v>8.4</v>
      </c>
      <c r="B79" s="917" t="s">
        <v>138</v>
      </c>
      <c r="C79" s="843"/>
      <c r="D79" s="420" t="s">
        <v>2</v>
      </c>
      <c r="E79" s="434">
        <v>2</v>
      </c>
      <c r="F79" s="434">
        <v>2.5</v>
      </c>
      <c r="G79" s="30"/>
      <c r="H79" s="20">
        <f>IF(G79&gt;=80%,F79,IF(G79&lt;65%,0,E79))</f>
        <v>0</v>
      </c>
      <c r="Q79" s="52"/>
      <c r="R79" s="44"/>
    </row>
    <row r="80" spans="1:18" s="29" customFormat="1" ht="15.6">
      <c r="A80" s="66" t="s">
        <v>213</v>
      </c>
      <c r="B80" s="66" t="s">
        <v>518</v>
      </c>
      <c r="C80" s="67"/>
      <c r="D80" s="68"/>
      <c r="E80" s="69"/>
      <c r="F80" s="69"/>
      <c r="G80" s="69"/>
      <c r="H80" s="601"/>
      <c r="Q80" s="52"/>
      <c r="R80" s="44"/>
    </row>
    <row r="81" spans="1:18" s="29" customFormat="1" ht="31.5" customHeight="1">
      <c r="A81" s="602">
        <v>9.1</v>
      </c>
      <c r="B81" s="978" t="s">
        <v>514</v>
      </c>
      <c r="C81" s="978"/>
      <c r="D81" s="420" t="s">
        <v>50</v>
      </c>
      <c r="E81" s="434" t="s">
        <v>49</v>
      </c>
      <c r="F81" s="434">
        <v>2.5</v>
      </c>
      <c r="G81" s="517">
        <f>F21</f>
        <v>0</v>
      </c>
      <c r="H81" s="434">
        <f>IF(G81&gt;=80%,F81,0)</f>
        <v>0</v>
      </c>
      <c r="Q81" s="52"/>
      <c r="R81" s="44"/>
    </row>
    <row r="82" spans="1:18" s="29" customFormat="1" ht="31.5" customHeight="1">
      <c r="A82" s="602">
        <v>9.1999999999999993</v>
      </c>
      <c r="B82" s="825" t="s">
        <v>608</v>
      </c>
      <c r="C82" s="827"/>
      <c r="D82" s="420" t="s">
        <v>50</v>
      </c>
      <c r="E82" s="434">
        <v>2</v>
      </c>
      <c r="F82" s="434">
        <v>2.5</v>
      </c>
      <c r="G82" s="553"/>
      <c r="H82" s="279">
        <f>IF(G82&gt;=80%,F82,IF(G82&lt;65%,0,E82))</f>
        <v>0</v>
      </c>
      <c r="Q82" s="52"/>
      <c r="R82" s="44"/>
    </row>
    <row r="83" spans="1:18" s="29" customFormat="1" ht="15.6">
      <c r="A83" s="71" t="s">
        <v>214</v>
      </c>
      <c r="B83" s="71" t="s">
        <v>202</v>
      </c>
      <c r="C83" s="57"/>
      <c r="D83" s="57"/>
      <c r="E83" s="72"/>
      <c r="F83" s="72"/>
      <c r="G83" s="73"/>
      <c r="H83" s="603"/>
      <c r="Q83" s="52"/>
      <c r="R83" s="44"/>
    </row>
    <row r="84" spans="1:18" s="29" customFormat="1">
      <c r="A84" s="597">
        <v>10.1</v>
      </c>
      <c r="B84" s="776"/>
      <c r="C84" s="776"/>
      <c r="D84" s="520"/>
      <c r="E84" s="537"/>
      <c r="F84" s="537"/>
      <c r="G84" s="553"/>
      <c r="H84" s="20">
        <f>IF(G84&gt;=80%,F84,IF(G84&lt;65%,0,E84))</f>
        <v>0</v>
      </c>
      <c r="Q84" s="52"/>
      <c r="R84" s="44"/>
    </row>
    <row r="85" spans="1:18" s="29" customFormat="1">
      <c r="A85" s="597">
        <v>10.199999999999999</v>
      </c>
      <c r="B85" s="776"/>
      <c r="C85" s="776"/>
      <c r="D85" s="520"/>
      <c r="E85" s="537"/>
      <c r="F85" s="537"/>
      <c r="G85" s="553"/>
      <c r="H85" s="20">
        <f>IF(G85&gt;=80%,F85,IF(G85&lt;65%,0,E85))</f>
        <v>0</v>
      </c>
      <c r="Q85" s="52"/>
      <c r="R85" s="44"/>
    </row>
    <row r="86" spans="1:18" s="29" customFormat="1">
      <c r="A86" s="597">
        <v>10.3</v>
      </c>
      <c r="B86" s="776"/>
      <c r="C86" s="776"/>
      <c r="D86" s="520"/>
      <c r="E86" s="537"/>
      <c r="F86" s="537"/>
      <c r="G86" s="553"/>
      <c r="H86" s="20">
        <f>IF(G86&gt;=80%,F86,IF(G86&lt;65%,0,E86))</f>
        <v>0</v>
      </c>
      <c r="Q86" s="52"/>
      <c r="R86" s="44"/>
    </row>
    <row r="87" spans="1:18" s="29" customFormat="1" ht="15.6">
      <c r="A87" s="604"/>
      <c r="B87" s="307"/>
      <c r="C87" s="305"/>
      <c r="D87" s="305"/>
      <c r="E87" s="308"/>
      <c r="F87" s="309"/>
      <c r="G87" s="310" t="s">
        <v>375</v>
      </c>
      <c r="H87" s="605">
        <f>IFERROR((SUM(H64:H86)),0)</f>
        <v>0</v>
      </c>
      <c r="Q87" s="52"/>
      <c r="R87" s="44"/>
    </row>
    <row r="88" spans="1:18" s="29" customFormat="1">
      <c r="A88" s="592"/>
      <c r="B88" s="307"/>
      <c r="C88" s="305"/>
      <c r="D88" s="305"/>
      <c r="E88" s="305"/>
      <c r="F88" s="305"/>
      <c r="G88" s="311"/>
      <c r="H88" s="571"/>
      <c r="Q88" s="52"/>
      <c r="R88" s="44"/>
    </row>
    <row r="89" spans="1:18" s="29" customFormat="1" ht="15.6">
      <c r="A89" s="592"/>
      <c r="B89" s="307"/>
      <c r="C89" s="305"/>
      <c r="D89" s="305"/>
      <c r="E89" s="305"/>
      <c r="F89" s="305"/>
      <c r="G89" s="312" t="s">
        <v>128</v>
      </c>
      <c r="H89" s="74">
        <f>IFERROR(MIN(G27,H59+H87),0)</f>
        <v>0</v>
      </c>
      <c r="Q89" s="52"/>
      <c r="R89" s="44"/>
    </row>
    <row r="90" spans="1:18" s="29" customFormat="1" ht="16.2" thickBot="1">
      <c r="A90" s="594"/>
      <c r="B90" s="361"/>
      <c r="C90" s="362"/>
      <c r="D90" s="362"/>
      <c r="E90" s="362"/>
      <c r="F90" s="362"/>
      <c r="G90" s="364"/>
      <c r="H90" s="606"/>
      <c r="Q90" s="52"/>
      <c r="R90" s="44"/>
    </row>
    <row r="91" spans="1:18" s="29" customFormat="1" ht="15.6">
      <c r="A91" s="607" t="s">
        <v>51</v>
      </c>
      <c r="B91" s="358"/>
      <c r="C91" s="358"/>
      <c r="D91" s="358"/>
      <c r="E91" s="358"/>
      <c r="F91" s="359" t="s">
        <v>42</v>
      </c>
      <c r="G91" s="360">
        <f>VLOOKUP($A$7,'Manpower allocation'!A4:D11,3,FALSE)*100</f>
        <v>40</v>
      </c>
      <c r="H91" s="608" t="s">
        <v>41</v>
      </c>
      <c r="I91" s="75">
        <f>VLOOKUP($A$7,'Manpower allocation'!A4:D11,3,FALSE)*100</f>
        <v>40</v>
      </c>
      <c r="Q91" s="52"/>
      <c r="R91" s="44"/>
    </row>
    <row r="92" spans="1:18" s="29" customFormat="1" ht="15.6">
      <c r="A92" s="592"/>
      <c r="B92" s="313"/>
      <c r="C92" s="308"/>
      <c r="D92" s="305"/>
      <c r="E92" s="305"/>
      <c r="F92" s="305"/>
      <c r="G92" s="314"/>
      <c r="H92" s="571"/>
      <c r="Q92" s="52"/>
      <c r="R92" s="44"/>
    </row>
    <row r="93" spans="1:18" s="29" customFormat="1" ht="46.8">
      <c r="A93" s="609" t="s">
        <v>0</v>
      </c>
      <c r="B93" s="556"/>
      <c r="C93" s="156"/>
      <c r="D93" s="76"/>
      <c r="E93" s="77" t="s">
        <v>17</v>
      </c>
      <c r="F93" s="78" t="s">
        <v>80</v>
      </c>
      <c r="G93" s="78" t="s">
        <v>20</v>
      </c>
      <c r="H93" s="550" t="s">
        <v>52</v>
      </c>
      <c r="Q93" s="52"/>
      <c r="R93" s="44"/>
    </row>
    <row r="94" spans="1:18" s="29" customFormat="1" ht="15.6">
      <c r="A94" s="79" t="s">
        <v>280</v>
      </c>
      <c r="B94" s="79" t="s">
        <v>298</v>
      </c>
      <c r="C94" s="80"/>
      <c r="D94" s="80"/>
      <c r="E94" s="81"/>
      <c r="F94" s="81"/>
      <c r="G94" s="81"/>
      <c r="H94" s="610"/>
      <c r="Q94" s="52"/>
      <c r="R94" s="44"/>
    </row>
    <row r="95" spans="1:18" s="29" customFormat="1" ht="15.6">
      <c r="A95" s="82">
        <v>1</v>
      </c>
      <c r="B95" s="82" t="s">
        <v>304</v>
      </c>
      <c r="C95" s="83"/>
      <c r="D95" s="83"/>
      <c r="E95" s="84"/>
      <c r="F95" s="84"/>
      <c r="G95" s="84"/>
      <c r="H95" s="611"/>
      <c r="Q95" s="52"/>
      <c r="R95" s="44"/>
    </row>
    <row r="96" spans="1:18" s="29" customFormat="1">
      <c r="A96" s="597">
        <v>1.1000000000000001</v>
      </c>
      <c r="B96" s="858" t="s">
        <v>271</v>
      </c>
      <c r="C96" s="823"/>
      <c r="D96" s="824"/>
      <c r="E96" s="85">
        <f>VLOOKUP(A96,'Point Allocation'!$A$20:$J$41,MATCH(A7,'Point Allocation'!$A$20:$J$20,0),0)</f>
        <v>30</v>
      </c>
      <c r="F96" s="86"/>
      <c r="G96" s="87">
        <f>IFERROR(F96/$F$120,0)</f>
        <v>0</v>
      </c>
      <c r="H96" s="612">
        <f>E96*G96</f>
        <v>0</v>
      </c>
      <c r="Q96" s="44"/>
      <c r="R96" s="44"/>
    </row>
    <row r="97" spans="1:18" s="29" customFormat="1" ht="15.6">
      <c r="A97" s="88">
        <v>2</v>
      </c>
      <c r="B97" s="88" t="s">
        <v>305</v>
      </c>
      <c r="C97" s="89"/>
      <c r="D97" s="90"/>
      <c r="E97" s="90"/>
      <c r="F97" s="91"/>
      <c r="G97" s="92"/>
      <c r="H97" s="613"/>
      <c r="Q97" s="52"/>
      <c r="R97" s="44"/>
    </row>
    <row r="98" spans="1:18" s="29" customFormat="1">
      <c r="A98" s="814">
        <v>2.1</v>
      </c>
      <c r="B98" s="822" t="s">
        <v>196</v>
      </c>
      <c r="C98" s="823"/>
      <c r="D98" s="824"/>
      <c r="E98" s="819">
        <f>VLOOKUP(A98,'Point Allocation'!$A$20:$J$41,MATCH(A7,'Point Allocation'!$A$20:$J$20,0),0)</f>
        <v>28</v>
      </c>
      <c r="F98" s="820"/>
      <c r="G98" s="821">
        <f>IFERROR(F98/$F$120,0)</f>
        <v>0</v>
      </c>
      <c r="H98" s="819">
        <f>E98*G98</f>
        <v>0</v>
      </c>
      <c r="Q98" s="52"/>
      <c r="R98" s="44"/>
    </row>
    <row r="99" spans="1:18" s="29" customFormat="1" ht="15.6">
      <c r="A99" s="878"/>
      <c r="B99" s="816" t="s">
        <v>119</v>
      </c>
      <c r="C99" s="817"/>
      <c r="D99" s="818"/>
      <c r="E99" s="819"/>
      <c r="F99" s="820"/>
      <c r="G99" s="821"/>
      <c r="H99" s="819"/>
      <c r="Q99" s="52"/>
      <c r="R99" s="44"/>
    </row>
    <row r="100" spans="1:18" s="29" customFormat="1">
      <c r="A100" s="814">
        <v>2.2000000000000002</v>
      </c>
      <c r="B100" s="825" t="s">
        <v>606</v>
      </c>
      <c r="C100" s="826"/>
      <c r="D100" s="827"/>
      <c r="E100" s="819">
        <f>VLOOKUP(A100,'Point Allocation'!$A$20:$J$41,MATCH(A7,'Point Allocation'!$A$20:$J$20,0),0)</f>
        <v>28</v>
      </c>
      <c r="F100" s="820"/>
      <c r="G100" s="821">
        <f>IFERROR(F100/$F$120,0)</f>
        <v>0</v>
      </c>
      <c r="H100" s="819">
        <f>E100*G100</f>
        <v>0</v>
      </c>
      <c r="Q100" s="52"/>
      <c r="R100" s="44"/>
    </row>
    <row r="101" spans="1:18" s="29" customFormat="1" ht="15.6">
      <c r="A101" s="815"/>
      <c r="B101" s="816" t="s">
        <v>119</v>
      </c>
      <c r="C101" s="817"/>
      <c r="D101" s="818"/>
      <c r="E101" s="819"/>
      <c r="F101" s="820"/>
      <c r="G101" s="821"/>
      <c r="H101" s="819"/>
      <c r="Q101" s="52"/>
      <c r="R101" s="44"/>
    </row>
    <row r="102" spans="1:18" s="29" customFormat="1" ht="15.6">
      <c r="A102" s="82">
        <v>3</v>
      </c>
      <c r="B102" s="82" t="s">
        <v>306</v>
      </c>
      <c r="C102" s="89"/>
      <c r="D102" s="89"/>
      <c r="E102" s="91"/>
      <c r="F102" s="91"/>
      <c r="G102" s="92"/>
      <c r="H102" s="614"/>
      <c r="Q102" s="52"/>
      <c r="R102" s="44"/>
    </row>
    <row r="103" spans="1:18" s="29" customFormat="1">
      <c r="A103" s="814">
        <v>3.1</v>
      </c>
      <c r="B103" s="822" t="s">
        <v>197</v>
      </c>
      <c r="C103" s="823"/>
      <c r="D103" s="824"/>
      <c r="E103" s="819">
        <f>VLOOKUP(A103,'Point Allocation'!$A$20:$J$41,MATCH(A7,'Point Allocation'!$A$20:$J$20,0),0)</f>
        <v>27</v>
      </c>
      <c r="F103" s="820"/>
      <c r="G103" s="821">
        <f>IFERROR(F103/$F$120,0)</f>
        <v>0</v>
      </c>
      <c r="H103" s="819">
        <f>E103*G103</f>
        <v>0</v>
      </c>
      <c r="Q103" s="52"/>
      <c r="R103" s="44"/>
    </row>
    <row r="104" spans="1:18" s="29" customFormat="1" ht="15.6">
      <c r="A104" s="878"/>
      <c r="B104" s="816" t="s">
        <v>267</v>
      </c>
      <c r="C104" s="817"/>
      <c r="D104" s="818"/>
      <c r="E104" s="819"/>
      <c r="F104" s="820"/>
      <c r="G104" s="821"/>
      <c r="H104" s="819"/>
      <c r="Q104" s="52"/>
      <c r="R104" s="44"/>
    </row>
    <row r="105" spans="1:18" s="29" customFormat="1" ht="15.6">
      <c r="A105" s="82">
        <v>4</v>
      </c>
      <c r="B105" s="82" t="s">
        <v>307</v>
      </c>
      <c r="C105" s="89"/>
      <c r="D105" s="89"/>
      <c r="E105" s="91"/>
      <c r="F105" s="91"/>
      <c r="G105" s="92"/>
      <c r="H105" s="614"/>
      <c r="Q105" s="52"/>
      <c r="R105" s="44"/>
    </row>
    <row r="106" spans="1:18" s="29" customFormat="1" ht="30" customHeight="1">
      <c r="A106" s="598" t="s">
        <v>194</v>
      </c>
      <c r="B106" s="833" t="s">
        <v>273</v>
      </c>
      <c r="C106" s="834"/>
      <c r="D106" s="835"/>
      <c r="E106" s="93">
        <f>VLOOKUP(A106,'Point Allocation'!$A$20:$J$41,MATCH(A7,'Point Allocation'!$A$20:$J$20,0),0)</f>
        <v>25</v>
      </c>
      <c r="F106" s="538"/>
      <c r="G106" s="539">
        <f>IFERROR(F106/$F$120,0)</f>
        <v>0</v>
      </c>
      <c r="H106" s="94">
        <f>E106*G106</f>
        <v>0</v>
      </c>
      <c r="Q106" s="939"/>
      <c r="R106" s="44"/>
    </row>
    <row r="107" spans="1:18" s="29" customFormat="1">
      <c r="A107" s="598" t="s">
        <v>195</v>
      </c>
      <c r="B107" s="833" t="s">
        <v>274</v>
      </c>
      <c r="C107" s="834"/>
      <c r="D107" s="835"/>
      <c r="E107" s="93">
        <f>VLOOKUP(A107,'Point Allocation'!$A$20:$J$41,MATCH(A7,'Point Allocation'!$A$20:$J$20,0),0)</f>
        <v>25</v>
      </c>
      <c r="F107" s="538"/>
      <c r="G107" s="539">
        <f>IFERROR(F107/$F$120,0)</f>
        <v>0</v>
      </c>
      <c r="H107" s="94">
        <f>E107*G107</f>
        <v>0</v>
      </c>
      <c r="Q107" s="939"/>
      <c r="R107" s="44"/>
    </row>
    <row r="108" spans="1:18" s="29" customFormat="1">
      <c r="A108" s="597">
        <v>4.2</v>
      </c>
      <c r="B108" s="848" t="s">
        <v>198</v>
      </c>
      <c r="C108" s="924"/>
      <c r="D108" s="849"/>
      <c r="E108" s="93">
        <f>VLOOKUP(A108,'Point Allocation'!$A$20:$J$41,MATCH(A7,'Point Allocation'!$A$20:$J$20,0),0)</f>
        <v>25</v>
      </c>
      <c r="F108" s="538"/>
      <c r="G108" s="539">
        <f>IFERROR(F108/$F$120,0)</f>
        <v>0</v>
      </c>
      <c r="H108" s="94">
        <f>E108*G108</f>
        <v>0</v>
      </c>
      <c r="Q108" s="52"/>
      <c r="R108" s="44"/>
    </row>
    <row r="109" spans="1:18" s="29" customFormat="1">
      <c r="A109" s="597">
        <v>4.3</v>
      </c>
      <c r="B109" s="925" t="s">
        <v>150</v>
      </c>
      <c r="C109" s="926"/>
      <c r="D109" s="927"/>
      <c r="E109" s="93">
        <f>VLOOKUP(A109,'Point Allocation'!$A$20:$J$41,MATCH(A7,'Point Allocation'!$A$20:$J$20,0),0)</f>
        <v>25</v>
      </c>
      <c r="F109" s="538"/>
      <c r="G109" s="539">
        <f>IFERROR(F109/$F$120,0)</f>
        <v>0</v>
      </c>
      <c r="H109" s="174">
        <f>E109*G109</f>
        <v>0</v>
      </c>
      <c r="Q109" s="52"/>
      <c r="R109" s="44"/>
    </row>
    <row r="110" spans="1:18" s="29" customFormat="1">
      <c r="A110" s="597">
        <v>4.4000000000000004</v>
      </c>
      <c r="B110" s="925" t="s">
        <v>320</v>
      </c>
      <c r="C110" s="926"/>
      <c r="D110" s="927"/>
      <c r="E110" s="93">
        <f>VLOOKUP(A110,'Point Allocation'!$A$20:$J$41,MATCH(A7,'Point Allocation'!$A$20:$J$20,0),0)</f>
        <v>22</v>
      </c>
      <c r="F110" s="538"/>
      <c r="G110" s="539">
        <f>IFERROR(F110/$F$120,0)</f>
        <v>0</v>
      </c>
      <c r="H110" s="174">
        <f>E110*G110</f>
        <v>0</v>
      </c>
      <c r="Q110" s="52"/>
      <c r="R110" s="44"/>
    </row>
    <row r="111" spans="1:18" s="29" customFormat="1" ht="15.6">
      <c r="A111" s="95" t="s">
        <v>281</v>
      </c>
      <c r="B111" s="95" t="s">
        <v>223</v>
      </c>
      <c r="C111" s="96"/>
      <c r="D111" s="97"/>
      <c r="E111" s="98"/>
      <c r="F111" s="99"/>
      <c r="G111" s="100"/>
      <c r="H111" s="615"/>
      <c r="Q111" s="52"/>
      <c r="R111" s="44"/>
    </row>
    <row r="112" spans="1:18" s="29" customFormat="1" ht="15.6">
      <c r="A112" s="82">
        <v>5</v>
      </c>
      <c r="B112" s="82" t="s">
        <v>224</v>
      </c>
      <c r="C112" s="89"/>
      <c r="D112" s="89"/>
      <c r="E112" s="91"/>
      <c r="F112" s="91"/>
      <c r="G112" s="92"/>
      <c r="H112" s="614"/>
      <c r="Q112" s="52"/>
      <c r="R112" s="44"/>
    </row>
    <row r="113" spans="1:18" s="29" customFormat="1">
      <c r="A113" s="597">
        <v>5.0999999999999996</v>
      </c>
      <c r="B113" s="822" t="s">
        <v>199</v>
      </c>
      <c r="C113" s="823"/>
      <c r="D113" s="824"/>
      <c r="E113" s="101">
        <f>VLOOKUP(A113,'Point Allocation'!$A$20:$J$41,MATCH(A7,'Point Allocation'!$A$20:$J$20,0),0)</f>
        <v>16</v>
      </c>
      <c r="F113" s="147"/>
      <c r="G113" s="539">
        <f>IFERROR(F113/$F$120,0)</f>
        <v>0</v>
      </c>
      <c r="H113" s="547">
        <f>E113*G113</f>
        <v>0</v>
      </c>
      <c r="Q113" s="52"/>
      <c r="R113" s="44"/>
    </row>
    <row r="114" spans="1:18" s="29" customFormat="1">
      <c r="A114" s="597">
        <v>5.2</v>
      </c>
      <c r="B114" s="822" t="s">
        <v>321</v>
      </c>
      <c r="C114" s="823"/>
      <c r="D114" s="824"/>
      <c r="E114" s="101">
        <f>VLOOKUP(A114,'Point Allocation'!$A$20:$J$41,MATCH(A7,'Point Allocation'!$A$20:$J$20,0),0)</f>
        <v>5</v>
      </c>
      <c r="F114" s="86"/>
      <c r="G114" s="539">
        <f>IFERROR(F114/$F$120,0)</f>
        <v>0</v>
      </c>
      <c r="H114" s="547">
        <f>E114*G114</f>
        <v>0</v>
      </c>
      <c r="Q114" s="52"/>
      <c r="R114" s="44"/>
    </row>
    <row r="115" spans="1:18" s="29" customFormat="1">
      <c r="A115" s="597">
        <v>5.3</v>
      </c>
      <c r="B115" s="822" t="s">
        <v>322</v>
      </c>
      <c r="C115" s="823"/>
      <c r="D115" s="824"/>
      <c r="E115" s="101">
        <f>VLOOKUP(A115,'Point Allocation'!$A$20:$J$41,MATCH(A7,'Point Allocation'!$A$20:$J$20,0),0)</f>
        <v>0</v>
      </c>
      <c r="F115" s="146"/>
      <c r="G115" s="539">
        <f>IFERROR(F115/$F$120,0)</f>
        <v>0</v>
      </c>
      <c r="H115" s="616">
        <f>E115*G115</f>
        <v>0</v>
      </c>
      <c r="Q115" s="52"/>
      <c r="R115" s="44"/>
    </row>
    <row r="116" spans="1:18" s="29" customFormat="1" ht="15.6">
      <c r="A116" s="102">
        <v>6</v>
      </c>
      <c r="B116" s="102" t="s">
        <v>202</v>
      </c>
      <c r="C116" s="89"/>
      <c r="D116" s="89"/>
      <c r="E116" s="91"/>
      <c r="F116" s="91"/>
      <c r="G116" s="92"/>
      <c r="H116" s="614"/>
      <c r="Q116" s="52"/>
      <c r="R116" s="44"/>
    </row>
    <row r="117" spans="1:18" s="29" customFormat="1">
      <c r="A117" s="386">
        <v>6.1</v>
      </c>
      <c r="B117" s="765"/>
      <c r="C117" s="766"/>
      <c r="D117" s="847"/>
      <c r="E117" s="538"/>
      <c r="F117" s="538"/>
      <c r="G117" s="539">
        <f>IFERROR(F117/$F$120,0)</f>
        <v>0</v>
      </c>
      <c r="H117" s="616">
        <f>E117*G117</f>
        <v>0</v>
      </c>
      <c r="Q117" s="52"/>
      <c r="R117" s="44"/>
    </row>
    <row r="118" spans="1:18" s="29" customFormat="1">
      <c r="A118" s="386">
        <v>6.2</v>
      </c>
      <c r="B118" s="765"/>
      <c r="C118" s="766"/>
      <c r="D118" s="847"/>
      <c r="E118" s="538"/>
      <c r="F118" s="538"/>
      <c r="G118" s="539">
        <f>IFERROR(F118/$F$120,0)</f>
        <v>0</v>
      </c>
      <c r="H118" s="616">
        <f>E118*G118</f>
        <v>0</v>
      </c>
      <c r="Q118" s="52"/>
      <c r="R118" s="44"/>
    </row>
    <row r="119" spans="1:18" s="29" customFormat="1">
      <c r="A119" s="386">
        <v>6.3</v>
      </c>
      <c r="B119" s="920"/>
      <c r="C119" s="920"/>
      <c r="D119" s="920"/>
      <c r="E119" s="538"/>
      <c r="F119" s="538"/>
      <c r="G119" s="539">
        <f>IFERROR(F119/$F$120,0)</f>
        <v>0</v>
      </c>
      <c r="H119" s="616">
        <f>E119*G119</f>
        <v>0</v>
      </c>
      <c r="Q119" s="52"/>
      <c r="R119" s="44"/>
    </row>
    <row r="120" spans="1:18" s="29" customFormat="1" ht="15.6">
      <c r="A120" s="604"/>
      <c r="B120" s="307"/>
      <c r="C120" s="305"/>
      <c r="D120" s="305"/>
      <c r="E120" s="312" t="s">
        <v>61</v>
      </c>
      <c r="F120" s="315">
        <f>SUM(F96:F119)+E19</f>
        <v>0</v>
      </c>
      <c r="G120" s="316">
        <f>SUM(G96:G119)+F19</f>
        <v>0</v>
      </c>
      <c r="H120" s="617">
        <f>IFERROR(SUM(H96:H119),0)</f>
        <v>0</v>
      </c>
      <c r="Q120" s="52"/>
      <c r="R120" s="44"/>
    </row>
    <row r="121" spans="1:18" s="29" customFormat="1" ht="15.6" thickBot="1">
      <c r="A121" s="594"/>
      <c r="B121" s="361"/>
      <c r="C121" s="362"/>
      <c r="D121" s="362"/>
      <c r="E121" s="362"/>
      <c r="F121" s="362"/>
      <c r="G121" s="354"/>
      <c r="H121" s="595"/>
      <c r="Q121" s="52"/>
      <c r="R121" s="44"/>
    </row>
    <row r="122" spans="1:18" s="29" customFormat="1" ht="31.2">
      <c r="A122" s="618" t="s">
        <v>0</v>
      </c>
      <c r="B122" s="458"/>
      <c r="C122" s="458"/>
      <c r="D122" s="549" t="s">
        <v>17</v>
      </c>
      <c r="E122" s="459" t="s">
        <v>80</v>
      </c>
      <c r="F122" s="460" t="s">
        <v>301</v>
      </c>
      <c r="G122" s="460" t="s">
        <v>302</v>
      </c>
      <c r="H122" s="549" t="s">
        <v>52</v>
      </c>
      <c r="Q122" s="52"/>
      <c r="R122" s="44"/>
    </row>
    <row r="123" spans="1:18" s="29" customFormat="1" ht="15.6">
      <c r="A123" s="79" t="s">
        <v>225</v>
      </c>
      <c r="B123" s="79" t="s">
        <v>299</v>
      </c>
      <c r="C123" s="80"/>
      <c r="D123" s="81"/>
      <c r="E123" s="81"/>
      <c r="F123" s="81"/>
      <c r="G123" s="81"/>
      <c r="H123" s="610"/>
      <c r="Q123" s="52"/>
      <c r="R123" s="44"/>
    </row>
    <row r="124" spans="1:18" s="29" customFormat="1" ht="15.6">
      <c r="A124" s="82">
        <v>7</v>
      </c>
      <c r="B124" s="82" t="s">
        <v>304</v>
      </c>
      <c r="C124" s="83"/>
      <c r="D124" s="84"/>
      <c r="E124" s="84"/>
      <c r="F124" s="84"/>
      <c r="G124" s="84"/>
      <c r="H124" s="611"/>
      <c r="Q124" s="52"/>
      <c r="R124" s="44"/>
    </row>
    <row r="125" spans="1:18" s="29" customFormat="1" ht="15" customHeight="1">
      <c r="A125" s="543">
        <v>7.1</v>
      </c>
      <c r="B125" s="858" t="s">
        <v>271</v>
      </c>
      <c r="C125" s="840"/>
      <c r="D125" s="94">
        <f>VLOOKUP(A125,'Point Allocation'!$A$20:$J$41,MATCH(A7,'Point Allocation'!$A$20:$J$20,0),0)</f>
        <v>10</v>
      </c>
      <c r="E125" s="85">
        <f>F96</f>
        <v>0</v>
      </c>
      <c r="F125" s="85">
        <f>F32</f>
        <v>0</v>
      </c>
      <c r="G125" s="87">
        <f>IFERROR(SUM(E125:F125)/SUM($E$143:$F$143),0)</f>
        <v>0</v>
      </c>
      <c r="H125" s="612">
        <f>D125*G125</f>
        <v>0</v>
      </c>
      <c r="Q125" s="52"/>
      <c r="R125" s="44"/>
    </row>
    <row r="126" spans="1:18" s="29" customFormat="1" ht="15.6">
      <c r="A126" s="88">
        <v>8</v>
      </c>
      <c r="B126" s="88" t="s">
        <v>305</v>
      </c>
      <c r="C126" s="89"/>
      <c r="D126" s="90"/>
      <c r="E126" s="91"/>
      <c r="F126" s="91"/>
      <c r="G126" s="92"/>
      <c r="H126" s="613"/>
      <c r="Q126" s="52"/>
      <c r="R126" s="44"/>
    </row>
    <row r="127" spans="1:18" s="29" customFormat="1">
      <c r="A127" s="814">
        <v>8.1</v>
      </c>
      <c r="B127" s="822" t="s">
        <v>303</v>
      </c>
      <c r="C127" s="824"/>
      <c r="D127" s="921">
        <f>VLOOKUP(A127,'Point Allocation'!$A$20:$J$41,MATCH(A7,'Point Allocation'!$A$20:$J$20,0),0)</f>
        <v>8</v>
      </c>
      <c r="E127" s="945">
        <f>F98</f>
        <v>0</v>
      </c>
      <c r="F127" s="946"/>
      <c r="G127" s="983">
        <f>IFERROR(SUM(E127:F128)/SUM($E$143:$F$143),0)</f>
        <v>0</v>
      </c>
      <c r="H127" s="819">
        <f>D127*G127</f>
        <v>0</v>
      </c>
      <c r="Q127" s="52"/>
      <c r="R127" s="44"/>
    </row>
    <row r="128" spans="1:18" s="29" customFormat="1" ht="15.6">
      <c r="A128" s="815"/>
      <c r="B128" s="816" t="s">
        <v>119</v>
      </c>
      <c r="C128" s="818"/>
      <c r="D128" s="922"/>
      <c r="E128" s="945"/>
      <c r="F128" s="946"/>
      <c r="G128" s="984"/>
      <c r="H128" s="819"/>
      <c r="Q128" s="52"/>
      <c r="R128" s="44"/>
    </row>
    <row r="129" spans="1:18" s="29" customFormat="1">
      <c r="A129" s="543">
        <v>8.1999999999999993</v>
      </c>
      <c r="B129" s="825" t="s">
        <v>606</v>
      </c>
      <c r="C129" s="827"/>
      <c r="D129" s="94">
        <f>VLOOKUP(A129,'Point Allocation'!$A$20:$J$41,MATCH(A7,'Point Allocation'!$A$20:$J$20,0),0)</f>
        <v>8</v>
      </c>
      <c r="E129" s="174">
        <f>F100</f>
        <v>0</v>
      </c>
      <c r="F129" s="555"/>
      <c r="G129" s="87">
        <f>IFERROR(SUM(E129:F129)/SUM($E$143:$F$143),0)</f>
        <v>0</v>
      </c>
      <c r="H129" s="94">
        <f>D129*G129</f>
        <v>0</v>
      </c>
      <c r="Q129" s="52"/>
      <c r="R129" s="44"/>
    </row>
    <row r="130" spans="1:18" s="29" customFormat="1" ht="15.6">
      <c r="A130" s="82">
        <v>9</v>
      </c>
      <c r="B130" s="82" t="s">
        <v>306</v>
      </c>
      <c r="C130" s="89"/>
      <c r="D130" s="91"/>
      <c r="E130" s="91"/>
      <c r="F130" s="91"/>
      <c r="G130" s="92"/>
      <c r="H130" s="614"/>
      <c r="Q130" s="52"/>
      <c r="R130" s="44"/>
    </row>
    <row r="131" spans="1:18" s="29" customFormat="1">
      <c r="A131" s="814">
        <v>9.1</v>
      </c>
      <c r="B131" s="822" t="s">
        <v>339</v>
      </c>
      <c r="C131" s="824"/>
      <c r="D131" s="921">
        <f>VLOOKUP(A131,'Point Allocation'!$A$20:$J$41,MATCH(A7,'Point Allocation'!$A$20:$J$20,0),0)</f>
        <v>6</v>
      </c>
      <c r="E131" s="946"/>
      <c r="F131" s="946"/>
      <c r="G131" s="821">
        <f>IFERROR(SUM(E131:F132)/SUM($E$143:$F$143),0)</f>
        <v>0</v>
      </c>
      <c r="H131" s="819">
        <f>D131*G131</f>
        <v>0</v>
      </c>
      <c r="Q131" s="52"/>
      <c r="R131" s="44"/>
    </row>
    <row r="132" spans="1:18" s="29" customFormat="1" ht="15.6">
      <c r="A132" s="815"/>
      <c r="B132" s="816" t="s">
        <v>5</v>
      </c>
      <c r="C132" s="818"/>
      <c r="D132" s="922"/>
      <c r="E132" s="946"/>
      <c r="F132" s="946"/>
      <c r="G132" s="821"/>
      <c r="H132" s="819"/>
      <c r="Q132" s="52"/>
      <c r="R132" s="44"/>
    </row>
    <row r="133" spans="1:18" s="29" customFormat="1" ht="15.6">
      <c r="A133" s="82">
        <v>10</v>
      </c>
      <c r="B133" s="82" t="s">
        <v>308</v>
      </c>
      <c r="C133" s="89"/>
      <c r="D133" s="91"/>
      <c r="E133" s="91"/>
      <c r="F133" s="91"/>
      <c r="G133" s="92"/>
      <c r="H133" s="614"/>
      <c r="Q133" s="52"/>
      <c r="R133" s="44"/>
    </row>
    <row r="134" spans="1:18" s="29" customFormat="1" ht="15" customHeight="1">
      <c r="A134" s="541">
        <v>10.1</v>
      </c>
      <c r="B134" s="822" t="s">
        <v>340</v>
      </c>
      <c r="C134" s="824"/>
      <c r="D134" s="94">
        <f>VLOOKUP(A134,'Point Allocation'!$A$20:$J$41,MATCH(A7,'Point Allocation'!$A$20:$J$20,0),0)</f>
        <v>4</v>
      </c>
      <c r="E134" s="555"/>
      <c r="F134" s="555"/>
      <c r="G134" s="87">
        <f>IFERROR(SUM(E134:F134)/SUM($E$143:$F$143),0)</f>
        <v>0</v>
      </c>
      <c r="H134" s="94">
        <f>D134*G134</f>
        <v>0</v>
      </c>
      <c r="Q134" s="52"/>
      <c r="R134" s="44"/>
    </row>
    <row r="135" spans="1:18" s="29" customFormat="1" ht="32.25" customHeight="1">
      <c r="A135" s="589">
        <v>10.199999999999999</v>
      </c>
      <c r="B135" s="825" t="s">
        <v>318</v>
      </c>
      <c r="C135" s="827"/>
      <c r="D135" s="94">
        <f>VLOOKUP(A135,'Point Allocation'!$A$20:$J$41,MATCH(A7,'Point Allocation'!$A$20:$J$20,0),0)</f>
        <v>4</v>
      </c>
      <c r="E135" s="173"/>
      <c r="F135" s="555"/>
      <c r="G135" s="539">
        <f>IFERROR(SUM(E135:F135)/SUM($E$143:$F$143),0)</f>
        <v>0</v>
      </c>
      <c r="H135" s="94">
        <f>D135*G135</f>
        <v>0</v>
      </c>
      <c r="Q135" s="52"/>
      <c r="R135" s="44"/>
    </row>
    <row r="136" spans="1:18" s="29" customFormat="1" ht="15.6">
      <c r="A136" s="95" t="s">
        <v>226</v>
      </c>
      <c r="B136" s="95" t="s">
        <v>248</v>
      </c>
      <c r="C136" s="96"/>
      <c r="D136" s="98"/>
      <c r="E136" s="99"/>
      <c r="F136" s="99"/>
      <c r="G136" s="100"/>
      <c r="H136" s="615"/>
      <c r="Q136" s="52"/>
      <c r="R136" s="44"/>
    </row>
    <row r="137" spans="1:18" s="29" customFormat="1" ht="15.6">
      <c r="A137" s="82">
        <v>11</v>
      </c>
      <c r="B137" s="82" t="s">
        <v>249</v>
      </c>
      <c r="C137" s="89"/>
      <c r="D137" s="91"/>
      <c r="E137" s="91"/>
      <c r="F137" s="91"/>
      <c r="G137" s="92"/>
      <c r="H137" s="614"/>
      <c r="Q137" s="52"/>
      <c r="R137" s="44"/>
    </row>
    <row r="138" spans="1:18" s="29" customFormat="1">
      <c r="A138" s="541">
        <v>11.1</v>
      </c>
      <c r="B138" s="822" t="s">
        <v>642</v>
      </c>
      <c r="C138" s="824"/>
      <c r="D138" s="94">
        <f>VLOOKUP(A138,'Point Allocation'!$A$20:$J$41,MATCH(A7,'Point Allocation'!$A$20:$J$20,0),0)</f>
        <v>2</v>
      </c>
      <c r="E138" s="555"/>
      <c r="F138" s="555"/>
      <c r="G138" s="539">
        <f>IFERROR(SUM(E138:F138)/SUM($E$143:$F$143),0)</f>
        <v>0</v>
      </c>
      <c r="H138" s="94">
        <f t="shared" ref="H138:H142" si="2">D138*G138</f>
        <v>0</v>
      </c>
      <c r="Q138" s="52"/>
      <c r="R138" s="44"/>
    </row>
    <row r="139" spans="1:18" s="29" customFormat="1">
      <c r="A139" s="619">
        <v>11.2</v>
      </c>
      <c r="B139" s="848" t="s">
        <v>310</v>
      </c>
      <c r="C139" s="849"/>
      <c r="D139" s="174">
        <f>VLOOKUP(A138,'Point Allocation'!$A$20:$J$41,MATCH(A7,'Point Allocation'!$A$20:$J$20,0),0)</f>
        <v>2</v>
      </c>
      <c r="E139" s="555"/>
      <c r="F139" s="555"/>
      <c r="G139" s="539">
        <f>IFERROR(SUM(E139:F139)/SUM($E$143:$F$143),0)</f>
        <v>0</v>
      </c>
      <c r="H139" s="94">
        <f t="shared" si="2"/>
        <v>0</v>
      </c>
      <c r="Q139" s="52"/>
      <c r="R139" s="44"/>
    </row>
    <row r="140" spans="1:18" s="29" customFormat="1">
      <c r="A140" s="541">
        <v>11.3</v>
      </c>
      <c r="B140" s="848" t="s">
        <v>317</v>
      </c>
      <c r="C140" s="849"/>
      <c r="D140" s="94">
        <f>VLOOKUP(A140,'Point Allocation'!$A$20:$J$41,MATCH(A7,'Point Allocation'!$A$20:$J$20,0),0)</f>
        <v>0</v>
      </c>
      <c r="E140" s="555"/>
      <c r="F140" s="555"/>
      <c r="G140" s="539">
        <f>IFERROR(SUM(E140:F140)/SUM($E$143:$F$143),0)</f>
        <v>0</v>
      </c>
      <c r="H140" s="94">
        <f t="shared" si="2"/>
        <v>0</v>
      </c>
      <c r="Q140" s="52"/>
      <c r="R140" s="44"/>
    </row>
    <row r="141" spans="1:18" s="29" customFormat="1">
      <c r="A141" s="620">
        <v>11.4</v>
      </c>
      <c r="B141" s="968"/>
      <c r="C141" s="969"/>
      <c r="D141" s="538"/>
      <c r="E141" s="555"/>
      <c r="F141" s="555"/>
      <c r="G141" s="539">
        <f>IFERROR(SUM(E141:F141)/SUM($E$143:$F$143),0)</f>
        <v>0</v>
      </c>
      <c r="H141" s="94">
        <f t="shared" si="2"/>
        <v>0</v>
      </c>
      <c r="Q141" s="52"/>
      <c r="R141" s="44"/>
    </row>
    <row r="142" spans="1:18" s="29" customFormat="1">
      <c r="A142" s="620">
        <v>11.5</v>
      </c>
      <c r="B142" s="968"/>
      <c r="C142" s="969"/>
      <c r="D142" s="538"/>
      <c r="E142" s="555"/>
      <c r="F142" s="555"/>
      <c r="G142" s="539">
        <f>IFERROR(SUM(E142:F142)/SUM($E$143:$F$143),0)</f>
        <v>0</v>
      </c>
      <c r="H142" s="94">
        <f t="shared" si="2"/>
        <v>0</v>
      </c>
      <c r="Q142" s="52"/>
      <c r="R142" s="44"/>
    </row>
    <row r="143" spans="1:18" s="29" customFormat="1" ht="15.6">
      <c r="A143" s="592"/>
      <c r="B143" s="307"/>
      <c r="C143" s="305"/>
      <c r="D143" s="312" t="s">
        <v>131</v>
      </c>
      <c r="E143" s="315">
        <f>SUM(E125:E142)</f>
        <v>0</v>
      </c>
      <c r="F143" s="317">
        <f>SUM(F125:F142)</f>
        <v>0</v>
      </c>
      <c r="G143" s="318">
        <f>SUM(G125:G142)</f>
        <v>0</v>
      </c>
      <c r="H143" s="621">
        <f>IFERROR(SUM(H125:H142),0)</f>
        <v>0</v>
      </c>
      <c r="Q143" s="52"/>
      <c r="R143" s="44"/>
    </row>
    <row r="144" spans="1:18" s="29" customFormat="1">
      <c r="A144" s="622"/>
      <c r="B144" s="307"/>
      <c r="C144" s="305"/>
      <c r="D144" s="305"/>
      <c r="E144" s="305"/>
      <c r="F144" s="305"/>
      <c r="G144" s="314"/>
      <c r="H144" s="571"/>
      <c r="Q144" s="52"/>
      <c r="R144" s="44"/>
    </row>
    <row r="145" spans="1:18" s="29" customFormat="1" ht="46.8">
      <c r="A145" s="970" t="s">
        <v>0</v>
      </c>
      <c r="B145" s="971"/>
      <c r="C145" s="163"/>
      <c r="D145" s="550" t="s">
        <v>57</v>
      </c>
      <c r="E145" s="550" t="s">
        <v>58</v>
      </c>
      <c r="F145" s="956" t="s">
        <v>59</v>
      </c>
      <c r="G145" s="956"/>
      <c r="H145" s="623" t="s">
        <v>62</v>
      </c>
      <c r="J145" s="103" t="s">
        <v>71</v>
      </c>
      <c r="K145" s="103">
        <v>1</v>
      </c>
      <c r="L145" s="103">
        <v>2</v>
      </c>
      <c r="M145" s="103">
        <v>3</v>
      </c>
      <c r="N145" s="103">
        <v>4</v>
      </c>
      <c r="O145" s="103">
        <v>5</v>
      </c>
      <c r="P145" s="103">
        <v>6</v>
      </c>
      <c r="Q145" s="52"/>
      <c r="R145" s="44"/>
    </row>
    <row r="146" spans="1:18" s="29" customFormat="1" ht="15.6">
      <c r="A146" s="126" t="s">
        <v>227</v>
      </c>
      <c r="B146" s="126" t="s">
        <v>139</v>
      </c>
      <c r="C146" s="162"/>
      <c r="D146" s="56"/>
      <c r="E146" s="56"/>
      <c r="F146" s="57"/>
      <c r="G146" s="104"/>
      <c r="H146" s="624"/>
      <c r="J146" s="103" t="s">
        <v>73</v>
      </c>
      <c r="K146" s="103" t="s">
        <v>72</v>
      </c>
      <c r="L146" s="103">
        <v>1</v>
      </c>
      <c r="M146" s="103">
        <v>2</v>
      </c>
      <c r="N146" s="103">
        <v>3</v>
      </c>
      <c r="O146" s="103">
        <v>4</v>
      </c>
      <c r="P146" s="103">
        <v>4</v>
      </c>
      <c r="Q146" s="52"/>
      <c r="R146" s="44"/>
    </row>
    <row r="147" spans="1:18" s="29" customFormat="1">
      <c r="A147" s="625" t="s">
        <v>228</v>
      </c>
      <c r="B147" s="386" t="s">
        <v>394</v>
      </c>
      <c r="C147" s="164" t="s">
        <v>55</v>
      </c>
      <c r="D147" s="820"/>
      <c r="E147" s="820"/>
      <c r="F147" s="949" t="str">
        <f>IF(D147&gt;9,D147/E147," ")</f>
        <v xml:space="preserve"> </v>
      </c>
      <c r="G147" s="949"/>
      <c r="H147" s="94">
        <f>IF(D147="",0,IF(D147&lt;9,2,IF((D147/E147)=0,2,IF((D147/E147)&lt;10%,1.5,IF((D147/E147)&lt;15%,1,IF((D147/E147)&lt;20%,0.5,0))))))</f>
        <v>0</v>
      </c>
      <c r="J147" s="103" t="s">
        <v>74</v>
      </c>
      <c r="K147" s="103" t="s">
        <v>72</v>
      </c>
      <c r="L147" s="103">
        <v>5</v>
      </c>
      <c r="M147" s="103">
        <v>15</v>
      </c>
      <c r="N147" s="103">
        <v>25</v>
      </c>
      <c r="O147" s="103">
        <v>35</v>
      </c>
      <c r="P147" s="103">
        <v>35</v>
      </c>
      <c r="Q147" s="52"/>
      <c r="R147" s="44"/>
    </row>
    <row r="148" spans="1:18" s="29" customFormat="1">
      <c r="A148" s="625" t="s">
        <v>229</v>
      </c>
      <c r="B148" s="386" t="s">
        <v>395</v>
      </c>
      <c r="C148" s="164" t="s">
        <v>56</v>
      </c>
      <c r="D148" s="820"/>
      <c r="E148" s="820"/>
      <c r="F148" s="950"/>
      <c r="G148" s="950"/>
      <c r="H148" s="94">
        <f>IF(E147="",0,IF(E147&lt;15,HLOOKUP(F148,J145:P152,4,FALSE),IF(E147&lt;45,HLOOKUP(F148,J145:P152,5,FALSE),IF(E147&lt;90,HLOOKUP(F148,J145:P152,6,FALSE),IF(E147&lt;135,HLOOKUP(F148,J145:P152,7,FALSE),IF(E147&gt;=135,HLOOKUP(F148,J145:P152,8,FALSE),3))))))</f>
        <v>0</v>
      </c>
      <c r="I148" s="54"/>
      <c r="J148" s="103" t="s">
        <v>75</v>
      </c>
      <c r="K148" s="103">
        <v>3</v>
      </c>
      <c r="L148" s="103">
        <v>3</v>
      </c>
      <c r="M148" s="103">
        <v>3</v>
      </c>
      <c r="N148" s="103">
        <v>2.5</v>
      </c>
      <c r="O148" s="103">
        <v>1.5</v>
      </c>
      <c r="P148" s="103">
        <v>0</v>
      </c>
      <c r="Q148" s="52"/>
      <c r="R148" s="44"/>
    </row>
    <row r="149" spans="1:18" s="29" customFormat="1">
      <c r="A149" s="592"/>
      <c r="B149" s="307"/>
      <c r="C149" s="314"/>
      <c r="D149" s="319"/>
      <c r="E149" s="319"/>
      <c r="F149" s="319"/>
      <c r="G149" s="319"/>
      <c r="H149" s="626"/>
      <c r="I149" s="54"/>
      <c r="J149" s="103" t="s">
        <v>76</v>
      </c>
      <c r="K149" s="103">
        <v>3</v>
      </c>
      <c r="L149" s="103">
        <v>3</v>
      </c>
      <c r="M149" s="103">
        <v>2.5</v>
      </c>
      <c r="N149" s="103">
        <v>1.5</v>
      </c>
      <c r="O149" s="103">
        <v>1</v>
      </c>
      <c r="P149" s="103">
        <v>0</v>
      </c>
      <c r="Q149" s="52"/>
      <c r="R149" s="44"/>
    </row>
    <row r="150" spans="1:18" s="29" customFormat="1" ht="15.6">
      <c r="A150" s="592"/>
      <c r="B150" s="320"/>
      <c r="C150" s="314"/>
      <c r="D150" s="314"/>
      <c r="E150" s="314"/>
      <c r="F150" s="305"/>
      <c r="G150" s="321"/>
      <c r="H150" s="627"/>
      <c r="I150" s="54"/>
      <c r="J150" s="103" t="s">
        <v>77</v>
      </c>
      <c r="K150" s="103">
        <v>3</v>
      </c>
      <c r="L150" s="103">
        <v>2.5</v>
      </c>
      <c r="M150" s="103">
        <v>1.5</v>
      </c>
      <c r="N150" s="103">
        <v>1</v>
      </c>
      <c r="O150" s="103">
        <v>0</v>
      </c>
      <c r="P150" s="103">
        <v>0</v>
      </c>
      <c r="Q150" s="52"/>
      <c r="R150" s="44"/>
    </row>
    <row r="151" spans="1:18" s="29" customFormat="1" ht="15.75" customHeight="1">
      <c r="A151" s="972" t="s">
        <v>0</v>
      </c>
      <c r="B151" s="973"/>
      <c r="C151" s="888"/>
      <c r="D151" s="974" t="s">
        <v>4</v>
      </c>
      <c r="E151" s="951" t="s">
        <v>1</v>
      </c>
      <c r="F151" s="952"/>
      <c r="G151" s="953" t="s">
        <v>21</v>
      </c>
      <c r="H151" s="947" t="s">
        <v>62</v>
      </c>
      <c r="I151" s="54"/>
      <c r="J151" s="103" t="s">
        <v>78</v>
      </c>
      <c r="K151" s="103">
        <v>3</v>
      </c>
      <c r="L151" s="103">
        <v>1.5</v>
      </c>
      <c r="M151" s="103">
        <v>1</v>
      </c>
      <c r="N151" s="103">
        <v>0</v>
      </c>
      <c r="O151" s="103">
        <v>0</v>
      </c>
      <c r="P151" s="103">
        <v>0</v>
      </c>
      <c r="Q151" s="52"/>
      <c r="R151" s="44"/>
    </row>
    <row r="152" spans="1:18" s="29" customFormat="1" ht="30" customHeight="1">
      <c r="A152" s="867"/>
      <c r="B152" s="868"/>
      <c r="C152" s="870"/>
      <c r="D152" s="952"/>
      <c r="E152" s="550" t="s">
        <v>64</v>
      </c>
      <c r="F152" s="550" t="s">
        <v>65</v>
      </c>
      <c r="G152" s="954"/>
      <c r="H152" s="948"/>
      <c r="I152" s="54"/>
      <c r="J152" s="103" t="s">
        <v>79</v>
      </c>
      <c r="K152" s="103">
        <v>3</v>
      </c>
      <c r="L152" s="103">
        <v>1</v>
      </c>
      <c r="M152" s="103">
        <v>0</v>
      </c>
      <c r="N152" s="103">
        <v>0</v>
      </c>
      <c r="O152" s="103">
        <v>0</v>
      </c>
      <c r="P152" s="103">
        <v>0</v>
      </c>
      <c r="Q152" s="52"/>
      <c r="R152" s="44"/>
    </row>
    <row r="153" spans="1:18" s="29" customFormat="1" ht="15.6">
      <c r="A153" s="105" t="s">
        <v>230</v>
      </c>
      <c r="B153" s="105" t="s">
        <v>516</v>
      </c>
      <c r="C153" s="106"/>
      <c r="D153" s="106"/>
      <c r="E153" s="106"/>
      <c r="F153" s="110"/>
      <c r="G153" s="111"/>
      <c r="H153" s="628"/>
      <c r="J153" s="103" t="s">
        <v>73</v>
      </c>
      <c r="K153" s="103" t="s">
        <v>72</v>
      </c>
      <c r="L153" s="103">
        <v>1</v>
      </c>
      <c r="M153" s="103">
        <v>2</v>
      </c>
      <c r="N153" s="103">
        <v>3</v>
      </c>
      <c r="O153" s="103">
        <v>4</v>
      </c>
      <c r="P153" s="103">
        <v>4</v>
      </c>
      <c r="Q153" s="52"/>
      <c r="R153" s="44"/>
    </row>
    <row r="154" spans="1:18" s="29" customFormat="1" ht="15.6">
      <c r="A154" s="149" t="s">
        <v>231</v>
      </c>
      <c r="B154" s="149" t="s">
        <v>517</v>
      </c>
      <c r="C154" s="150"/>
      <c r="D154" s="151"/>
      <c r="E154" s="152"/>
      <c r="F154" s="152"/>
      <c r="G154" s="153"/>
      <c r="H154" s="629"/>
      <c r="I154" s="54"/>
      <c r="Q154" s="52"/>
      <c r="R154" s="44"/>
    </row>
    <row r="155" spans="1:18" s="29" customFormat="1">
      <c r="A155" s="630" t="s">
        <v>232</v>
      </c>
      <c r="B155" s="825" t="s">
        <v>612</v>
      </c>
      <c r="C155" s="827"/>
      <c r="D155" s="522" t="s">
        <v>50</v>
      </c>
      <c r="E155" s="523">
        <v>2</v>
      </c>
      <c r="F155" s="523">
        <v>3</v>
      </c>
      <c r="G155" s="27"/>
      <c r="H155" s="434">
        <f t="shared" ref="H155:H166" si="3">IF(G155&gt;=80%,F155,IF(G155&lt;65%,0,E155))</f>
        <v>0</v>
      </c>
      <c r="Q155" s="52"/>
      <c r="R155" s="44"/>
    </row>
    <row r="156" spans="1:18" s="29" customFormat="1">
      <c r="A156" s="630" t="s">
        <v>233</v>
      </c>
      <c r="B156" s="917" t="s">
        <v>613</v>
      </c>
      <c r="C156" s="843"/>
      <c r="D156" s="483" t="s">
        <v>50</v>
      </c>
      <c r="E156" s="434">
        <v>2</v>
      </c>
      <c r="F156" s="434">
        <v>3</v>
      </c>
      <c r="G156" s="553"/>
      <c r="H156" s="434">
        <f>IF(G156&gt;=80%,F156,IF(G156&lt;65%,0,E156))</f>
        <v>0</v>
      </c>
      <c r="Q156" s="52"/>
      <c r="R156" s="44"/>
    </row>
    <row r="157" spans="1:18" s="29" customFormat="1">
      <c r="A157" s="631" t="s">
        <v>234</v>
      </c>
      <c r="B157" s="917" t="s">
        <v>563</v>
      </c>
      <c r="C157" s="843"/>
      <c r="D157" s="524" t="s">
        <v>50</v>
      </c>
      <c r="E157" s="554">
        <v>2</v>
      </c>
      <c r="F157" s="434">
        <v>2.5</v>
      </c>
      <c r="G157" s="551"/>
      <c r="H157" s="434">
        <f t="shared" ref="H157" si="4">IF(G157&gt;=80%,F157,IF(G157&lt;65%,0,E157))</f>
        <v>0</v>
      </c>
      <c r="Q157" s="52"/>
      <c r="R157" s="44"/>
    </row>
    <row r="158" spans="1:18" s="29" customFormat="1">
      <c r="A158" s="631" t="s">
        <v>235</v>
      </c>
      <c r="B158" s="917" t="s">
        <v>623</v>
      </c>
      <c r="C158" s="843"/>
      <c r="D158" s="524" t="s">
        <v>50</v>
      </c>
      <c r="E158" s="554">
        <v>2</v>
      </c>
      <c r="F158" s="434">
        <v>2.5</v>
      </c>
      <c r="G158" s="551"/>
      <c r="H158" s="434">
        <f>IF(G158&gt;=80%,F158,IF(G158&lt;65%,0,E158))</f>
        <v>0</v>
      </c>
      <c r="Q158" s="52"/>
      <c r="R158" s="44"/>
    </row>
    <row r="159" spans="1:18" s="29" customFormat="1">
      <c r="A159" s="630" t="s">
        <v>371</v>
      </c>
      <c r="B159" s="875" t="s">
        <v>379</v>
      </c>
      <c r="C159" s="876"/>
      <c r="D159" s="530" t="s">
        <v>50</v>
      </c>
      <c r="E159" s="523">
        <v>2</v>
      </c>
      <c r="F159" s="523">
        <v>2.5</v>
      </c>
      <c r="G159" s="529"/>
      <c r="H159" s="434">
        <f>IF(G159&gt;=80%,F159,IF(G159&lt;65%,0,E159))</f>
        <v>0</v>
      </c>
      <c r="Q159" s="52"/>
      <c r="R159" s="44"/>
    </row>
    <row r="160" spans="1:18" s="29" customFormat="1" ht="30">
      <c r="A160" s="871" t="s">
        <v>519</v>
      </c>
      <c r="B160" s="873" t="s">
        <v>397</v>
      </c>
      <c r="C160" s="940"/>
      <c r="D160" s="524" t="s">
        <v>402</v>
      </c>
      <c r="E160" s="964">
        <v>2.5</v>
      </c>
      <c r="F160" s="965"/>
      <c r="G160" s="933"/>
      <c r="H160" s="931">
        <f>IF(G160&gt;=35,E161,IF(G160&gt;=30,E160,0))</f>
        <v>0</v>
      </c>
      <c r="Q160" s="52"/>
      <c r="R160" s="44"/>
    </row>
    <row r="161" spans="1:18" s="29" customFormat="1" ht="30">
      <c r="A161" s="872"/>
      <c r="B161" s="941"/>
      <c r="C161" s="942"/>
      <c r="D161" s="524" t="s">
        <v>396</v>
      </c>
      <c r="E161" s="964">
        <v>3</v>
      </c>
      <c r="F161" s="965"/>
      <c r="G161" s="934"/>
      <c r="H161" s="932"/>
      <c r="Q161" s="52"/>
      <c r="R161" s="44"/>
    </row>
    <row r="162" spans="1:18" s="29" customFormat="1" ht="31.5" customHeight="1">
      <c r="A162" s="871" t="s">
        <v>520</v>
      </c>
      <c r="B162" s="873" t="s">
        <v>398</v>
      </c>
      <c r="C162" s="874"/>
      <c r="D162" s="524" t="s">
        <v>333</v>
      </c>
      <c r="E162" s="962">
        <v>4</v>
      </c>
      <c r="F162" s="963"/>
      <c r="G162" s="933"/>
      <c r="H162" s="931">
        <f>IF(G162&gt;=80,E162,IF(G162&gt;=70,E163,IF(G162&gt;=60,E164,IF(G162&gt;=50,E165,0))))</f>
        <v>0</v>
      </c>
      <c r="Q162" s="52"/>
      <c r="R162" s="44"/>
    </row>
    <row r="163" spans="1:18" s="29" customFormat="1" ht="31.5" customHeight="1">
      <c r="A163" s="975"/>
      <c r="B163" s="929"/>
      <c r="C163" s="930"/>
      <c r="D163" s="524" t="s">
        <v>334</v>
      </c>
      <c r="E163" s="962">
        <v>3</v>
      </c>
      <c r="F163" s="963"/>
      <c r="G163" s="935"/>
      <c r="H163" s="936"/>
      <c r="Q163" s="52"/>
      <c r="R163" s="44"/>
    </row>
    <row r="164" spans="1:18" s="29" customFormat="1" ht="31.5" customHeight="1">
      <c r="A164" s="975"/>
      <c r="B164" s="929"/>
      <c r="C164" s="930"/>
      <c r="D164" s="524" t="s">
        <v>368</v>
      </c>
      <c r="E164" s="962">
        <v>2</v>
      </c>
      <c r="F164" s="963"/>
      <c r="G164" s="935"/>
      <c r="H164" s="936"/>
      <c r="Q164" s="52"/>
      <c r="R164" s="44"/>
    </row>
    <row r="165" spans="1:18" s="29" customFormat="1" ht="31.5" customHeight="1">
      <c r="A165" s="872"/>
      <c r="B165" s="875"/>
      <c r="C165" s="876"/>
      <c r="D165" s="524" t="s">
        <v>369</v>
      </c>
      <c r="E165" s="962">
        <v>1</v>
      </c>
      <c r="F165" s="963"/>
      <c r="G165" s="934"/>
      <c r="H165" s="932"/>
      <c r="Q165" s="52"/>
      <c r="R165" s="44"/>
    </row>
    <row r="166" spans="1:18" s="29" customFormat="1" ht="31.5" customHeight="1">
      <c r="A166" s="871" t="s">
        <v>643</v>
      </c>
      <c r="B166" s="873" t="s">
        <v>614</v>
      </c>
      <c r="C166" s="874"/>
      <c r="D166" s="524" t="s">
        <v>66</v>
      </c>
      <c r="E166" s="525">
        <v>3.5</v>
      </c>
      <c r="F166" s="525">
        <v>4</v>
      </c>
      <c r="G166" s="27"/>
      <c r="H166" s="434">
        <f t="shared" si="3"/>
        <v>0</v>
      </c>
      <c r="Q166" s="52"/>
      <c r="R166" s="44"/>
    </row>
    <row r="167" spans="1:18" s="29" customFormat="1" ht="30">
      <c r="A167" s="872"/>
      <c r="B167" s="875"/>
      <c r="C167" s="876"/>
      <c r="D167" s="524" t="s">
        <v>67</v>
      </c>
      <c r="E167" s="525" t="s">
        <v>49</v>
      </c>
      <c r="F167" s="525">
        <v>3</v>
      </c>
      <c r="G167" s="27"/>
      <c r="H167" s="434">
        <f>IF(G167&gt;=80%,F167,0)</f>
        <v>0</v>
      </c>
      <c r="Q167" s="52"/>
      <c r="R167" s="44"/>
    </row>
    <row r="168" spans="1:18" s="29" customFormat="1" ht="15.6">
      <c r="A168" s="82">
        <v>14</v>
      </c>
      <c r="B168" s="470" t="s">
        <v>515</v>
      </c>
      <c r="C168" s="89"/>
      <c r="D168" s="151"/>
      <c r="E168" s="152"/>
      <c r="F168" s="152"/>
      <c r="G168" s="153"/>
      <c r="H168" s="629"/>
      <c r="Q168" s="52"/>
      <c r="R168" s="44"/>
    </row>
    <row r="169" spans="1:18" s="29" customFormat="1" ht="31.95" customHeight="1">
      <c r="A169" s="630" t="s">
        <v>236</v>
      </c>
      <c r="B169" s="875" t="s">
        <v>648</v>
      </c>
      <c r="C169" s="876"/>
      <c r="D169" s="527" t="s">
        <v>50</v>
      </c>
      <c r="E169" s="528">
        <v>2</v>
      </c>
      <c r="F169" s="528">
        <v>2.5</v>
      </c>
      <c r="G169" s="529"/>
      <c r="H169" s="9">
        <f>IF(G169&gt;=80%,F169,IF(G169&lt;65%,0,E169))</f>
        <v>0</v>
      </c>
      <c r="Q169" s="52"/>
      <c r="R169" s="44"/>
    </row>
    <row r="170" spans="1:18" s="29" customFormat="1">
      <c r="A170" s="630" t="s">
        <v>237</v>
      </c>
      <c r="B170" s="875" t="s">
        <v>615</v>
      </c>
      <c r="C170" s="876"/>
      <c r="D170" s="530" t="s">
        <v>50</v>
      </c>
      <c r="E170" s="523" t="s">
        <v>49</v>
      </c>
      <c r="F170" s="523">
        <v>2.5</v>
      </c>
      <c r="G170" s="526">
        <f>F23</f>
        <v>0</v>
      </c>
      <c r="H170" s="434">
        <f>IF(G170&gt;=80%,F170,0)</f>
        <v>0</v>
      </c>
      <c r="Q170" s="52"/>
      <c r="R170" s="44"/>
    </row>
    <row r="171" spans="1:18" s="29" customFormat="1" ht="32.25" customHeight="1">
      <c r="A171" s="630" t="s">
        <v>378</v>
      </c>
      <c r="B171" s="875" t="s">
        <v>617</v>
      </c>
      <c r="C171" s="876"/>
      <c r="D171" s="530" t="s">
        <v>50</v>
      </c>
      <c r="E171" s="523">
        <v>2</v>
      </c>
      <c r="F171" s="523">
        <v>3</v>
      </c>
      <c r="G171" s="529"/>
      <c r="H171" s="434">
        <f>IF(G171&gt;=80%,F171,IF(G171&lt;65%,0,E171))</f>
        <v>0</v>
      </c>
      <c r="Q171" s="52"/>
      <c r="R171" s="44"/>
    </row>
    <row r="172" spans="1:18" s="29" customFormat="1" ht="30" customHeight="1">
      <c r="A172" s="632" t="s">
        <v>521</v>
      </c>
      <c r="B172" s="825" t="s">
        <v>616</v>
      </c>
      <c r="C172" s="827"/>
      <c r="D172" s="420" t="s">
        <v>50</v>
      </c>
      <c r="E172" s="434">
        <v>2</v>
      </c>
      <c r="F172" s="434">
        <v>2.5</v>
      </c>
      <c r="G172" s="30"/>
      <c r="H172" s="434">
        <f>IF(G172&gt;=80%,F172,IF(G172&lt;65%,0,E172))</f>
        <v>0</v>
      </c>
      <c r="Q172" s="52"/>
      <c r="R172" s="44"/>
    </row>
    <row r="173" spans="1:18" s="29" customFormat="1" ht="15.6">
      <c r="A173" s="82">
        <v>15</v>
      </c>
      <c r="B173" s="82" t="s">
        <v>259</v>
      </c>
      <c r="C173" s="89"/>
      <c r="D173" s="151"/>
      <c r="E173" s="152"/>
      <c r="F173" s="152"/>
      <c r="G173" s="153"/>
      <c r="H173" s="629"/>
      <c r="Q173" s="52"/>
      <c r="R173" s="44"/>
    </row>
    <row r="174" spans="1:18" s="29" customFormat="1">
      <c r="A174" s="877" t="s">
        <v>238</v>
      </c>
      <c r="B174" s="879" t="s">
        <v>275</v>
      </c>
      <c r="C174" s="880"/>
      <c r="D174" s="943" t="s">
        <v>50</v>
      </c>
      <c r="E174" s="828">
        <v>2.5</v>
      </c>
      <c r="F174" s="828">
        <v>4</v>
      </c>
      <c r="G174" s="957"/>
      <c r="H174" s="828">
        <f>IF(G174&gt;=80%,F174,IF(G174&lt;65%,0,E174))</f>
        <v>0</v>
      </c>
      <c r="Q174" s="52"/>
      <c r="R174" s="44"/>
    </row>
    <row r="175" spans="1:18" s="29" customFormat="1" ht="15.6">
      <c r="A175" s="878"/>
      <c r="B175" s="810" t="s">
        <v>276</v>
      </c>
      <c r="C175" s="810"/>
      <c r="D175" s="944"/>
      <c r="E175" s="829"/>
      <c r="F175" s="829"/>
      <c r="G175" s="958"/>
      <c r="H175" s="829"/>
      <c r="Q175" s="52"/>
      <c r="R175" s="44"/>
    </row>
    <row r="176" spans="1:18" s="29" customFormat="1">
      <c r="A176" s="877" t="s">
        <v>239</v>
      </c>
      <c r="B176" s="858" t="s">
        <v>137</v>
      </c>
      <c r="C176" s="840"/>
      <c r="D176" s="937" t="s">
        <v>50</v>
      </c>
      <c r="E176" s="938">
        <v>2.5</v>
      </c>
      <c r="F176" s="938">
        <v>4</v>
      </c>
      <c r="G176" s="961"/>
      <c r="H176" s="811">
        <f>IF(G176&gt;=80%,F176,IF(G176&lt;65%,0,E176))</f>
        <v>0</v>
      </c>
      <c r="Q176" s="52"/>
      <c r="R176" s="44"/>
    </row>
    <row r="177" spans="1:18" s="29" customFormat="1" ht="15.6">
      <c r="A177" s="878"/>
      <c r="B177" s="810" t="s">
        <v>119</v>
      </c>
      <c r="C177" s="810"/>
      <c r="D177" s="937"/>
      <c r="E177" s="938"/>
      <c r="F177" s="938"/>
      <c r="G177" s="961"/>
      <c r="H177" s="811"/>
      <c r="Q177" s="52"/>
      <c r="R177" s="44"/>
    </row>
    <row r="178" spans="1:18" s="29" customFormat="1" ht="15.6">
      <c r="A178" s="102">
        <v>16</v>
      </c>
      <c r="B178" s="102" t="s">
        <v>202</v>
      </c>
      <c r="C178" s="89"/>
      <c r="D178" s="89"/>
      <c r="E178" s="91"/>
      <c r="F178" s="91"/>
      <c r="G178" s="92"/>
      <c r="H178" s="614"/>
      <c r="Q178" s="59"/>
      <c r="R178" s="44"/>
    </row>
    <row r="179" spans="1:18" s="29" customFormat="1">
      <c r="A179" s="598" t="s">
        <v>241</v>
      </c>
      <c r="B179" s="765"/>
      <c r="C179" s="766"/>
      <c r="D179" s="107"/>
      <c r="E179" s="538"/>
      <c r="F179" s="538"/>
      <c r="G179" s="65"/>
      <c r="H179" s="633">
        <f>IF(G179&gt;=80%,F179,IF(G179&lt;65%,0,E179))</f>
        <v>0</v>
      </c>
      <c r="Q179" s="52"/>
      <c r="R179" s="44"/>
    </row>
    <row r="180" spans="1:18" s="29" customFormat="1">
      <c r="A180" s="598" t="s">
        <v>242</v>
      </c>
      <c r="B180" s="765"/>
      <c r="C180" s="766"/>
      <c r="D180" s="107"/>
      <c r="E180" s="538"/>
      <c r="F180" s="538"/>
      <c r="G180" s="65"/>
      <c r="H180" s="633">
        <f>IF(G180&gt;=80%,F180,IF(G180&lt;65%,0,E180))</f>
        <v>0</v>
      </c>
      <c r="Q180" s="52"/>
      <c r="R180" s="44"/>
    </row>
    <row r="181" spans="1:18" s="29" customFormat="1">
      <c r="A181" s="598" t="s">
        <v>243</v>
      </c>
      <c r="B181" s="765"/>
      <c r="C181" s="766"/>
      <c r="D181" s="107"/>
      <c r="E181" s="538"/>
      <c r="F181" s="538"/>
      <c r="G181" s="65"/>
      <c r="H181" s="633">
        <f>IF(G181&gt;=80%,F181,IF(G181&lt;65%,0,E181))</f>
        <v>0</v>
      </c>
      <c r="Q181" s="52"/>
      <c r="R181" s="44"/>
    </row>
    <row r="182" spans="1:18" s="29" customFormat="1" ht="15.6">
      <c r="A182" s="604"/>
      <c r="B182" s="307"/>
      <c r="C182" s="305"/>
      <c r="D182" s="305"/>
      <c r="E182" s="305"/>
      <c r="F182" s="309"/>
      <c r="G182" s="310" t="s">
        <v>376</v>
      </c>
      <c r="H182" s="634">
        <f>IFERROR((SUM(H147:H181)),0)</f>
        <v>0</v>
      </c>
      <c r="Q182" s="52"/>
      <c r="R182" s="44"/>
    </row>
    <row r="183" spans="1:18" s="29" customFormat="1" ht="15.6" thickBot="1">
      <c r="A183" s="594"/>
      <c r="B183" s="361"/>
      <c r="C183" s="362"/>
      <c r="D183" s="362"/>
      <c r="E183" s="362"/>
      <c r="F183" s="362"/>
      <c r="G183" s="354"/>
      <c r="H183" s="595"/>
      <c r="Q183" s="52"/>
      <c r="R183" s="44"/>
    </row>
    <row r="184" spans="1:18" s="29" customFormat="1" ht="30.75" customHeight="1">
      <c r="A184" s="865" t="s">
        <v>0</v>
      </c>
      <c r="B184" s="866"/>
      <c r="C184" s="869"/>
      <c r="D184" s="856" t="s">
        <v>4</v>
      </c>
      <c r="E184" s="959" t="s">
        <v>1</v>
      </c>
      <c r="F184" s="960"/>
      <c r="G184" s="955" t="s">
        <v>21</v>
      </c>
      <c r="H184" s="856" t="s">
        <v>62</v>
      </c>
      <c r="Q184" s="52"/>
      <c r="R184" s="44"/>
    </row>
    <row r="185" spans="1:18" s="29" customFormat="1" ht="15.6">
      <c r="A185" s="867"/>
      <c r="B185" s="868"/>
      <c r="C185" s="870"/>
      <c r="D185" s="857"/>
      <c r="E185" s="550" t="s">
        <v>120</v>
      </c>
      <c r="F185" s="550" t="s">
        <v>121</v>
      </c>
      <c r="G185" s="956"/>
      <c r="H185" s="857"/>
      <c r="Q185" s="52"/>
      <c r="R185" s="44"/>
    </row>
    <row r="186" spans="1:18" s="29" customFormat="1" ht="15.6">
      <c r="A186" s="126" t="s">
        <v>240</v>
      </c>
      <c r="B186" s="105" t="s">
        <v>244</v>
      </c>
      <c r="C186" s="106"/>
      <c r="D186" s="106"/>
      <c r="E186" s="106"/>
      <c r="F186" s="110"/>
      <c r="G186" s="111"/>
      <c r="H186" s="628"/>
      <c r="Q186" s="52"/>
      <c r="R186" s="44"/>
    </row>
    <row r="187" spans="1:18" s="29" customFormat="1">
      <c r="A187" s="625" t="s">
        <v>277</v>
      </c>
      <c r="B187" s="858" t="s">
        <v>245</v>
      </c>
      <c r="C187" s="859"/>
      <c r="D187" s="5" t="s">
        <v>50</v>
      </c>
      <c r="E187" s="20">
        <v>-1</v>
      </c>
      <c r="F187" s="20">
        <v>-2</v>
      </c>
      <c r="G187" s="28"/>
      <c r="H187" s="20">
        <f>IF(G187&gt;=30%,F187,IF(G187=0%,0,E187))</f>
        <v>0</v>
      </c>
      <c r="Q187" s="52"/>
      <c r="R187" s="44"/>
    </row>
    <row r="188" spans="1:18" s="29" customFormat="1">
      <c r="A188" s="625" t="s">
        <v>278</v>
      </c>
      <c r="B188" s="858" t="s">
        <v>246</v>
      </c>
      <c r="C188" s="859"/>
      <c r="D188" s="5" t="s">
        <v>50</v>
      </c>
      <c r="E188" s="20">
        <v>-1</v>
      </c>
      <c r="F188" s="20">
        <v>-1.5</v>
      </c>
      <c r="G188" s="28"/>
      <c r="H188" s="20">
        <f>IF(G188&gt;=30%,F188,IF(G188=0%,0,E188))</f>
        <v>0</v>
      </c>
      <c r="Q188" s="52"/>
      <c r="R188" s="44"/>
    </row>
    <row r="189" spans="1:18" s="29" customFormat="1">
      <c r="A189" s="625" t="s">
        <v>279</v>
      </c>
      <c r="B189" s="858" t="s">
        <v>247</v>
      </c>
      <c r="C189" s="859"/>
      <c r="D189" s="5" t="s">
        <v>50</v>
      </c>
      <c r="E189" s="811">
        <v>-1</v>
      </c>
      <c r="F189" s="811"/>
      <c r="G189" s="553"/>
      <c r="H189" s="20">
        <f>IF(G189&gt;0%,E189,0)</f>
        <v>0</v>
      </c>
      <c r="Q189" s="52"/>
      <c r="R189" s="44"/>
    </row>
    <row r="190" spans="1:18" s="29" customFormat="1" ht="15.6">
      <c r="A190" s="604"/>
      <c r="B190" s="307"/>
      <c r="C190" s="305"/>
      <c r="D190" s="305"/>
      <c r="E190" s="305"/>
      <c r="F190" s="309"/>
      <c r="G190" s="310" t="s">
        <v>133</v>
      </c>
      <c r="H190" s="634">
        <f>IFERROR(MAX(SUM(H187:H189),-4),0)</f>
        <v>0</v>
      </c>
      <c r="Q190" s="44"/>
      <c r="R190" s="44"/>
    </row>
    <row r="191" spans="1:18" s="29" customFormat="1">
      <c r="A191" s="592"/>
      <c r="B191" s="307"/>
      <c r="C191" s="305"/>
      <c r="D191" s="305"/>
      <c r="E191" s="305"/>
      <c r="F191" s="305"/>
      <c r="G191" s="314"/>
      <c r="H191" s="571"/>
      <c r="Q191" s="52"/>
      <c r="R191" s="44"/>
    </row>
    <row r="192" spans="1:18" s="29" customFormat="1" ht="15.6">
      <c r="A192" s="592"/>
      <c r="B192" s="307"/>
      <c r="C192" s="305"/>
      <c r="D192" s="305"/>
      <c r="E192" s="305"/>
      <c r="F192" s="305"/>
      <c r="G192" s="312" t="s">
        <v>132</v>
      </c>
      <c r="H192" s="154">
        <f>IFERROR(MIN(SUM(H120+H143+H182+H190),G91),0)</f>
        <v>0</v>
      </c>
      <c r="Q192" s="52"/>
      <c r="R192" s="44"/>
    </row>
    <row r="193" spans="1:18" s="29" customFormat="1" ht="16.2" thickBot="1">
      <c r="A193" s="594"/>
      <c r="B193" s="361"/>
      <c r="C193" s="362"/>
      <c r="D193" s="362"/>
      <c r="E193" s="362"/>
      <c r="F193" s="362"/>
      <c r="G193" s="363"/>
      <c r="H193" s="606"/>
      <c r="Q193" s="52"/>
      <c r="R193" s="44"/>
    </row>
    <row r="194" spans="1:18" s="29" customFormat="1" ht="15.6">
      <c r="A194" s="635" t="s">
        <v>63</v>
      </c>
      <c r="B194" s="355"/>
      <c r="C194" s="355"/>
      <c r="D194" s="355"/>
      <c r="E194" s="355"/>
      <c r="F194" s="356" t="s">
        <v>42</v>
      </c>
      <c r="G194" s="357">
        <f>VLOOKUP($A$7,'Manpower allocation'!A4:D11,4,FALSE)*100</f>
        <v>15</v>
      </c>
      <c r="H194" s="636" t="s">
        <v>41</v>
      </c>
      <c r="I194" s="108">
        <f>VLOOKUP($A$7,'Manpower allocation'!A4:D11,4,FALSE)*100</f>
        <v>15</v>
      </c>
      <c r="Q194" s="52"/>
      <c r="R194" s="44"/>
    </row>
    <row r="195" spans="1:18" s="29" customFormat="1" ht="15.6">
      <c r="A195" s="592"/>
      <c r="B195" s="313"/>
      <c r="C195" s="305"/>
      <c r="D195" s="305"/>
      <c r="E195" s="305"/>
      <c r="F195" s="305"/>
      <c r="G195" s="314"/>
      <c r="H195" s="571"/>
      <c r="Q195" s="52"/>
      <c r="R195" s="44"/>
    </row>
    <row r="196" spans="1:18" s="29" customFormat="1" ht="46.8">
      <c r="A196" s="850" t="s">
        <v>0</v>
      </c>
      <c r="B196" s="851"/>
      <c r="C196" s="109"/>
      <c r="D196" s="545" t="s">
        <v>17</v>
      </c>
      <c r="E196" s="545" t="s">
        <v>124</v>
      </c>
      <c r="F196" s="545" t="s">
        <v>108</v>
      </c>
      <c r="G196" s="545" t="s">
        <v>18</v>
      </c>
      <c r="H196" s="545" t="s">
        <v>62</v>
      </c>
      <c r="Q196" s="52"/>
      <c r="R196" s="44"/>
    </row>
    <row r="197" spans="1:18" s="29" customFormat="1" ht="15.6">
      <c r="A197" s="105" t="s">
        <v>250</v>
      </c>
      <c r="B197" s="531" t="s">
        <v>618</v>
      </c>
      <c r="C197" s="106"/>
      <c r="D197" s="106"/>
      <c r="E197" s="106"/>
      <c r="F197" s="110"/>
      <c r="G197" s="111"/>
      <c r="H197" s="628"/>
      <c r="Q197" s="52"/>
      <c r="R197" s="44"/>
    </row>
    <row r="198" spans="1:18" s="29" customFormat="1" ht="15.6">
      <c r="A198" s="112">
        <v>1</v>
      </c>
      <c r="B198" s="112" t="s">
        <v>304</v>
      </c>
      <c r="C198" s="113"/>
      <c r="D198" s="114"/>
      <c r="E198" s="114"/>
      <c r="F198" s="114"/>
      <c r="G198" s="114"/>
      <c r="H198" s="637"/>
      <c r="Q198" s="52"/>
      <c r="R198" s="44"/>
    </row>
    <row r="199" spans="1:18" s="29" customFormat="1">
      <c r="A199" s="541">
        <v>1.1000000000000001</v>
      </c>
      <c r="B199" s="822" t="s">
        <v>271</v>
      </c>
      <c r="C199" s="824"/>
      <c r="D199" s="20">
        <f>VLOOKUP(A199,'Point Allocation'!$A$46:$J$55,MATCH(A7,'Point Allocation'!$A$46:$J$46,0),0)</f>
        <v>15</v>
      </c>
      <c r="E199" s="38"/>
      <c r="F199" s="38"/>
      <c r="G199" s="31">
        <f>MIN(IFERROR(F199/E199,0),100%)</f>
        <v>0</v>
      </c>
      <c r="H199" s="20">
        <f>D199*G199</f>
        <v>0</v>
      </c>
      <c r="Q199" s="52"/>
      <c r="R199" s="44"/>
    </row>
    <row r="200" spans="1:18" s="29" customFormat="1" ht="15.6">
      <c r="A200" s="115">
        <v>2</v>
      </c>
      <c r="B200" s="115" t="s">
        <v>305</v>
      </c>
      <c r="C200" s="116"/>
      <c r="D200" s="32"/>
      <c r="E200" s="33"/>
      <c r="F200" s="33"/>
      <c r="G200" s="34"/>
      <c r="H200" s="638"/>
      <c r="Q200" s="52"/>
      <c r="R200" s="44"/>
    </row>
    <row r="201" spans="1:18" s="29" customFormat="1" ht="33" customHeight="1">
      <c r="A201" s="544">
        <v>2.1</v>
      </c>
      <c r="B201" s="863" t="s">
        <v>251</v>
      </c>
      <c r="C201" s="864"/>
      <c r="D201" s="20">
        <f>VLOOKUP(A201,'Point Allocation'!$A$46:$J$55,MATCH(A7,'Point Allocation'!$A$46:$J$46,0),0)</f>
        <v>12</v>
      </c>
      <c r="E201" s="38"/>
      <c r="F201" s="38"/>
      <c r="G201" s="31">
        <f>MIN(IFERROR(F201/E201,0),100%)</f>
        <v>0</v>
      </c>
      <c r="H201" s="20">
        <f>D201*G201</f>
        <v>0</v>
      </c>
      <c r="Q201" s="52"/>
      <c r="R201" s="44"/>
    </row>
    <row r="202" spans="1:18" s="29" customFormat="1" ht="15.6">
      <c r="A202" s="112">
        <v>3</v>
      </c>
      <c r="B202" s="112" t="s">
        <v>309</v>
      </c>
      <c r="C202" s="117"/>
      <c r="D202" s="35"/>
      <c r="E202" s="35"/>
      <c r="F202" s="35"/>
      <c r="G202" s="34"/>
      <c r="H202" s="639"/>
      <c r="Q202" s="52"/>
      <c r="R202" s="44"/>
    </row>
    <row r="203" spans="1:18" s="29" customFormat="1">
      <c r="A203" s="540">
        <v>3.1</v>
      </c>
      <c r="B203" s="837" t="s">
        <v>400</v>
      </c>
      <c r="C203" s="838"/>
      <c r="D203" s="20">
        <f>VLOOKUP(A203,'Point Allocation'!$A$46:$J$55,MATCH(A7,'Point Allocation'!$A$46:$J$46,0),0)</f>
        <v>4</v>
      </c>
      <c r="E203" s="38"/>
      <c r="F203" s="38"/>
      <c r="G203" s="31">
        <f>MIN(IFERROR(F203/E203,0),100%)</f>
        <v>0</v>
      </c>
      <c r="H203" s="20">
        <f>D203*G203</f>
        <v>0</v>
      </c>
      <c r="Q203" s="52"/>
      <c r="R203" s="44"/>
    </row>
    <row r="204" spans="1:18" s="29" customFormat="1">
      <c r="A204" s="540">
        <v>3.2</v>
      </c>
      <c r="B204" s="837" t="s">
        <v>401</v>
      </c>
      <c r="C204" s="838"/>
      <c r="D204" s="20">
        <f>VLOOKUP(A204,'Point Allocation'!$A$46:$J$55,MATCH(A7,'Point Allocation'!$A$46:$J$46,0),0)</f>
        <v>4</v>
      </c>
      <c r="E204" s="165"/>
      <c r="F204" s="38"/>
      <c r="G204" s="31">
        <f>MIN(IFERROR(F204/E204,0),100%)</f>
        <v>0</v>
      </c>
      <c r="H204" s="20">
        <f>D204*G204</f>
        <v>0</v>
      </c>
      <c r="Q204" s="52"/>
      <c r="R204" s="44"/>
    </row>
    <row r="205" spans="1:18" s="29" customFormat="1">
      <c r="A205" s="543">
        <v>3.3</v>
      </c>
      <c r="B205" s="858" t="s">
        <v>161</v>
      </c>
      <c r="C205" s="859"/>
      <c r="D205" s="20">
        <f>VLOOKUP(A205,'Point Allocation'!$A$46:$J$55,MATCH(A7,'Point Allocation'!$A$46:$J$46,0),0)</f>
        <v>4</v>
      </c>
      <c r="E205" s="166"/>
      <c r="F205" s="537"/>
      <c r="G205" s="31">
        <f>MIN(IFERROR(F205/E205,0),100%)</f>
        <v>0</v>
      </c>
      <c r="H205" s="20">
        <f>D205*G205</f>
        <v>0</v>
      </c>
      <c r="Q205" s="52"/>
      <c r="R205" s="44"/>
    </row>
    <row r="206" spans="1:18" s="29" customFormat="1" ht="15.6">
      <c r="A206" s="592"/>
      <c r="B206" s="307"/>
      <c r="C206" s="305"/>
      <c r="D206" s="306" t="s">
        <v>6</v>
      </c>
      <c r="E206" s="283">
        <f>MAX(SUM(E199:E205),F206)</f>
        <v>0</v>
      </c>
      <c r="F206" s="283">
        <f>SUM(F199:F205)</f>
        <v>0</v>
      </c>
      <c r="G206" s="322">
        <f>IFERROR(MIN(F206/E206,100%),0)</f>
        <v>0</v>
      </c>
      <c r="H206" s="593">
        <f>IFERROR(SUM(H199:H205),0)</f>
        <v>0</v>
      </c>
      <c r="Q206" s="52"/>
      <c r="R206" s="44"/>
    </row>
    <row r="207" spans="1:18" s="29" customFormat="1" ht="15.6">
      <c r="A207" s="592"/>
      <c r="B207" s="320"/>
      <c r="C207" s="323"/>
      <c r="D207" s="324"/>
      <c r="E207" s="323"/>
      <c r="F207" s="323"/>
      <c r="G207" s="325"/>
      <c r="H207" s="317"/>
      <c r="Q207" s="52"/>
      <c r="R207" s="44"/>
    </row>
    <row r="208" spans="1:18" s="29" customFormat="1" ht="15.6">
      <c r="A208" s="850" t="s">
        <v>0</v>
      </c>
      <c r="B208" s="851"/>
      <c r="C208" s="860"/>
      <c r="D208" s="862" t="s">
        <v>4</v>
      </c>
      <c r="E208" s="862" t="s">
        <v>1</v>
      </c>
      <c r="F208" s="862"/>
      <c r="G208" s="881" t="s">
        <v>21</v>
      </c>
      <c r="H208" s="881" t="s">
        <v>62</v>
      </c>
      <c r="Q208" s="52"/>
      <c r="R208" s="44"/>
    </row>
    <row r="209" spans="1:18" s="29" customFormat="1" ht="30.75" customHeight="1">
      <c r="A209" s="852"/>
      <c r="B209" s="853"/>
      <c r="C209" s="861"/>
      <c r="D209" s="862"/>
      <c r="E209" s="545" t="s">
        <v>64</v>
      </c>
      <c r="F209" s="545" t="s">
        <v>65</v>
      </c>
      <c r="G209" s="881"/>
      <c r="H209" s="881"/>
      <c r="Q209" s="52"/>
      <c r="R209" s="44"/>
    </row>
    <row r="210" spans="1:18" s="29" customFormat="1" ht="15.6">
      <c r="A210" s="45" t="s">
        <v>253</v>
      </c>
      <c r="B210" s="45" t="s">
        <v>254</v>
      </c>
      <c r="C210" s="56"/>
      <c r="D210" s="56"/>
      <c r="E210" s="56"/>
      <c r="F210" s="57"/>
      <c r="G210" s="104"/>
      <c r="H210" s="624"/>
      <c r="Q210" s="52"/>
      <c r="R210" s="44"/>
    </row>
    <row r="211" spans="1:18" s="29" customFormat="1" ht="15.6">
      <c r="A211" s="118">
        <v>4</v>
      </c>
      <c r="B211" s="118" t="s">
        <v>307</v>
      </c>
      <c r="C211" s="116"/>
      <c r="D211" s="119"/>
      <c r="E211" s="120"/>
      <c r="F211" s="120"/>
      <c r="G211" s="121"/>
      <c r="H211" s="640"/>
      <c r="Q211" s="52"/>
      <c r="R211" s="44"/>
    </row>
    <row r="212" spans="1:18" s="29" customFormat="1">
      <c r="A212" s="541">
        <v>4.0999999999999996</v>
      </c>
      <c r="B212" s="822" t="s">
        <v>155</v>
      </c>
      <c r="C212" s="824"/>
      <c r="D212" s="5" t="s">
        <v>50</v>
      </c>
      <c r="E212" s="20" t="s">
        <v>49</v>
      </c>
      <c r="F212" s="20">
        <f>VLOOKUP(A212,'Point Allocation'!$A$46:$J$55,MATCH(A7,'Point Allocation'!$A$46:$J$46,0),0)</f>
        <v>1.5</v>
      </c>
      <c r="G212" s="553"/>
      <c r="H212" s="20">
        <f>IF(G212&gt;=80%,F212,0)</f>
        <v>0</v>
      </c>
      <c r="Q212" s="52"/>
      <c r="R212" s="44"/>
    </row>
    <row r="213" spans="1:18" s="29" customFormat="1">
      <c r="A213" s="541">
        <v>4.2</v>
      </c>
      <c r="B213" s="822" t="s">
        <v>152</v>
      </c>
      <c r="C213" s="824"/>
      <c r="D213" s="5" t="s">
        <v>50</v>
      </c>
      <c r="E213" s="20" t="s">
        <v>49</v>
      </c>
      <c r="F213" s="20">
        <f>VLOOKUP(A213,'Point Allocation'!$A$46:$J$55,MATCH(A7,'Point Allocation'!$A$46:$J$46,0),0)</f>
        <v>1.5</v>
      </c>
      <c r="G213" s="553"/>
      <c r="H213" s="20">
        <f>IF(G213&gt;=80%,F213,0)</f>
        <v>0</v>
      </c>
      <c r="Q213" s="52"/>
      <c r="R213" s="44"/>
    </row>
    <row r="214" spans="1:18" s="29" customFormat="1">
      <c r="A214" s="541">
        <v>4.3</v>
      </c>
      <c r="B214" s="822" t="s">
        <v>146</v>
      </c>
      <c r="C214" s="824"/>
      <c r="D214" s="5" t="s">
        <v>3</v>
      </c>
      <c r="E214" s="20" t="s">
        <v>49</v>
      </c>
      <c r="F214" s="20">
        <f>VLOOKUP(A214,'Point Allocation'!$A$46:$J$55,MATCH(A7,'Point Allocation'!$A$46:$J$46,0),0)</f>
        <v>1.5</v>
      </c>
      <c r="G214" s="553"/>
      <c r="H214" s="20">
        <f>IF(G214&gt;=80%,F214,0)</f>
        <v>0</v>
      </c>
      <c r="Q214" s="52"/>
      <c r="R214" s="44"/>
    </row>
    <row r="215" spans="1:18" s="29" customFormat="1">
      <c r="A215" s="542">
        <v>4.4000000000000004</v>
      </c>
      <c r="B215" s="848" t="s">
        <v>252</v>
      </c>
      <c r="C215" s="849"/>
      <c r="D215" s="5" t="s">
        <v>3</v>
      </c>
      <c r="E215" s="20" t="s">
        <v>49</v>
      </c>
      <c r="F215" s="20">
        <f>VLOOKUP(A215,'Point Allocation'!$A$46:$J$55,MATCH(A7,'Point Allocation'!$A$46:$J$46,0),0)</f>
        <v>1.5</v>
      </c>
      <c r="G215" s="553"/>
      <c r="H215" s="20">
        <f>IF(G215&gt;=80%,F215,0)</f>
        <v>0</v>
      </c>
      <c r="Q215" s="52"/>
      <c r="R215" s="44"/>
    </row>
    <row r="216" spans="1:18" s="29" customFormat="1" ht="15.6">
      <c r="A216" s="118">
        <v>5</v>
      </c>
      <c r="B216" s="118" t="s">
        <v>202</v>
      </c>
      <c r="C216" s="116"/>
      <c r="D216" s="122"/>
      <c r="E216" s="123"/>
      <c r="F216" s="123"/>
      <c r="G216" s="124"/>
      <c r="H216" s="641"/>
      <c r="Q216" s="52"/>
      <c r="R216" s="44"/>
    </row>
    <row r="217" spans="1:18" s="29" customFormat="1">
      <c r="A217" s="591">
        <v>5.0999999999999996</v>
      </c>
      <c r="B217" s="765"/>
      <c r="C217" s="847"/>
      <c r="D217" s="391"/>
      <c r="E217" s="537"/>
      <c r="F217" s="537"/>
      <c r="G217" s="553"/>
      <c r="H217" s="633">
        <f>IF(G217&gt;=80%,F217,IF(G217&lt;65%,0,E217))</f>
        <v>0</v>
      </c>
      <c r="Q217" s="52"/>
      <c r="R217" s="44"/>
    </row>
    <row r="218" spans="1:18" s="29" customFormat="1">
      <c r="A218" s="591">
        <v>5.2</v>
      </c>
      <c r="B218" s="765"/>
      <c r="C218" s="847"/>
      <c r="D218" s="391"/>
      <c r="E218" s="537"/>
      <c r="F218" s="537"/>
      <c r="G218" s="553"/>
      <c r="H218" s="633">
        <f>IF(G218&gt;=80%,F218,IF(G218&lt;65%,0,E218))</f>
        <v>0</v>
      </c>
      <c r="Q218" s="52"/>
      <c r="R218" s="44"/>
    </row>
    <row r="219" spans="1:18" s="29" customFormat="1">
      <c r="A219" s="591">
        <v>5.3</v>
      </c>
      <c r="B219" s="765"/>
      <c r="C219" s="847"/>
      <c r="D219" s="391"/>
      <c r="E219" s="537"/>
      <c r="F219" s="537"/>
      <c r="G219" s="553"/>
      <c r="H219" s="633">
        <f>IF(G219&gt;=80%,F219,IF(G219&lt;65%,0,E219))</f>
        <v>0</v>
      </c>
      <c r="Q219" s="52"/>
      <c r="R219" s="44"/>
    </row>
    <row r="220" spans="1:18" s="29" customFormat="1" ht="15.6">
      <c r="A220" s="592"/>
      <c r="B220" s="326"/>
      <c r="C220" s="326"/>
      <c r="D220" s="314"/>
      <c r="E220" s="314"/>
      <c r="F220" s="314"/>
      <c r="G220" s="312" t="s">
        <v>7</v>
      </c>
      <c r="H220" s="617">
        <f>IFERROR(SUM(H212:H215,H217:H219),0)</f>
        <v>0</v>
      </c>
      <c r="Q220" s="52"/>
      <c r="R220" s="44"/>
    </row>
    <row r="221" spans="1:18" s="29" customFormat="1">
      <c r="A221" s="592"/>
      <c r="B221" s="307"/>
      <c r="C221" s="305"/>
      <c r="D221" s="305"/>
      <c r="E221" s="305"/>
      <c r="F221" s="305"/>
      <c r="G221" s="314"/>
      <c r="H221" s="571"/>
      <c r="Q221" s="52"/>
      <c r="R221" s="44"/>
    </row>
    <row r="222" spans="1:18" s="29" customFormat="1" ht="15.6">
      <c r="A222" s="850" t="s">
        <v>0</v>
      </c>
      <c r="B222" s="851"/>
      <c r="C222" s="860"/>
      <c r="D222" s="881" t="s">
        <v>4</v>
      </c>
      <c r="E222" s="862" t="s">
        <v>1</v>
      </c>
      <c r="F222" s="862"/>
      <c r="G222" s="881" t="s">
        <v>21</v>
      </c>
      <c r="H222" s="881" t="s">
        <v>62</v>
      </c>
      <c r="Q222" s="52"/>
      <c r="R222" s="44"/>
    </row>
    <row r="223" spans="1:18" s="29" customFormat="1" ht="31.2">
      <c r="A223" s="852"/>
      <c r="B223" s="853"/>
      <c r="C223" s="861"/>
      <c r="D223" s="862"/>
      <c r="E223" s="545" t="s">
        <v>64</v>
      </c>
      <c r="F223" s="545" t="s">
        <v>65</v>
      </c>
      <c r="G223" s="881"/>
      <c r="H223" s="881"/>
      <c r="Q223" s="52"/>
      <c r="R223" s="44"/>
    </row>
    <row r="224" spans="1:18" s="29" customFormat="1" ht="15.6">
      <c r="A224" s="105" t="s">
        <v>255</v>
      </c>
      <c r="B224" s="105" t="s">
        <v>518</v>
      </c>
      <c r="C224" s="125"/>
      <c r="D224" s="126"/>
      <c r="E224" s="126"/>
      <c r="F224" s="127"/>
      <c r="G224" s="128"/>
      <c r="H224" s="127"/>
      <c r="Q224" s="52"/>
      <c r="R224" s="44"/>
    </row>
    <row r="225" spans="1:18" s="29" customFormat="1" ht="15.6">
      <c r="A225" s="625" t="s">
        <v>188</v>
      </c>
      <c r="B225" s="822" t="s">
        <v>256</v>
      </c>
      <c r="C225" s="824"/>
      <c r="D225" s="94" t="s">
        <v>2</v>
      </c>
      <c r="E225" s="94">
        <v>1</v>
      </c>
      <c r="F225" s="94">
        <v>2</v>
      </c>
      <c r="G225" s="65"/>
      <c r="H225" s="94">
        <f>IF(G225&gt;=80%,F225,IF(G225&lt;65%,0,E225))</f>
        <v>0</v>
      </c>
      <c r="J225" s="131"/>
      <c r="Q225" s="52"/>
      <c r="R225" s="44"/>
    </row>
    <row r="226" spans="1:18" s="29" customFormat="1">
      <c r="A226" s="575" t="s">
        <v>189</v>
      </c>
      <c r="B226" s="825" t="s">
        <v>619</v>
      </c>
      <c r="C226" s="827"/>
      <c r="D226" s="94" t="s">
        <v>50</v>
      </c>
      <c r="E226" s="94">
        <v>0.5</v>
      </c>
      <c r="F226" s="94">
        <v>1</v>
      </c>
      <c r="G226" s="65"/>
      <c r="H226" s="94">
        <f>IF(G226&gt;=80%,F226,IF(G226&lt;65%,0,E226))</f>
        <v>0</v>
      </c>
      <c r="Q226" s="52"/>
      <c r="R226" s="44"/>
    </row>
    <row r="227" spans="1:18" s="29" customFormat="1" ht="15.6">
      <c r="A227" s="592"/>
      <c r="B227" s="307"/>
      <c r="C227" s="305"/>
      <c r="D227" s="305"/>
      <c r="E227" s="305"/>
      <c r="F227" s="308"/>
      <c r="G227" s="312" t="s">
        <v>109</v>
      </c>
      <c r="H227" s="129">
        <f>IFERROR(SUM(H225:H226),0)</f>
        <v>0</v>
      </c>
      <c r="Q227" s="52"/>
      <c r="R227" s="44"/>
    </row>
    <row r="228" spans="1:18" s="29" customFormat="1">
      <c r="A228" s="592"/>
      <c r="B228" s="307"/>
      <c r="C228" s="305"/>
      <c r="D228" s="305"/>
      <c r="E228" s="305"/>
      <c r="F228" s="305"/>
      <c r="G228" s="314"/>
      <c r="H228" s="571"/>
      <c r="Q228" s="52"/>
      <c r="R228" s="44"/>
    </row>
    <row r="229" spans="1:18" s="29" customFormat="1" ht="15.6">
      <c r="A229" s="592"/>
      <c r="B229" s="307"/>
      <c r="C229" s="305"/>
      <c r="D229" s="305"/>
      <c r="E229" s="305"/>
      <c r="F229" s="305"/>
      <c r="G229" s="312" t="s">
        <v>110</v>
      </c>
      <c r="H229" s="129">
        <f>IFERROR(MIN(SUM(H206+H220+H227),G194),0)</f>
        <v>0</v>
      </c>
      <c r="Q229" s="52"/>
      <c r="R229" s="44"/>
    </row>
    <row r="230" spans="1:18" s="29" customFormat="1" ht="16.2" thickBot="1">
      <c r="A230" s="594"/>
      <c r="B230" s="361"/>
      <c r="C230" s="362"/>
      <c r="D230" s="362"/>
      <c r="E230" s="362"/>
      <c r="F230" s="362"/>
      <c r="G230" s="364"/>
      <c r="H230" s="606"/>
      <c r="Q230" s="52"/>
      <c r="R230" s="44"/>
    </row>
    <row r="231" spans="1:18" s="29" customFormat="1" ht="15.6">
      <c r="A231" s="642" t="s">
        <v>129</v>
      </c>
      <c r="B231" s="455"/>
      <c r="C231" s="455"/>
      <c r="D231" s="455"/>
      <c r="E231" s="455"/>
      <c r="F231" s="456" t="s">
        <v>42</v>
      </c>
      <c r="G231" s="457">
        <v>20</v>
      </c>
      <c r="H231" s="643" t="s">
        <v>41</v>
      </c>
      <c r="Q231" s="52"/>
      <c r="R231" s="44"/>
    </row>
    <row r="232" spans="1:18" s="29" customFormat="1" ht="15.6">
      <c r="A232" s="592"/>
      <c r="B232" s="329"/>
      <c r="C232" s="305"/>
      <c r="D232" s="305"/>
      <c r="E232" s="305"/>
      <c r="F232" s="305"/>
      <c r="G232" s="314"/>
      <c r="H232" s="571"/>
      <c r="Q232" s="52"/>
      <c r="R232" s="44"/>
    </row>
    <row r="233" spans="1:18" s="29" customFormat="1" ht="33" customHeight="1">
      <c r="A233" s="854" t="s">
        <v>0</v>
      </c>
      <c r="B233" s="855"/>
      <c r="C233" s="132"/>
      <c r="D233" s="132"/>
      <c r="E233" s="133" t="s">
        <v>4</v>
      </c>
      <c r="F233" s="133" t="s">
        <v>69</v>
      </c>
      <c r="G233" s="134" t="s">
        <v>21</v>
      </c>
      <c r="H233" s="644" t="s">
        <v>62</v>
      </c>
      <c r="Q233" s="52"/>
      <c r="R233" s="44"/>
    </row>
    <row r="234" spans="1:18" s="29" customFormat="1" ht="15.6">
      <c r="A234" s="105" t="s">
        <v>257</v>
      </c>
      <c r="B234" s="105" t="s">
        <v>258</v>
      </c>
      <c r="C234" s="106"/>
      <c r="D234" s="106"/>
      <c r="E234" s="106"/>
      <c r="F234" s="57"/>
      <c r="G234" s="135"/>
      <c r="H234" s="645"/>
      <c r="I234" s="130"/>
      <c r="Q234" s="52"/>
      <c r="R234" s="44"/>
    </row>
    <row r="235" spans="1:18" s="29" customFormat="1" ht="15.6">
      <c r="A235" s="591">
        <v>1.1000000000000001</v>
      </c>
      <c r="B235" s="816" t="s">
        <v>122</v>
      </c>
      <c r="C235" s="817"/>
      <c r="D235" s="818"/>
      <c r="E235" s="155"/>
      <c r="F235" s="136"/>
      <c r="G235" s="137"/>
      <c r="H235" s="547">
        <f t="shared" ref="H235:H240" si="5">F235*G235</f>
        <v>0</v>
      </c>
      <c r="Q235" s="52"/>
      <c r="R235" s="44"/>
    </row>
    <row r="236" spans="1:18" s="29" customFormat="1" ht="15.6">
      <c r="A236" s="589">
        <v>1.2</v>
      </c>
      <c r="B236" s="844" t="s">
        <v>123</v>
      </c>
      <c r="C236" s="845"/>
      <c r="D236" s="846"/>
      <c r="E236" s="155"/>
      <c r="F236" s="136"/>
      <c r="G236" s="137"/>
      <c r="H236" s="547">
        <f t="shared" si="5"/>
        <v>0</v>
      </c>
      <c r="Q236" s="52"/>
      <c r="R236" s="44"/>
    </row>
    <row r="237" spans="1:18" s="29" customFormat="1" ht="15.6">
      <c r="A237" s="591">
        <v>1.3</v>
      </c>
      <c r="B237" s="816" t="s">
        <v>114</v>
      </c>
      <c r="C237" s="817"/>
      <c r="D237" s="818"/>
      <c r="E237" s="155"/>
      <c r="F237" s="136"/>
      <c r="G237" s="137"/>
      <c r="H237" s="547">
        <f t="shared" si="5"/>
        <v>0</v>
      </c>
      <c r="Q237" s="52"/>
      <c r="R237" s="44"/>
    </row>
    <row r="238" spans="1:18" s="29" customFormat="1" ht="15.6">
      <c r="A238" s="591">
        <v>1.4</v>
      </c>
      <c r="B238" s="816" t="s">
        <v>282</v>
      </c>
      <c r="C238" s="817"/>
      <c r="D238" s="818"/>
      <c r="E238" s="155"/>
      <c r="F238" s="136"/>
      <c r="G238" s="137"/>
      <c r="H238" s="547">
        <f t="shared" si="5"/>
        <v>0</v>
      </c>
      <c r="Q238" s="52"/>
      <c r="R238" s="44"/>
    </row>
    <row r="239" spans="1:18" s="29" customFormat="1" ht="15.6">
      <c r="A239" s="591">
        <v>1.5</v>
      </c>
      <c r="B239" s="816"/>
      <c r="C239" s="817"/>
      <c r="D239" s="818"/>
      <c r="E239" s="155"/>
      <c r="F239" s="136"/>
      <c r="G239" s="137"/>
      <c r="H239" s="547">
        <f t="shared" si="5"/>
        <v>0</v>
      </c>
      <c r="Q239" s="52"/>
      <c r="R239" s="44"/>
    </row>
    <row r="240" spans="1:18" s="29" customFormat="1" ht="15.6">
      <c r="A240" s="591">
        <v>1.6</v>
      </c>
      <c r="B240" s="816"/>
      <c r="C240" s="817"/>
      <c r="D240" s="818"/>
      <c r="E240" s="155"/>
      <c r="F240" s="136"/>
      <c r="G240" s="137"/>
      <c r="H240" s="547">
        <f t="shared" si="5"/>
        <v>0</v>
      </c>
      <c r="Q240" s="52"/>
      <c r="R240" s="44"/>
    </row>
    <row r="241" spans="1:18" s="29" customFormat="1" ht="15.6">
      <c r="A241" s="105" t="s">
        <v>260</v>
      </c>
      <c r="B241" s="105" t="s">
        <v>259</v>
      </c>
      <c r="C241" s="106"/>
      <c r="D241" s="106"/>
      <c r="E241" s="106"/>
      <c r="F241" s="57"/>
      <c r="G241" s="135"/>
      <c r="H241" s="645"/>
      <c r="Q241" s="52"/>
      <c r="R241" s="44"/>
    </row>
    <row r="242" spans="1:18" s="29" customFormat="1" ht="30.6" customHeight="1">
      <c r="A242" s="620">
        <v>2.1</v>
      </c>
      <c r="B242" s="825" t="s">
        <v>620</v>
      </c>
      <c r="C242" s="842"/>
      <c r="D242" s="843"/>
      <c r="E242" s="148" t="s">
        <v>367</v>
      </c>
      <c r="F242" s="389">
        <v>2</v>
      </c>
      <c r="G242" s="390"/>
      <c r="H242" s="547">
        <f>IFERROR(VLOOKUP(E242,J243:K246,2,FALSE),0)</f>
        <v>0</v>
      </c>
      <c r="J242" s="29" t="s">
        <v>367</v>
      </c>
      <c r="K242" s="29">
        <v>0</v>
      </c>
      <c r="Q242" s="52"/>
      <c r="R242" s="44"/>
    </row>
    <row r="243" spans="1:18" s="29" customFormat="1" ht="15.6">
      <c r="A243" s="592"/>
      <c r="B243" s="304"/>
      <c r="C243" s="305"/>
      <c r="D243" s="305"/>
      <c r="E243" s="305"/>
      <c r="F243" s="305"/>
      <c r="G243" s="312" t="s">
        <v>130</v>
      </c>
      <c r="H243" s="138">
        <f>IFERROR(MIN(SUM(H235:H242),G231),0)</f>
        <v>0</v>
      </c>
      <c r="J243" s="29" t="s">
        <v>363</v>
      </c>
      <c r="K243" s="29">
        <v>2</v>
      </c>
      <c r="Q243" s="44"/>
      <c r="R243" s="44"/>
    </row>
    <row r="244" spans="1:18" s="29" customFormat="1">
      <c r="A244" s="592"/>
      <c r="B244" s="307"/>
      <c r="C244" s="305"/>
      <c r="D244" s="305"/>
      <c r="E244" s="305"/>
      <c r="F244" s="305"/>
      <c r="G244" s="314"/>
      <c r="H244" s="571"/>
      <c r="J244" s="29" t="s">
        <v>364</v>
      </c>
      <c r="K244" s="29">
        <v>2</v>
      </c>
      <c r="Q244" s="44"/>
      <c r="R244" s="44"/>
    </row>
    <row r="245" spans="1:18" s="29" customFormat="1" ht="15.6">
      <c r="A245" s="592"/>
      <c r="B245" s="307"/>
      <c r="C245" s="305"/>
      <c r="D245" s="305"/>
      <c r="E245" s="305"/>
      <c r="F245" s="305"/>
      <c r="G245" s="312" t="s">
        <v>68</v>
      </c>
      <c r="H245" s="617">
        <f>IFERROR(H89+H192+H229+H243,0)</f>
        <v>0</v>
      </c>
      <c r="J245" s="29" t="s">
        <v>365</v>
      </c>
      <c r="K245" s="29">
        <v>2</v>
      </c>
      <c r="Q245" s="44"/>
      <c r="R245" s="44"/>
    </row>
    <row r="246" spans="1:18" s="29" customFormat="1">
      <c r="A246" s="592"/>
      <c r="B246" s="307"/>
      <c r="C246" s="305"/>
      <c r="D246" s="305"/>
      <c r="E246" s="305"/>
      <c r="F246" s="305"/>
      <c r="G246" s="314"/>
      <c r="H246" s="571"/>
      <c r="J246" s="29" t="s">
        <v>366</v>
      </c>
      <c r="K246" s="29">
        <v>2</v>
      </c>
      <c r="Q246" s="52"/>
      <c r="R246" s="44"/>
    </row>
    <row r="247" spans="1:18" s="29" customFormat="1" ht="15.75" customHeight="1">
      <c r="A247" s="592"/>
      <c r="B247" s="327" t="s">
        <v>37</v>
      </c>
      <c r="C247" s="314"/>
      <c r="D247" s="809" t="s">
        <v>372</v>
      </c>
      <c r="E247" s="809"/>
      <c r="F247" s="809"/>
      <c r="G247" s="314"/>
      <c r="H247" s="646"/>
      <c r="Q247" s="52"/>
      <c r="R247" s="44"/>
    </row>
    <row r="248" spans="1:18" s="29" customFormat="1" ht="15.6">
      <c r="A248" s="592"/>
      <c r="B248" s="328"/>
      <c r="C248" s="314"/>
      <c r="D248" s="809"/>
      <c r="E248" s="809"/>
      <c r="F248" s="809"/>
      <c r="G248" s="314"/>
      <c r="H248" s="646"/>
      <c r="Q248" s="52"/>
      <c r="R248" s="44"/>
    </row>
    <row r="249" spans="1:18" s="29" customFormat="1" ht="15.6">
      <c r="A249" s="647" t="s">
        <v>261</v>
      </c>
      <c r="B249" s="328" t="s">
        <v>99</v>
      </c>
      <c r="C249" s="347">
        <f>IFERROR(SUM(G32+G35+G37+G38+G47+G50),0)</f>
        <v>0</v>
      </c>
      <c r="D249" s="314" t="s">
        <v>265</v>
      </c>
      <c r="E249" s="137"/>
      <c r="F249" s="314" t="s">
        <v>266</v>
      </c>
      <c r="G249" s="139">
        <f>MIN(IFERROR(SUM(C249+E249),0),100%)</f>
        <v>0</v>
      </c>
      <c r="H249" s="571"/>
      <c r="L249" s="52"/>
      <c r="M249" s="44"/>
    </row>
    <row r="250" spans="1:18" s="29" customFormat="1" ht="15.6">
      <c r="A250" s="647" t="s">
        <v>262</v>
      </c>
      <c r="B250" s="328" t="s">
        <v>100</v>
      </c>
      <c r="C250" s="347">
        <f>IFERROR(SUM(F19+G96+G98+G100+G103+G106+G107+G108+G109+G110),0)</f>
        <v>0</v>
      </c>
      <c r="D250" s="314" t="s">
        <v>265</v>
      </c>
      <c r="E250" s="137"/>
      <c r="F250" s="314" t="s">
        <v>266</v>
      </c>
      <c r="G250" s="139">
        <f>MIN(IFERROR(SUM(C250+E250),0),100%)</f>
        <v>0</v>
      </c>
      <c r="H250" s="571"/>
      <c r="L250" s="52"/>
      <c r="M250" s="44"/>
    </row>
    <row r="251" spans="1:18" s="29" customFormat="1" ht="15.6">
      <c r="A251" s="647" t="s">
        <v>263</v>
      </c>
      <c r="B251" s="328" t="s">
        <v>101</v>
      </c>
      <c r="C251" s="347">
        <f>IFERROR(G206,0)</f>
        <v>0</v>
      </c>
      <c r="D251" s="314" t="s">
        <v>265</v>
      </c>
      <c r="E251" s="137"/>
      <c r="F251" s="286" t="s">
        <v>266</v>
      </c>
      <c r="G251" s="139">
        <f>MIN(IFERROR(SUM(C251+E251),0),100%)</f>
        <v>0</v>
      </c>
      <c r="H251" s="562"/>
      <c r="I251" s="3"/>
      <c r="J251" s="3"/>
      <c r="K251" s="3"/>
      <c r="L251" s="52"/>
      <c r="M251" s="44"/>
    </row>
    <row r="252" spans="1:18" s="29" customFormat="1">
      <c r="A252" s="622"/>
      <c r="B252" s="320"/>
      <c r="C252" s="323"/>
      <c r="D252" s="323"/>
      <c r="E252" s="323"/>
      <c r="F252" s="323"/>
      <c r="G252" s="648"/>
      <c r="H252" s="649"/>
      <c r="J252" s="3"/>
      <c r="K252" s="3"/>
      <c r="L252" s="3"/>
      <c r="M252" s="3"/>
      <c r="N252" s="3"/>
      <c r="O252" s="3"/>
      <c r="P252" s="3"/>
      <c r="Q252" s="52"/>
      <c r="R252" s="44"/>
    </row>
    <row r="253" spans="1:18" s="29" customFormat="1">
      <c r="A253" s="161"/>
      <c r="B253" s="3"/>
      <c r="C253" s="3"/>
      <c r="D253" s="3"/>
      <c r="E253" s="3"/>
      <c r="F253" s="3"/>
      <c r="G253" s="10"/>
      <c r="H253" s="3"/>
      <c r="J253" s="3"/>
      <c r="K253" s="3"/>
      <c r="L253" s="3"/>
      <c r="M253" s="3"/>
      <c r="N253" s="3"/>
      <c r="O253" s="3"/>
      <c r="P253" s="3"/>
      <c r="Q253" s="52"/>
      <c r="R253" s="44"/>
    </row>
    <row r="254" spans="1:18" s="29" customFormat="1">
      <c r="A254" s="161"/>
      <c r="B254" s="3"/>
      <c r="C254" s="3"/>
      <c r="D254" s="3"/>
      <c r="E254" s="3"/>
      <c r="F254" s="3"/>
      <c r="G254" s="10"/>
      <c r="H254" s="3"/>
      <c r="J254" s="3"/>
      <c r="K254" s="3"/>
      <c r="L254" s="3"/>
      <c r="M254" s="3"/>
      <c r="N254" s="3"/>
      <c r="O254" s="3"/>
      <c r="P254" s="3"/>
      <c r="Q254" s="52"/>
      <c r="R254" s="44"/>
    </row>
    <row r="255" spans="1:18" s="29" customFormat="1">
      <c r="A255" s="161"/>
      <c r="B255" s="3"/>
      <c r="C255" s="3"/>
      <c r="D255" s="3"/>
      <c r="E255" s="3"/>
      <c r="F255" s="3"/>
      <c r="G255" s="10"/>
      <c r="H255" s="3"/>
      <c r="J255" s="3"/>
      <c r="K255" s="3"/>
      <c r="L255" s="3"/>
      <c r="M255" s="3"/>
      <c r="N255" s="3"/>
      <c r="O255" s="3"/>
      <c r="P255" s="3"/>
      <c r="Q255" s="52"/>
      <c r="R255" s="44"/>
    </row>
    <row r="256" spans="1:18" s="29" customFormat="1">
      <c r="A256" s="161"/>
      <c r="B256" s="3"/>
      <c r="C256" s="3"/>
      <c r="D256" s="3"/>
      <c r="E256" s="3"/>
      <c r="F256" s="3"/>
      <c r="G256" s="10"/>
      <c r="H256" s="3"/>
      <c r="J256" s="3"/>
      <c r="K256" s="3"/>
      <c r="L256" s="3"/>
      <c r="M256" s="3"/>
      <c r="N256" s="3"/>
      <c r="O256" s="3"/>
      <c r="P256" s="3"/>
      <c r="Q256" s="44"/>
      <c r="R256" s="44"/>
    </row>
    <row r="257" spans="1:18" s="29" customFormat="1">
      <c r="A257" s="161"/>
      <c r="B257" s="3"/>
      <c r="C257" s="3"/>
      <c r="D257" s="3"/>
      <c r="E257" s="3"/>
      <c r="F257" s="3"/>
      <c r="G257" s="10"/>
      <c r="H257" s="3"/>
      <c r="J257" s="3"/>
      <c r="K257" s="3"/>
      <c r="L257" s="3"/>
      <c r="M257" s="3"/>
      <c r="N257" s="3"/>
      <c r="O257" s="3"/>
      <c r="P257" s="3"/>
      <c r="Q257" s="44"/>
      <c r="R257" s="44"/>
    </row>
    <row r="258" spans="1:18" s="29" customFormat="1">
      <c r="A258" s="161"/>
      <c r="B258" s="3"/>
      <c r="C258" s="3"/>
      <c r="D258" s="3"/>
      <c r="E258" s="3"/>
      <c r="F258" s="3"/>
      <c r="G258" s="10"/>
      <c r="H258" s="3"/>
      <c r="J258" s="3"/>
      <c r="K258" s="3"/>
      <c r="L258" s="3"/>
      <c r="M258" s="3"/>
      <c r="N258" s="3"/>
      <c r="O258" s="3"/>
      <c r="P258" s="3"/>
      <c r="Q258" s="44"/>
      <c r="R258" s="44"/>
    </row>
    <row r="259" spans="1:18" s="29" customFormat="1">
      <c r="A259" s="161"/>
      <c r="B259" s="3"/>
      <c r="C259" s="3"/>
      <c r="D259" s="3"/>
      <c r="E259" s="3"/>
      <c r="F259" s="3"/>
      <c r="G259" s="10"/>
      <c r="H259" s="3"/>
      <c r="J259" s="3"/>
      <c r="K259" s="3"/>
      <c r="L259" s="3"/>
      <c r="M259" s="3"/>
      <c r="N259" s="3"/>
      <c r="O259" s="3"/>
      <c r="P259" s="3"/>
      <c r="Q259" s="44"/>
      <c r="R259" s="44"/>
    </row>
  </sheetData>
  <sheetProtection algorithmName="SHA-512" hashValue="TyumnBr3v0h8YcRZJXC18ViKUUjzgMKX7P2/5UqjuUbFLyku/7h480bOcD45N0c95O9m8Vfb6X+3Za+EnnO/Jg==" saltValue="vzLFWE1yb3R28zv3kNVdsQ==" spinCount="100000" sheet="1" selectLockedCells="1"/>
  <mergeCells count="236">
    <mergeCell ref="A38:A39"/>
    <mergeCell ref="B38:D39"/>
    <mergeCell ref="B22:C22"/>
    <mergeCell ref="A4:B4"/>
    <mergeCell ref="D7:G7"/>
    <mergeCell ref="A7:B7"/>
    <mergeCell ref="D11:D12"/>
    <mergeCell ref="E11:E12"/>
    <mergeCell ref="F11:F12"/>
    <mergeCell ref="B14:C14"/>
    <mergeCell ref="B15:C15"/>
    <mergeCell ref="B16:C16"/>
    <mergeCell ref="A11:B12"/>
    <mergeCell ref="B17:C17"/>
    <mergeCell ref="B19:C19"/>
    <mergeCell ref="B20:C20"/>
    <mergeCell ref="B21:C21"/>
    <mergeCell ref="E38:E39"/>
    <mergeCell ref="B23:C23"/>
    <mergeCell ref="B24:C24"/>
    <mergeCell ref="B25:C25"/>
    <mergeCell ref="A32:A33"/>
    <mergeCell ref="E32:E33"/>
    <mergeCell ref="F32:F33"/>
    <mergeCell ref="B53:D53"/>
    <mergeCell ref="B37:D37"/>
    <mergeCell ref="B41:D41"/>
    <mergeCell ref="B67:C67"/>
    <mergeCell ref="B69:C69"/>
    <mergeCell ref="B66:C66"/>
    <mergeCell ref="B54:D54"/>
    <mergeCell ref="B56:D56"/>
    <mergeCell ref="B57:D57"/>
    <mergeCell ref="B44:D44"/>
    <mergeCell ref="B179:C179"/>
    <mergeCell ref="B180:C180"/>
    <mergeCell ref="B32:D32"/>
    <mergeCell ref="B50:D50"/>
    <mergeCell ref="B40:D40"/>
    <mergeCell ref="B35:D35"/>
    <mergeCell ref="B65:C65"/>
    <mergeCell ref="B103:D103"/>
    <mergeCell ref="B104:D104"/>
    <mergeCell ref="B64:C64"/>
    <mergeCell ref="B96:D96"/>
    <mergeCell ref="B99:D99"/>
    <mergeCell ref="B68:C68"/>
    <mergeCell ref="B81:C81"/>
    <mergeCell ref="B70:C70"/>
    <mergeCell ref="B71:C71"/>
    <mergeCell ref="B73:C73"/>
    <mergeCell ref="B77:C77"/>
    <mergeCell ref="B79:C79"/>
    <mergeCell ref="B74:C74"/>
    <mergeCell ref="B85:C85"/>
    <mergeCell ref="B86:C86"/>
    <mergeCell ref="B58:D58"/>
    <mergeCell ref="A61:B62"/>
    <mergeCell ref="H151:H152"/>
    <mergeCell ref="B155:C155"/>
    <mergeCell ref="B156:C156"/>
    <mergeCell ref="B157:C157"/>
    <mergeCell ref="B158:C158"/>
    <mergeCell ref="A160:A161"/>
    <mergeCell ref="A98:A99"/>
    <mergeCell ref="B98:D98"/>
    <mergeCell ref="E98:E99"/>
    <mergeCell ref="F98:F99"/>
    <mergeCell ref="B101:D101"/>
    <mergeCell ref="B108:D108"/>
    <mergeCell ref="G98:G99"/>
    <mergeCell ref="H98:H99"/>
    <mergeCell ref="B134:C134"/>
    <mergeCell ref="B135:C135"/>
    <mergeCell ref="B110:D110"/>
    <mergeCell ref="B114:D114"/>
    <mergeCell ref="B113:D113"/>
    <mergeCell ref="B109:D109"/>
    <mergeCell ref="B127:C127"/>
    <mergeCell ref="A100:A101"/>
    <mergeCell ref="B100:D100"/>
    <mergeCell ref="E100:E101"/>
    <mergeCell ref="A176:A177"/>
    <mergeCell ref="B176:C176"/>
    <mergeCell ref="D176:D177"/>
    <mergeCell ref="E176:E177"/>
    <mergeCell ref="F176:F177"/>
    <mergeCell ref="G176:G177"/>
    <mergeCell ref="H176:H177"/>
    <mergeCell ref="B177:C177"/>
    <mergeCell ref="B129:C129"/>
    <mergeCell ref="A131:A132"/>
    <mergeCell ref="B131:C131"/>
    <mergeCell ref="D131:D132"/>
    <mergeCell ref="E131:E132"/>
    <mergeCell ref="F131:F132"/>
    <mergeCell ref="G131:G132"/>
    <mergeCell ref="D147:D148"/>
    <mergeCell ref="E147:E148"/>
    <mergeCell ref="F147:G147"/>
    <mergeCell ref="F148:G148"/>
    <mergeCell ref="A151:B152"/>
    <mergeCell ref="C151:C152"/>
    <mergeCell ref="D151:D152"/>
    <mergeCell ref="E151:F151"/>
    <mergeCell ref="G151:G152"/>
    <mergeCell ref="G208:G209"/>
    <mergeCell ref="H208:H209"/>
    <mergeCell ref="B212:C212"/>
    <mergeCell ref="B213:C213"/>
    <mergeCell ref="B214:C214"/>
    <mergeCell ref="B215:C215"/>
    <mergeCell ref="B218:C218"/>
    <mergeCell ref="B219:C219"/>
    <mergeCell ref="A222:B223"/>
    <mergeCell ref="C222:C223"/>
    <mergeCell ref="D222:D223"/>
    <mergeCell ref="E222:F222"/>
    <mergeCell ref="G222:G223"/>
    <mergeCell ref="H222:H223"/>
    <mergeCell ref="B217:C217"/>
    <mergeCell ref="H100:H101"/>
    <mergeCell ref="A103:A104"/>
    <mergeCell ref="E103:E104"/>
    <mergeCell ref="F103:F104"/>
    <mergeCell ref="G103:G104"/>
    <mergeCell ref="H103:H104"/>
    <mergeCell ref="G32:G33"/>
    <mergeCell ref="H32:H33"/>
    <mergeCell ref="B33:D33"/>
    <mergeCell ref="G61:G62"/>
    <mergeCell ref="H61:H62"/>
    <mergeCell ref="D69:D72"/>
    <mergeCell ref="B72:C72"/>
    <mergeCell ref="E74:F74"/>
    <mergeCell ref="B76:C76"/>
    <mergeCell ref="H38:H39"/>
    <mergeCell ref="E40:E45"/>
    <mergeCell ref="H40:H45"/>
    <mergeCell ref="B43:D43"/>
    <mergeCell ref="B48:D48"/>
    <mergeCell ref="B49:D49"/>
    <mergeCell ref="B42:D42"/>
    <mergeCell ref="B47:D47"/>
    <mergeCell ref="B45:D45"/>
    <mergeCell ref="A127:A128"/>
    <mergeCell ref="D127:D128"/>
    <mergeCell ref="B78:C78"/>
    <mergeCell ref="B82:C82"/>
    <mergeCell ref="B84:C84"/>
    <mergeCell ref="E61:F61"/>
    <mergeCell ref="D61:D62"/>
    <mergeCell ref="F100:F101"/>
    <mergeCell ref="G100:G101"/>
    <mergeCell ref="E127:E128"/>
    <mergeCell ref="F127:F128"/>
    <mergeCell ref="G127:G128"/>
    <mergeCell ref="H127:H128"/>
    <mergeCell ref="B128:C128"/>
    <mergeCell ref="Q106:Q107"/>
    <mergeCell ref="H131:H132"/>
    <mergeCell ref="B132:C132"/>
    <mergeCell ref="B138:C138"/>
    <mergeCell ref="B106:D106"/>
    <mergeCell ref="B107:D107"/>
    <mergeCell ref="B115:D115"/>
    <mergeCell ref="B117:D117"/>
    <mergeCell ref="B118:D118"/>
    <mergeCell ref="B119:D119"/>
    <mergeCell ref="B125:C125"/>
    <mergeCell ref="B139:C139"/>
    <mergeCell ref="B140:C140"/>
    <mergeCell ref="B141:C141"/>
    <mergeCell ref="B142:C142"/>
    <mergeCell ref="A145:B145"/>
    <mergeCell ref="F145:G145"/>
    <mergeCell ref="B160:C161"/>
    <mergeCell ref="E160:F160"/>
    <mergeCell ref="G160:G161"/>
    <mergeCell ref="B159:C159"/>
    <mergeCell ref="H160:H161"/>
    <mergeCell ref="E161:F161"/>
    <mergeCell ref="A162:A165"/>
    <mergeCell ref="B162:C165"/>
    <mergeCell ref="E162:F162"/>
    <mergeCell ref="G162:G165"/>
    <mergeCell ref="H162:H165"/>
    <mergeCell ref="E163:F163"/>
    <mergeCell ref="E164:F164"/>
    <mergeCell ref="E165:F165"/>
    <mergeCell ref="B166:C167"/>
    <mergeCell ref="B170:C170"/>
    <mergeCell ref="A174:A175"/>
    <mergeCell ref="B174:C174"/>
    <mergeCell ref="D174:D175"/>
    <mergeCell ref="E174:E175"/>
    <mergeCell ref="F174:F175"/>
    <mergeCell ref="G174:G175"/>
    <mergeCell ref="H174:H175"/>
    <mergeCell ref="B175:C175"/>
    <mergeCell ref="B172:C172"/>
    <mergeCell ref="B171:C171"/>
    <mergeCell ref="A166:A167"/>
    <mergeCell ref="B169:C169"/>
    <mergeCell ref="B181:C181"/>
    <mergeCell ref="A184:B185"/>
    <mergeCell ref="C184:C185"/>
    <mergeCell ref="D184:D185"/>
    <mergeCell ref="E184:F184"/>
    <mergeCell ref="G184:G185"/>
    <mergeCell ref="H184:H185"/>
    <mergeCell ref="B187:C187"/>
    <mergeCell ref="B188:C188"/>
    <mergeCell ref="B189:C189"/>
    <mergeCell ref="E189:F189"/>
    <mergeCell ref="A196:B196"/>
    <mergeCell ref="B199:C199"/>
    <mergeCell ref="B201:C201"/>
    <mergeCell ref="A208:B209"/>
    <mergeCell ref="C208:C209"/>
    <mergeCell ref="D208:D209"/>
    <mergeCell ref="E208:F208"/>
    <mergeCell ref="B204:C204"/>
    <mergeCell ref="B205:C205"/>
    <mergeCell ref="B203:C203"/>
    <mergeCell ref="B242:D242"/>
    <mergeCell ref="D247:F248"/>
    <mergeCell ref="B225:C225"/>
    <mergeCell ref="B226:C226"/>
    <mergeCell ref="A233:B233"/>
    <mergeCell ref="B235:D235"/>
    <mergeCell ref="B236:D236"/>
    <mergeCell ref="B237:D237"/>
    <mergeCell ref="B238:D238"/>
    <mergeCell ref="B239:D239"/>
    <mergeCell ref="B240:D240"/>
  </mergeCells>
  <dataValidations count="3">
    <dataValidation type="list" allowBlank="1" showInputMessage="1" showErrorMessage="1" sqref="E242" xr:uid="{E1D957E6-EA99-4A31-AFB3-59DE6BCB6869}">
      <formula1>$J$242:$J$246</formula1>
    </dataValidation>
    <dataValidation type="list" allowBlank="1" showInputMessage="1" showErrorMessage="1" sqref="F148:G148" xr:uid="{D3CE565F-631C-4C0C-B246-5CBDFCA265F9}">
      <formula1>$K$145:$P$145</formula1>
    </dataValidation>
    <dataValidation type="list" allowBlank="1" showInputMessage="1" showErrorMessage="1" sqref="A7:B7" xr:uid="{733A1DFA-77B6-4FA9-99E8-C2029E94F4B4}">
      <formula1>$J$1:$J$6</formula1>
    </dataValidation>
  </dataValidations>
  <pageMargins left="0.25" right="0.25" top="0.75" bottom="0.75" header="0.3" footer="0.3"/>
  <pageSetup paperSize="9" scale="55" fitToHeight="4" orientation="portrait" r:id="rId1"/>
  <headerFooter>
    <oddFooter>&amp;F</oddFooter>
  </headerFooter>
  <rowBreaks count="3" manualBreakCount="3">
    <brk id="60" max="7" man="1"/>
    <brk id="121" max="7" man="1"/>
    <brk id="183"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81"/>
  <sheetViews>
    <sheetView zoomScale="70" zoomScaleNormal="70" workbookViewId="0">
      <selection activeCell="E17" sqref="E17"/>
    </sheetView>
  </sheetViews>
  <sheetFormatPr defaultColWidth="9.109375" defaultRowHeight="15"/>
  <cols>
    <col min="1" max="1" width="7" style="178" customWidth="1"/>
    <col min="2" max="2" width="56.6640625" style="176" customWidth="1"/>
    <col min="3" max="3" width="14.33203125" style="177" customWidth="1"/>
    <col min="4" max="4" width="19.44140625" style="177" customWidth="1"/>
    <col min="5" max="6" width="19.5546875" style="177" customWidth="1"/>
    <col min="7" max="7" width="42.33203125" style="177" customWidth="1"/>
    <col min="8" max="10" width="17.109375" style="177" customWidth="1"/>
    <col min="11" max="11" width="16.88671875" style="177" customWidth="1"/>
    <col min="12" max="12" width="42.5546875" style="178" bestFit="1" customWidth="1"/>
    <col min="13" max="15" width="14.44140625" style="177" customWidth="1"/>
    <col min="16" max="16" width="16.44140625" style="177" customWidth="1"/>
    <col min="17" max="17" width="50.88671875" style="178" bestFit="1" customWidth="1"/>
    <col min="18" max="18" width="14.44140625" style="176" customWidth="1"/>
    <col min="19" max="20" width="14.44140625" style="178" customWidth="1"/>
    <col min="21" max="21" width="17.109375" style="178" customWidth="1"/>
    <col min="22" max="22" width="15.33203125" style="178" customWidth="1"/>
    <col min="23" max="23" width="48.5546875" style="178" bestFit="1" customWidth="1"/>
    <col min="24" max="24" width="22" style="180" bestFit="1" customWidth="1"/>
    <col min="25" max="16384" width="9.109375" style="178"/>
  </cols>
  <sheetData>
    <row r="1" spans="1:24" ht="21">
      <c r="A1" s="175" t="s">
        <v>603</v>
      </c>
      <c r="K1" s="178"/>
      <c r="L1" s="177"/>
      <c r="P1" s="178"/>
      <c r="R1" s="178"/>
      <c r="X1" s="178"/>
    </row>
    <row r="2" spans="1:24">
      <c r="K2" s="142"/>
      <c r="L2" s="177"/>
      <c r="P2" s="178"/>
      <c r="Q2" s="176"/>
      <c r="R2" s="178"/>
      <c r="V2" s="179"/>
      <c r="W2" s="180"/>
      <c r="X2" s="178"/>
    </row>
    <row r="3" spans="1:24" ht="15.6">
      <c r="A3" s="181" t="s">
        <v>43</v>
      </c>
      <c r="B3" s="182"/>
      <c r="C3" s="182"/>
      <c r="D3" s="182"/>
      <c r="E3" s="183"/>
      <c r="F3" s="184"/>
      <c r="G3" s="184"/>
      <c r="H3" s="184"/>
      <c r="I3" s="184"/>
      <c r="J3" s="184"/>
      <c r="K3" s="142"/>
      <c r="L3" s="177"/>
      <c r="P3" s="178"/>
      <c r="Q3" s="176"/>
      <c r="R3" s="178"/>
      <c r="V3" s="179"/>
      <c r="W3" s="180"/>
      <c r="X3" s="178"/>
    </row>
    <row r="4" spans="1:24" ht="15.6">
      <c r="B4" s="185"/>
      <c r="C4" s="186"/>
      <c r="D4" s="178"/>
      <c r="E4" s="178"/>
      <c r="G4" s="187"/>
      <c r="K4" s="142"/>
      <c r="L4" s="177"/>
      <c r="P4" s="178"/>
      <c r="Q4" s="176"/>
      <c r="R4" s="178"/>
      <c r="V4" s="179"/>
      <c r="W4" s="180"/>
      <c r="X4" s="178"/>
    </row>
    <row r="5" spans="1:24" ht="52.2">
      <c r="A5" s="188" t="s">
        <v>0</v>
      </c>
      <c r="B5" s="189"/>
      <c r="C5" s="189"/>
      <c r="D5" s="190"/>
      <c r="E5" s="191" t="s">
        <v>44</v>
      </c>
      <c r="F5" s="191" t="s">
        <v>384</v>
      </c>
      <c r="G5" s="191" t="s">
        <v>15</v>
      </c>
      <c r="H5" s="191" t="s">
        <v>16</v>
      </c>
      <c r="I5" s="191" t="s">
        <v>383</v>
      </c>
      <c r="J5" s="191" t="s">
        <v>382</v>
      </c>
      <c r="K5" s="142"/>
      <c r="L5" s="192"/>
      <c r="M5" s="193"/>
      <c r="N5" s="194"/>
      <c r="O5" s="194"/>
      <c r="P5" s="178"/>
      <c r="Q5" s="176"/>
      <c r="R5" s="178"/>
      <c r="V5" s="179"/>
      <c r="W5" s="180"/>
      <c r="X5" s="178"/>
    </row>
    <row r="6" spans="1:24" ht="15.75" customHeight="1">
      <c r="A6" s="195">
        <v>1.1000000000000001</v>
      </c>
      <c r="B6" s="662" t="s">
        <v>271</v>
      </c>
      <c r="C6" s="663"/>
      <c r="D6" s="664"/>
      <c r="E6" s="196">
        <f>C62</f>
        <v>35</v>
      </c>
      <c r="F6" s="196">
        <f>D62</f>
        <v>45</v>
      </c>
      <c r="G6" s="196">
        <f>E62</f>
        <v>50</v>
      </c>
      <c r="H6" s="196">
        <f>F62</f>
        <v>35</v>
      </c>
      <c r="I6" s="196">
        <f>F62</f>
        <v>35</v>
      </c>
      <c r="J6" s="196">
        <f>E62</f>
        <v>50</v>
      </c>
      <c r="K6" s="142"/>
      <c r="L6" s="192"/>
      <c r="M6" s="193"/>
      <c r="N6" s="194"/>
      <c r="O6" s="197"/>
      <c r="P6" s="178"/>
      <c r="Q6" s="176"/>
      <c r="R6" s="178"/>
      <c r="V6" s="179"/>
      <c r="W6" s="180"/>
      <c r="X6" s="178"/>
    </row>
    <row r="7" spans="1:24" ht="15" customHeight="1">
      <c r="A7" s="195">
        <v>2.1</v>
      </c>
      <c r="B7" s="662" t="s">
        <v>192</v>
      </c>
      <c r="C7" s="666"/>
      <c r="D7" s="667"/>
      <c r="E7" s="196">
        <f>C65</f>
        <v>33</v>
      </c>
      <c r="F7" s="196">
        <f>D65</f>
        <v>42</v>
      </c>
      <c r="G7" s="196">
        <f>E65</f>
        <v>48</v>
      </c>
      <c r="H7" s="196">
        <f>F65</f>
        <v>34</v>
      </c>
      <c r="I7" s="196">
        <f>F65</f>
        <v>34</v>
      </c>
      <c r="J7" s="196">
        <f>E65</f>
        <v>48</v>
      </c>
      <c r="K7" s="29"/>
      <c r="L7" s="198"/>
      <c r="M7" s="199"/>
      <c r="N7" s="199"/>
      <c r="O7" s="199"/>
      <c r="P7" s="178"/>
      <c r="Q7" s="176"/>
      <c r="R7" s="178"/>
      <c r="V7" s="179"/>
      <c r="W7" s="180"/>
      <c r="X7" s="178"/>
    </row>
    <row r="8" spans="1:24" ht="15.75" customHeight="1">
      <c r="A8" s="195">
        <v>3.1</v>
      </c>
      <c r="B8" s="662" t="s">
        <v>272</v>
      </c>
      <c r="C8" s="666"/>
      <c r="D8" s="667"/>
      <c r="E8" s="196">
        <f>C68</f>
        <v>32</v>
      </c>
      <c r="F8" s="196">
        <f>D68</f>
        <v>39</v>
      </c>
      <c r="G8" s="196">
        <f>E68</f>
        <v>46</v>
      </c>
      <c r="H8" s="196">
        <f>F68</f>
        <v>33</v>
      </c>
      <c r="I8" s="196">
        <f>F68</f>
        <v>33</v>
      </c>
      <c r="J8" s="196">
        <f>E68</f>
        <v>46</v>
      </c>
      <c r="K8" s="178"/>
      <c r="L8" s="192"/>
      <c r="M8" s="193"/>
      <c r="N8" s="200"/>
      <c r="O8" s="197"/>
      <c r="P8" s="178"/>
      <c r="Q8" s="176"/>
      <c r="R8" s="178"/>
      <c r="V8" s="179"/>
      <c r="W8" s="180"/>
      <c r="X8" s="178"/>
    </row>
    <row r="9" spans="1:24" ht="15" customHeight="1">
      <c r="A9" s="195">
        <v>3.2</v>
      </c>
      <c r="B9" s="677" t="s">
        <v>295</v>
      </c>
      <c r="C9" s="678"/>
      <c r="D9" s="679"/>
      <c r="E9" s="196">
        <f>C68</f>
        <v>32</v>
      </c>
      <c r="F9" s="196">
        <f>D68</f>
        <v>39</v>
      </c>
      <c r="G9" s="196">
        <f>E68</f>
        <v>46</v>
      </c>
      <c r="H9" s="196">
        <f>F68</f>
        <v>33</v>
      </c>
      <c r="I9" s="196">
        <f>F68</f>
        <v>33</v>
      </c>
      <c r="J9" s="196">
        <f>E68</f>
        <v>46</v>
      </c>
      <c r="K9" s="178"/>
      <c r="L9" s="198"/>
      <c r="M9" s="199"/>
      <c r="N9" s="199"/>
      <c r="O9" s="199"/>
      <c r="P9" s="178"/>
      <c r="Q9" s="176"/>
      <c r="R9" s="178"/>
      <c r="V9" s="179"/>
      <c r="W9" s="180"/>
      <c r="X9" s="178"/>
    </row>
    <row r="10" spans="1:24" ht="15.75" customHeight="1">
      <c r="A10" s="195">
        <v>4.0999999999999996</v>
      </c>
      <c r="B10" s="662" t="s">
        <v>297</v>
      </c>
      <c r="C10" s="666"/>
      <c r="D10" s="667"/>
      <c r="E10" s="196">
        <f>C72</f>
        <v>29</v>
      </c>
      <c r="F10" s="196">
        <f>D72</f>
        <v>35</v>
      </c>
      <c r="G10" s="196">
        <f>E72</f>
        <v>41</v>
      </c>
      <c r="H10" s="196">
        <f>F72</f>
        <v>32</v>
      </c>
      <c r="I10" s="196">
        <f>F72</f>
        <v>32</v>
      </c>
      <c r="J10" s="196">
        <f>E72</f>
        <v>41</v>
      </c>
      <c r="K10" s="178"/>
      <c r="L10" s="192"/>
      <c r="M10" s="193"/>
      <c r="N10" s="200"/>
      <c r="O10" s="197"/>
      <c r="P10" s="178"/>
      <c r="Q10" s="176"/>
      <c r="R10" s="178"/>
      <c r="V10" s="179"/>
      <c r="W10" s="180"/>
      <c r="X10" s="178"/>
    </row>
    <row r="11" spans="1:24" ht="15" customHeight="1">
      <c r="A11" s="195">
        <v>4.2</v>
      </c>
      <c r="B11" s="680" t="s">
        <v>313</v>
      </c>
      <c r="C11" s="681"/>
      <c r="D11" s="682"/>
      <c r="E11" s="196">
        <f>C72</f>
        <v>29</v>
      </c>
      <c r="F11" s="196">
        <f>D72</f>
        <v>35</v>
      </c>
      <c r="G11" s="196">
        <f>E72</f>
        <v>41</v>
      </c>
      <c r="H11" s="196">
        <f>F72</f>
        <v>32</v>
      </c>
      <c r="I11" s="196">
        <f>F72</f>
        <v>32</v>
      </c>
      <c r="J11" s="196">
        <f>E72</f>
        <v>41</v>
      </c>
      <c r="K11" s="178"/>
      <c r="L11" s="198"/>
      <c r="M11" s="199"/>
      <c r="N11" s="199"/>
      <c r="O11" s="199"/>
      <c r="P11" s="178"/>
      <c r="Q11" s="176"/>
      <c r="R11" s="178"/>
      <c r="V11" s="179"/>
      <c r="W11" s="180"/>
      <c r="X11" s="178"/>
    </row>
    <row r="12" spans="1:24" ht="15" customHeight="1">
      <c r="A12" s="195">
        <v>4.3</v>
      </c>
      <c r="B12" s="201" t="s">
        <v>311</v>
      </c>
      <c r="C12" s="202"/>
      <c r="D12" s="203"/>
      <c r="E12" s="196">
        <f>C74</f>
        <v>23</v>
      </c>
      <c r="F12" s="196">
        <f>D74</f>
        <v>28</v>
      </c>
      <c r="G12" s="196">
        <f>E74</f>
        <v>34</v>
      </c>
      <c r="H12" s="196">
        <f>F74</f>
        <v>26</v>
      </c>
      <c r="I12" s="196">
        <f>F74</f>
        <v>26</v>
      </c>
      <c r="J12" s="196">
        <f>E74</f>
        <v>34</v>
      </c>
      <c r="K12" s="178"/>
      <c r="L12" s="204"/>
      <c r="M12" s="205"/>
      <c r="N12" s="205"/>
      <c r="O12" s="205"/>
      <c r="P12" s="178"/>
      <c r="Q12" s="176"/>
      <c r="R12" s="178"/>
      <c r="V12" s="179"/>
      <c r="W12" s="180"/>
      <c r="X12" s="178"/>
    </row>
    <row r="13" spans="1:24" ht="15" customHeight="1">
      <c r="A13" s="195">
        <v>4.4000000000000004</v>
      </c>
      <c r="B13" s="662" t="s">
        <v>312</v>
      </c>
      <c r="C13" s="666"/>
      <c r="D13" s="667"/>
      <c r="E13" s="196">
        <f>C74</f>
        <v>23</v>
      </c>
      <c r="F13" s="196">
        <f>D74</f>
        <v>28</v>
      </c>
      <c r="G13" s="196">
        <f>E74</f>
        <v>34</v>
      </c>
      <c r="H13" s="196">
        <f>F74</f>
        <v>26</v>
      </c>
      <c r="I13" s="196">
        <f>F74</f>
        <v>26</v>
      </c>
      <c r="J13" s="196">
        <f>E74</f>
        <v>34</v>
      </c>
      <c r="K13" s="178"/>
      <c r="L13" s="204"/>
      <c r="M13" s="205"/>
      <c r="N13" s="205"/>
      <c r="O13" s="205"/>
      <c r="P13" s="178"/>
      <c r="Q13" s="176"/>
      <c r="R13" s="178"/>
      <c r="V13" s="179"/>
      <c r="W13" s="180"/>
      <c r="X13" s="178"/>
    </row>
    <row r="14" spans="1:24" ht="15" customHeight="1">
      <c r="A14" s="195">
        <v>5.0999999999999996</v>
      </c>
      <c r="B14" s="665" t="s">
        <v>193</v>
      </c>
      <c r="C14" s="663"/>
      <c r="D14" s="664"/>
      <c r="E14" s="196">
        <f>C77</f>
        <v>20</v>
      </c>
      <c r="F14" s="196">
        <f>D77</f>
        <v>22</v>
      </c>
      <c r="G14" s="196">
        <f>E77</f>
        <v>28</v>
      </c>
      <c r="H14" s="196">
        <f>F77</f>
        <v>24</v>
      </c>
      <c r="I14" s="196">
        <f>F77</f>
        <v>24</v>
      </c>
      <c r="J14" s="196">
        <f>E77</f>
        <v>28</v>
      </c>
      <c r="K14" s="178"/>
      <c r="L14" s="206"/>
      <c r="M14" s="207"/>
      <c r="N14" s="207"/>
      <c r="O14" s="207"/>
      <c r="P14" s="178"/>
      <c r="Q14" s="176"/>
      <c r="R14" s="178"/>
      <c r="V14" s="179"/>
      <c r="W14" s="180"/>
      <c r="X14" s="178"/>
    </row>
    <row r="15" spans="1:24" ht="15" customHeight="1">
      <c r="A15" s="195">
        <v>5.2</v>
      </c>
      <c r="B15" s="665" t="s">
        <v>142</v>
      </c>
      <c r="C15" s="663"/>
      <c r="D15" s="664"/>
      <c r="E15" s="196">
        <f>C79</f>
        <v>10</v>
      </c>
      <c r="F15" s="196">
        <f>D79</f>
        <v>10</v>
      </c>
      <c r="G15" s="196">
        <f>E79</f>
        <v>15</v>
      </c>
      <c r="H15" s="196">
        <f>F79</f>
        <v>11</v>
      </c>
      <c r="I15" s="196">
        <f>F79</f>
        <v>11</v>
      </c>
      <c r="J15" s="196">
        <f>E79</f>
        <v>15</v>
      </c>
      <c r="K15" s="178"/>
      <c r="L15" s="206"/>
      <c r="M15" s="207"/>
      <c r="N15" s="207"/>
      <c r="O15" s="207"/>
      <c r="P15" s="178"/>
      <c r="Q15" s="176"/>
      <c r="R15" s="178"/>
      <c r="V15" s="179"/>
      <c r="W15" s="180"/>
      <c r="X15" s="178"/>
    </row>
    <row r="16" spans="1:24" ht="15" customHeight="1">
      <c r="K16" s="178"/>
      <c r="L16" s="206"/>
      <c r="M16" s="207"/>
      <c r="N16" s="207"/>
      <c r="O16" s="207"/>
      <c r="P16" s="178"/>
      <c r="Q16" s="176"/>
      <c r="R16" s="178"/>
      <c r="V16" s="179"/>
      <c r="W16" s="180"/>
      <c r="X16" s="178"/>
    </row>
    <row r="17" spans="1:24" ht="15" customHeight="1">
      <c r="K17" s="178"/>
      <c r="L17" s="206"/>
      <c r="M17" s="207"/>
      <c r="N17" s="207"/>
      <c r="O17" s="207"/>
      <c r="P17" s="178"/>
      <c r="Q17" s="176"/>
      <c r="R17" s="178"/>
      <c r="V17" s="179"/>
      <c r="W17" s="180"/>
      <c r="X17" s="178"/>
    </row>
    <row r="18" spans="1:24" ht="15.75" customHeight="1">
      <c r="A18" s="208" t="s">
        <v>51</v>
      </c>
      <c r="B18" s="209"/>
      <c r="C18" s="209"/>
      <c r="D18" s="209"/>
      <c r="E18" s="210"/>
      <c r="F18" s="211"/>
      <c r="G18" s="211"/>
      <c r="H18" s="211"/>
      <c r="I18" s="211"/>
      <c r="J18" s="211"/>
      <c r="K18" s="178"/>
      <c r="L18" s="206"/>
      <c r="M18" s="207"/>
      <c r="N18" s="207"/>
      <c r="O18" s="207"/>
      <c r="P18" s="178"/>
      <c r="Q18" s="176"/>
      <c r="R18" s="178"/>
      <c r="V18" s="179"/>
      <c r="W18" s="180"/>
      <c r="X18" s="178"/>
    </row>
    <row r="19" spans="1:24" ht="15.75" customHeight="1">
      <c r="B19" s="212"/>
      <c r="C19" s="194"/>
      <c r="D19" s="197"/>
      <c r="E19" s="197"/>
      <c r="F19" s="213"/>
      <c r="G19" s="214"/>
      <c r="K19" s="178"/>
      <c r="L19" s="206"/>
      <c r="M19" s="207"/>
      <c r="N19" s="207"/>
      <c r="O19" s="207"/>
      <c r="P19" s="178"/>
      <c r="Q19" s="176"/>
      <c r="R19" s="178"/>
      <c r="V19" s="179"/>
      <c r="W19" s="180"/>
      <c r="X19" s="178"/>
    </row>
    <row r="20" spans="1:24" ht="52.2">
      <c r="A20" s="215" t="s">
        <v>0</v>
      </c>
      <c r="B20" s="216"/>
      <c r="C20" s="216"/>
      <c r="D20" s="217"/>
      <c r="E20" s="218" t="s">
        <v>44</v>
      </c>
      <c r="F20" s="218" t="s">
        <v>384</v>
      </c>
      <c r="G20" s="218" t="s">
        <v>15</v>
      </c>
      <c r="H20" s="218" t="s">
        <v>16</v>
      </c>
      <c r="I20" s="218" t="s">
        <v>383</v>
      </c>
      <c r="J20" s="218" t="s">
        <v>382</v>
      </c>
      <c r="K20" s="178"/>
      <c r="L20" s="219"/>
      <c r="M20" s="199"/>
      <c r="N20" s="197"/>
      <c r="O20" s="197"/>
      <c r="P20" s="220"/>
      <c r="Q20" s="176"/>
      <c r="R20" s="178"/>
      <c r="V20" s="179"/>
      <c r="W20" s="180"/>
      <c r="X20" s="178"/>
    </row>
    <row r="21" spans="1:24" ht="15.75" customHeight="1">
      <c r="A21" s="221">
        <v>1.1000000000000001</v>
      </c>
      <c r="B21" s="662" t="s">
        <v>271</v>
      </c>
      <c r="C21" s="663"/>
      <c r="D21" s="664"/>
      <c r="E21" s="222">
        <f>H62</f>
        <v>30</v>
      </c>
      <c r="F21" s="222">
        <f t="shared" ref="F21:H21" si="0">I62</f>
        <v>30</v>
      </c>
      <c r="G21" s="222">
        <f t="shared" si="0"/>
        <v>20</v>
      </c>
      <c r="H21" s="222">
        <f t="shared" si="0"/>
        <v>20</v>
      </c>
      <c r="I21" s="222">
        <f>K62</f>
        <v>20</v>
      </c>
      <c r="J21" s="222">
        <f>J62</f>
        <v>20</v>
      </c>
      <c r="K21" s="178"/>
      <c r="L21" s="223"/>
      <c r="M21" s="223"/>
      <c r="N21" s="197"/>
      <c r="O21" s="224"/>
      <c r="P21" s="224"/>
      <c r="Q21" s="176"/>
      <c r="R21" s="178"/>
      <c r="V21" s="179"/>
      <c r="W21" s="180"/>
      <c r="X21" s="178"/>
    </row>
    <row r="22" spans="1:24" ht="15" customHeight="1">
      <c r="A22" s="221">
        <v>2.1</v>
      </c>
      <c r="B22" s="665" t="s">
        <v>196</v>
      </c>
      <c r="C22" s="663"/>
      <c r="D22" s="664"/>
      <c r="E22" s="225">
        <f>H65</f>
        <v>29</v>
      </c>
      <c r="F22" s="225">
        <f t="shared" ref="F22:H22" si="1">I65</f>
        <v>28</v>
      </c>
      <c r="G22" s="225">
        <f t="shared" si="1"/>
        <v>18</v>
      </c>
      <c r="H22" s="225">
        <f t="shared" si="1"/>
        <v>19</v>
      </c>
      <c r="I22" s="225">
        <f>K65</f>
        <v>19</v>
      </c>
      <c r="J22" s="225">
        <f>J65</f>
        <v>18</v>
      </c>
      <c r="K22" s="178"/>
      <c r="L22" s="197"/>
      <c r="M22" s="197"/>
      <c r="N22" s="197"/>
      <c r="O22" s="197"/>
      <c r="P22" s="224"/>
      <c r="Q22" s="176"/>
      <c r="R22" s="178"/>
      <c r="V22" s="179"/>
      <c r="W22" s="180"/>
      <c r="X22" s="178"/>
    </row>
    <row r="23" spans="1:24" ht="15" customHeight="1">
      <c r="A23" s="221">
        <v>2.2000000000000002</v>
      </c>
      <c r="B23" s="662" t="s">
        <v>169</v>
      </c>
      <c r="C23" s="666"/>
      <c r="D23" s="667"/>
      <c r="E23" s="225">
        <f>H65</f>
        <v>29</v>
      </c>
      <c r="F23" s="225">
        <f t="shared" ref="F23:H23" si="2">I65</f>
        <v>28</v>
      </c>
      <c r="G23" s="225">
        <f t="shared" si="2"/>
        <v>18</v>
      </c>
      <c r="H23" s="225">
        <f t="shared" si="2"/>
        <v>19</v>
      </c>
      <c r="I23" s="225">
        <f>K65</f>
        <v>19</v>
      </c>
      <c r="J23" s="225">
        <f>J65</f>
        <v>18</v>
      </c>
      <c r="K23" s="178"/>
      <c r="L23" s="197"/>
      <c r="M23" s="226"/>
      <c r="N23" s="226"/>
      <c r="O23" s="226"/>
      <c r="P23" s="224"/>
      <c r="Q23" s="176"/>
      <c r="R23" s="178"/>
      <c r="V23" s="179"/>
      <c r="W23" s="180"/>
      <c r="X23" s="178"/>
    </row>
    <row r="24" spans="1:24" ht="15" customHeight="1">
      <c r="A24" s="221">
        <v>3.1</v>
      </c>
      <c r="B24" s="665" t="s">
        <v>197</v>
      </c>
      <c r="C24" s="663"/>
      <c r="D24" s="664"/>
      <c r="E24" s="225">
        <f>H68</f>
        <v>27</v>
      </c>
      <c r="F24" s="225">
        <f t="shared" ref="F24:H24" si="3">I68</f>
        <v>27</v>
      </c>
      <c r="G24" s="225">
        <f t="shared" si="3"/>
        <v>17</v>
      </c>
      <c r="H24" s="225">
        <f t="shared" si="3"/>
        <v>18</v>
      </c>
      <c r="I24" s="225">
        <f>K68</f>
        <v>18</v>
      </c>
      <c r="J24" s="225">
        <f>J68</f>
        <v>17</v>
      </c>
      <c r="K24" s="178"/>
      <c r="L24" s="219"/>
      <c r="M24" s="199"/>
      <c r="N24" s="199"/>
      <c r="O24" s="199"/>
      <c r="P24" s="220"/>
      <c r="Q24" s="176"/>
      <c r="R24" s="178"/>
      <c r="V24" s="179"/>
      <c r="W24" s="180"/>
      <c r="X24" s="178"/>
    </row>
    <row r="25" spans="1:24" ht="15.75" customHeight="1">
      <c r="A25" s="221" t="s">
        <v>194</v>
      </c>
      <c r="B25" s="668" t="s">
        <v>273</v>
      </c>
      <c r="C25" s="669"/>
      <c r="D25" s="670"/>
      <c r="E25" s="225">
        <f>H72</f>
        <v>26</v>
      </c>
      <c r="F25" s="225">
        <f t="shared" ref="F25:H25" si="4">I72</f>
        <v>25</v>
      </c>
      <c r="G25" s="225">
        <f t="shared" si="4"/>
        <v>16</v>
      </c>
      <c r="H25" s="225">
        <f t="shared" si="4"/>
        <v>17</v>
      </c>
      <c r="I25" s="225">
        <f>K72</f>
        <v>17</v>
      </c>
      <c r="J25" s="225">
        <f>J72</f>
        <v>16</v>
      </c>
      <c r="K25" s="178"/>
      <c r="L25" s="193"/>
      <c r="M25" s="193"/>
      <c r="N25" s="197"/>
      <c r="O25" s="197"/>
      <c r="P25" s="220"/>
      <c r="Q25" s="176"/>
      <c r="R25" s="178"/>
      <c r="V25" s="179"/>
      <c r="W25" s="180"/>
      <c r="X25" s="178"/>
    </row>
    <row r="26" spans="1:24">
      <c r="A26" s="221" t="s">
        <v>195</v>
      </c>
      <c r="B26" s="668" t="s">
        <v>274</v>
      </c>
      <c r="C26" s="669"/>
      <c r="D26" s="670"/>
      <c r="E26" s="225">
        <f>H72</f>
        <v>26</v>
      </c>
      <c r="F26" s="225">
        <f t="shared" ref="F26:H26" si="5">I72</f>
        <v>25</v>
      </c>
      <c r="G26" s="225">
        <f t="shared" si="5"/>
        <v>16</v>
      </c>
      <c r="H26" s="225">
        <f t="shared" si="5"/>
        <v>17</v>
      </c>
      <c r="I26" s="225">
        <f>K72</f>
        <v>17</v>
      </c>
      <c r="J26" s="225">
        <f>J72</f>
        <v>16</v>
      </c>
      <c r="K26" s="178"/>
      <c r="L26" s="197"/>
      <c r="M26" s="197"/>
      <c r="N26" s="197"/>
      <c r="O26" s="197"/>
      <c r="P26" s="224"/>
      <c r="Q26" s="176"/>
      <c r="R26" s="178"/>
      <c r="V26" s="179"/>
      <c r="W26" s="180"/>
      <c r="X26" s="178"/>
    </row>
    <row r="27" spans="1:24" ht="15.6">
      <c r="A27" s="221">
        <v>4.2</v>
      </c>
      <c r="B27" s="671" t="s">
        <v>198</v>
      </c>
      <c r="C27" s="672"/>
      <c r="D27" s="673"/>
      <c r="E27" s="225">
        <f>H72</f>
        <v>26</v>
      </c>
      <c r="F27" s="225">
        <f t="shared" ref="F27:H27" si="6">I72</f>
        <v>25</v>
      </c>
      <c r="G27" s="225">
        <f t="shared" si="6"/>
        <v>16</v>
      </c>
      <c r="H27" s="225">
        <f t="shared" si="6"/>
        <v>17</v>
      </c>
      <c r="I27" s="225">
        <f>K72</f>
        <v>17</v>
      </c>
      <c r="J27" s="225">
        <f>J72</f>
        <v>16</v>
      </c>
      <c r="K27" s="178"/>
      <c r="L27" s="197"/>
      <c r="M27" s="226"/>
      <c r="N27" s="226"/>
      <c r="O27" s="226"/>
      <c r="P27" s="224"/>
      <c r="Q27" s="176"/>
      <c r="R27" s="178"/>
      <c r="V27" s="179"/>
      <c r="W27" s="180"/>
      <c r="X27" s="178"/>
    </row>
    <row r="28" spans="1:24" ht="15.6">
      <c r="A28" s="221">
        <v>4.3</v>
      </c>
      <c r="B28" s="674" t="s">
        <v>150</v>
      </c>
      <c r="C28" s="675"/>
      <c r="D28" s="676"/>
      <c r="E28" s="225">
        <f>H72</f>
        <v>26</v>
      </c>
      <c r="F28" s="225">
        <f t="shared" ref="F28:H28" si="7">I72</f>
        <v>25</v>
      </c>
      <c r="G28" s="225">
        <f t="shared" si="7"/>
        <v>16</v>
      </c>
      <c r="H28" s="225">
        <f t="shared" si="7"/>
        <v>17</v>
      </c>
      <c r="I28" s="225">
        <f>K72</f>
        <v>17</v>
      </c>
      <c r="J28" s="225">
        <f>J72</f>
        <v>16</v>
      </c>
      <c r="K28" s="178"/>
      <c r="L28" s="193"/>
      <c r="M28" s="193"/>
      <c r="N28" s="197"/>
      <c r="O28" s="197"/>
      <c r="P28" s="220"/>
      <c r="Q28" s="176"/>
      <c r="R28" s="178"/>
      <c r="V28" s="179"/>
      <c r="W28" s="180"/>
      <c r="X28" s="178"/>
    </row>
    <row r="29" spans="1:24">
      <c r="A29" s="221">
        <v>4.4000000000000004</v>
      </c>
      <c r="B29" s="674" t="s">
        <v>320</v>
      </c>
      <c r="C29" s="675"/>
      <c r="D29" s="676"/>
      <c r="E29" s="225">
        <f>H75</f>
        <v>22</v>
      </c>
      <c r="F29" s="225">
        <f t="shared" ref="F29:H29" si="8">I75</f>
        <v>22</v>
      </c>
      <c r="G29" s="225">
        <f t="shared" si="8"/>
        <v>13</v>
      </c>
      <c r="H29" s="225">
        <f t="shared" si="8"/>
        <v>13</v>
      </c>
      <c r="I29" s="225">
        <f>K75</f>
        <v>13</v>
      </c>
      <c r="J29" s="225">
        <f>J75</f>
        <v>13</v>
      </c>
      <c r="K29" s="178"/>
      <c r="L29" s="227"/>
      <c r="M29" s="197"/>
      <c r="N29" s="197"/>
      <c r="O29" s="197"/>
      <c r="P29" s="220"/>
      <c r="Q29" s="176"/>
      <c r="R29" s="178"/>
      <c r="V29" s="179"/>
      <c r="W29" s="180"/>
      <c r="X29" s="178"/>
    </row>
    <row r="30" spans="1:24">
      <c r="A30" s="221">
        <v>5.0999999999999996</v>
      </c>
      <c r="B30" s="665" t="s">
        <v>199</v>
      </c>
      <c r="C30" s="663"/>
      <c r="D30" s="664"/>
      <c r="E30" s="225">
        <f>H77</f>
        <v>16</v>
      </c>
      <c r="F30" s="225">
        <f t="shared" ref="F30:H30" si="9">I77</f>
        <v>16</v>
      </c>
      <c r="G30" s="225">
        <f t="shared" si="9"/>
        <v>10</v>
      </c>
      <c r="H30" s="225">
        <f t="shared" si="9"/>
        <v>12</v>
      </c>
      <c r="I30" s="225">
        <f>K77</f>
        <v>12</v>
      </c>
      <c r="J30" s="225">
        <f>J77</f>
        <v>10</v>
      </c>
      <c r="K30" s="178"/>
      <c r="L30" s="219"/>
      <c r="M30" s="199"/>
      <c r="N30" s="199"/>
      <c r="O30" s="199"/>
      <c r="P30" s="220"/>
      <c r="Q30" s="176"/>
      <c r="R30" s="178"/>
      <c r="V30" s="179"/>
      <c r="W30" s="180"/>
      <c r="X30" s="178"/>
    </row>
    <row r="31" spans="1:24" ht="15.6">
      <c r="A31" s="221">
        <v>5.2</v>
      </c>
      <c r="B31" s="665" t="s">
        <v>321</v>
      </c>
      <c r="C31" s="663"/>
      <c r="D31" s="664"/>
      <c r="E31" s="225">
        <f>H79</f>
        <v>5</v>
      </c>
      <c r="F31" s="225">
        <f t="shared" ref="F31:H31" si="10">I79</f>
        <v>5</v>
      </c>
      <c r="G31" s="225">
        <f t="shared" si="10"/>
        <v>5</v>
      </c>
      <c r="H31" s="225">
        <f t="shared" si="10"/>
        <v>4</v>
      </c>
      <c r="I31" s="225">
        <f>K79</f>
        <v>4</v>
      </c>
      <c r="J31" s="225">
        <f>J79</f>
        <v>5</v>
      </c>
      <c r="K31" s="178"/>
      <c r="L31" s="193"/>
      <c r="M31" s="193"/>
      <c r="N31" s="193"/>
      <c r="O31" s="197"/>
      <c r="P31" s="220"/>
      <c r="Q31" s="176"/>
      <c r="R31" s="178"/>
      <c r="V31" s="179"/>
      <c r="W31" s="180"/>
      <c r="X31" s="178"/>
    </row>
    <row r="32" spans="1:24" ht="15.6">
      <c r="A32" s="221">
        <v>5.3</v>
      </c>
      <c r="B32" s="665" t="s">
        <v>322</v>
      </c>
      <c r="C32" s="663"/>
      <c r="D32" s="664"/>
      <c r="E32" s="225">
        <f>H81</f>
        <v>0</v>
      </c>
      <c r="F32" s="225">
        <f t="shared" ref="F32:H32" si="11">I81</f>
        <v>0</v>
      </c>
      <c r="G32" s="225">
        <f t="shared" si="11"/>
        <v>0</v>
      </c>
      <c r="H32" s="225">
        <f t="shared" si="11"/>
        <v>0</v>
      </c>
      <c r="I32" s="225">
        <f>K81</f>
        <v>0</v>
      </c>
      <c r="J32" s="225">
        <f>J81</f>
        <v>0</v>
      </c>
      <c r="K32" s="178"/>
      <c r="L32" s="193"/>
      <c r="M32" s="193"/>
      <c r="N32" s="197"/>
      <c r="O32" s="197"/>
      <c r="P32" s="220"/>
      <c r="Q32" s="176"/>
      <c r="R32" s="178"/>
      <c r="V32" s="179"/>
      <c r="W32" s="180"/>
      <c r="X32" s="178"/>
    </row>
    <row r="33" spans="1:24" ht="15" customHeight="1">
      <c r="A33" s="221">
        <v>7.1</v>
      </c>
      <c r="B33" s="662" t="s">
        <v>271</v>
      </c>
      <c r="C33" s="663"/>
      <c r="D33" s="664"/>
      <c r="E33" s="225">
        <f>M62</f>
        <v>15</v>
      </c>
      <c r="F33" s="225">
        <f>N62</f>
        <v>10</v>
      </c>
      <c r="G33" s="225">
        <f>O62</f>
        <v>5</v>
      </c>
      <c r="H33" s="225">
        <f>P62</f>
        <v>10</v>
      </c>
      <c r="I33" s="225">
        <f>P62</f>
        <v>10</v>
      </c>
      <c r="J33" s="225">
        <f>O62</f>
        <v>5</v>
      </c>
      <c r="K33" s="178"/>
      <c r="L33" s="219"/>
      <c r="M33" s="199"/>
      <c r="N33" s="199"/>
      <c r="O33" s="197"/>
      <c r="P33" s="220"/>
      <c r="Q33" s="176"/>
      <c r="R33" s="178"/>
      <c r="V33" s="179"/>
      <c r="W33" s="180"/>
      <c r="X33" s="178"/>
    </row>
    <row r="34" spans="1:24" ht="15.6">
      <c r="A34" s="221">
        <v>8.1</v>
      </c>
      <c r="B34" s="665" t="s">
        <v>303</v>
      </c>
      <c r="C34" s="663"/>
      <c r="D34" s="664"/>
      <c r="E34" s="225">
        <f>M65</f>
        <v>12</v>
      </c>
      <c r="F34" s="225">
        <f>N65</f>
        <v>8</v>
      </c>
      <c r="G34" s="225">
        <f>O65</f>
        <v>4</v>
      </c>
      <c r="H34" s="225">
        <f>P65</f>
        <v>9</v>
      </c>
      <c r="I34" s="225">
        <f>P65</f>
        <v>9</v>
      </c>
      <c r="J34" s="225">
        <f>O65</f>
        <v>4</v>
      </c>
      <c r="K34" s="178"/>
      <c r="L34" s="223"/>
      <c r="M34" s="223"/>
      <c r="N34" s="197"/>
      <c r="O34" s="197"/>
      <c r="P34" s="228"/>
      <c r="Q34" s="176"/>
      <c r="R34" s="178"/>
      <c r="V34" s="179"/>
      <c r="W34" s="180"/>
      <c r="X34" s="178"/>
    </row>
    <row r="35" spans="1:24">
      <c r="A35" s="221">
        <v>8.1999999999999993</v>
      </c>
      <c r="B35" s="662" t="s">
        <v>169</v>
      </c>
      <c r="C35" s="666"/>
      <c r="D35" s="667"/>
      <c r="E35" s="225">
        <f>M65</f>
        <v>12</v>
      </c>
      <c r="F35" s="225">
        <f>N65</f>
        <v>8</v>
      </c>
      <c r="G35" s="225">
        <f>O65</f>
        <v>4</v>
      </c>
      <c r="H35" s="225">
        <f>P65</f>
        <v>9</v>
      </c>
      <c r="I35" s="225">
        <f>P65</f>
        <v>9</v>
      </c>
      <c r="J35" s="225">
        <f>O65</f>
        <v>4</v>
      </c>
      <c r="K35" s="178"/>
      <c r="L35" s="197"/>
      <c r="M35" s="197"/>
      <c r="N35" s="197"/>
      <c r="O35" s="197"/>
      <c r="P35" s="220"/>
      <c r="Q35" s="176"/>
      <c r="R35" s="178"/>
      <c r="V35" s="179"/>
      <c r="W35" s="180"/>
      <c r="X35" s="178"/>
    </row>
    <row r="36" spans="1:24" ht="15.6">
      <c r="A36" s="221">
        <v>9.1</v>
      </c>
      <c r="B36" s="665" t="s">
        <v>300</v>
      </c>
      <c r="C36" s="663"/>
      <c r="D36" s="664"/>
      <c r="E36" s="225">
        <f>M68</f>
        <v>9</v>
      </c>
      <c r="F36" s="225">
        <f>N68</f>
        <v>6</v>
      </c>
      <c r="G36" s="225">
        <f>O68</f>
        <v>3</v>
      </c>
      <c r="H36" s="225">
        <f>P68</f>
        <v>7</v>
      </c>
      <c r="I36" s="225">
        <f>P68</f>
        <v>7</v>
      </c>
      <c r="J36" s="225">
        <f>O68</f>
        <v>3</v>
      </c>
      <c r="K36" s="178"/>
      <c r="L36" s="197"/>
      <c r="M36" s="226"/>
      <c r="N36" s="226"/>
      <c r="O36" s="197"/>
      <c r="P36" s="220"/>
      <c r="Q36" s="176"/>
      <c r="R36" s="178"/>
      <c r="V36" s="179"/>
      <c r="W36" s="180"/>
      <c r="X36" s="178"/>
    </row>
    <row r="37" spans="1:24">
      <c r="A37" s="229">
        <v>10.1</v>
      </c>
      <c r="B37" s="665" t="s">
        <v>156</v>
      </c>
      <c r="C37" s="663"/>
      <c r="D37" s="664"/>
      <c r="E37" s="225">
        <f>M72</f>
        <v>7</v>
      </c>
      <c r="F37" s="225">
        <f>N72</f>
        <v>4</v>
      </c>
      <c r="G37" s="225">
        <f>O72</f>
        <v>3</v>
      </c>
      <c r="H37" s="225">
        <f>P72</f>
        <v>5</v>
      </c>
      <c r="I37" s="225">
        <f>P72</f>
        <v>5</v>
      </c>
      <c r="J37" s="225">
        <f>O72</f>
        <v>3</v>
      </c>
      <c r="K37" s="178"/>
      <c r="L37" s="219"/>
      <c r="M37" s="199"/>
      <c r="N37" s="199"/>
      <c r="O37" s="197"/>
      <c r="P37" s="220"/>
      <c r="Q37" s="176"/>
      <c r="R37" s="178"/>
      <c r="V37" s="179"/>
      <c r="W37" s="180"/>
      <c r="X37" s="178"/>
    </row>
    <row r="38" spans="1:24" ht="15" customHeight="1">
      <c r="A38" s="229">
        <v>10.199999999999999</v>
      </c>
      <c r="B38" s="662" t="s">
        <v>318</v>
      </c>
      <c r="C38" s="666"/>
      <c r="D38" s="667"/>
      <c r="E38" s="225">
        <f>M72</f>
        <v>7</v>
      </c>
      <c r="F38" s="225">
        <f>N72</f>
        <v>4</v>
      </c>
      <c r="G38" s="225">
        <f>O72</f>
        <v>3</v>
      </c>
      <c r="H38" s="225">
        <f>P72</f>
        <v>5</v>
      </c>
      <c r="I38" s="225">
        <f>P72</f>
        <v>5</v>
      </c>
      <c r="J38" s="225">
        <f>O72</f>
        <v>3</v>
      </c>
      <c r="K38" s="178"/>
      <c r="L38" s="193"/>
      <c r="M38" s="193"/>
      <c r="N38" s="197"/>
      <c r="O38" s="197"/>
      <c r="P38" s="220"/>
      <c r="Q38" s="176"/>
      <c r="R38" s="178"/>
      <c r="V38" s="179"/>
      <c r="W38" s="180"/>
      <c r="X38" s="178"/>
    </row>
    <row r="39" spans="1:24">
      <c r="A39" s="229">
        <v>11.1</v>
      </c>
      <c r="B39" s="665" t="s">
        <v>264</v>
      </c>
      <c r="C39" s="663"/>
      <c r="D39" s="664"/>
      <c r="E39" s="225">
        <f>M77</f>
        <v>4</v>
      </c>
      <c r="F39" s="225">
        <f>N77</f>
        <v>2</v>
      </c>
      <c r="G39" s="225">
        <f>O77</f>
        <v>2</v>
      </c>
      <c r="H39" s="225">
        <f>P77</f>
        <v>4</v>
      </c>
      <c r="I39" s="225">
        <f>P77</f>
        <v>4</v>
      </c>
      <c r="J39" s="225">
        <f>O77</f>
        <v>2</v>
      </c>
      <c r="K39" s="178"/>
      <c r="L39" s="197"/>
      <c r="M39" s="197"/>
      <c r="N39" s="197"/>
      <c r="P39" s="178"/>
      <c r="Q39" s="176"/>
      <c r="R39" s="178"/>
      <c r="V39" s="179"/>
      <c r="W39" s="180"/>
      <c r="X39" s="178"/>
    </row>
    <row r="40" spans="1:24" ht="15.6">
      <c r="A40" s="229">
        <v>11.2</v>
      </c>
      <c r="B40" s="665" t="s">
        <v>310</v>
      </c>
      <c r="C40" s="663"/>
      <c r="D40" s="664"/>
      <c r="E40" s="225">
        <f t="shared" ref="E40:H41" si="12">M79</f>
        <v>0</v>
      </c>
      <c r="F40" s="225">
        <f t="shared" si="12"/>
        <v>0</v>
      </c>
      <c r="G40" s="225">
        <f t="shared" si="12"/>
        <v>0</v>
      </c>
      <c r="H40" s="225">
        <f t="shared" si="12"/>
        <v>0</v>
      </c>
      <c r="I40" s="225">
        <f>P79</f>
        <v>0</v>
      </c>
      <c r="J40" s="225">
        <f>O79</f>
        <v>0</v>
      </c>
      <c r="K40" s="178"/>
      <c r="L40" s="197"/>
      <c r="M40" s="226"/>
      <c r="N40" s="226"/>
      <c r="P40" s="178"/>
      <c r="Q40" s="176"/>
      <c r="R40" s="178"/>
      <c r="V40" s="179"/>
      <c r="W40" s="180"/>
      <c r="X40" s="178"/>
    </row>
    <row r="41" spans="1:24" ht="15.6">
      <c r="A41" s="229">
        <v>11.3</v>
      </c>
      <c r="B41" s="665" t="s">
        <v>317</v>
      </c>
      <c r="C41" s="663"/>
      <c r="D41" s="664"/>
      <c r="E41" s="225">
        <f t="shared" si="12"/>
        <v>0</v>
      </c>
      <c r="F41" s="225">
        <f t="shared" si="12"/>
        <v>0</v>
      </c>
      <c r="G41" s="225">
        <f t="shared" si="12"/>
        <v>0</v>
      </c>
      <c r="H41" s="225">
        <f t="shared" si="12"/>
        <v>0</v>
      </c>
      <c r="I41" s="225">
        <f>P80</f>
        <v>0</v>
      </c>
      <c r="J41" s="225">
        <f>O80</f>
        <v>0</v>
      </c>
      <c r="K41" s="178"/>
      <c r="L41" s="193"/>
      <c r="M41" s="193"/>
      <c r="N41" s="197"/>
      <c r="P41" s="178"/>
      <c r="Q41" s="176"/>
      <c r="R41" s="178"/>
      <c r="V41" s="179"/>
      <c r="W41" s="180"/>
      <c r="X41" s="178"/>
    </row>
    <row r="42" spans="1:24">
      <c r="K42" s="178"/>
      <c r="L42" s="219"/>
      <c r="M42" s="199"/>
      <c r="N42" s="199"/>
      <c r="P42" s="178"/>
      <c r="Q42" s="176"/>
      <c r="R42" s="178"/>
      <c r="V42" s="179"/>
      <c r="W42" s="180"/>
      <c r="X42" s="178"/>
    </row>
    <row r="43" spans="1:24">
      <c r="K43" s="178"/>
      <c r="L43" s="177"/>
      <c r="P43" s="178"/>
      <c r="Q43" s="176"/>
      <c r="R43" s="178"/>
      <c r="V43" s="179"/>
      <c r="W43" s="180"/>
      <c r="X43" s="178"/>
    </row>
    <row r="44" spans="1:24" ht="15.6">
      <c r="A44" s="230" t="s">
        <v>63</v>
      </c>
      <c r="B44" s="231"/>
      <c r="C44" s="231"/>
      <c r="D44" s="231"/>
      <c r="E44" s="232"/>
      <c r="F44" s="232"/>
      <c r="G44" s="232"/>
      <c r="H44" s="232"/>
      <c r="I44" s="232"/>
      <c r="J44" s="232"/>
      <c r="K44" s="178"/>
      <c r="L44" s="177"/>
      <c r="P44" s="178"/>
      <c r="Q44" s="176"/>
      <c r="R44" s="178"/>
      <c r="V44" s="179"/>
      <c r="W44" s="180"/>
      <c r="X44" s="178"/>
    </row>
    <row r="45" spans="1:24" ht="15.6">
      <c r="B45" s="233"/>
      <c r="C45" s="197"/>
      <c r="D45" s="197"/>
      <c r="E45" s="197"/>
      <c r="F45" s="213"/>
      <c r="G45" s="214"/>
      <c r="K45" s="178"/>
      <c r="L45" s="177"/>
      <c r="P45" s="178"/>
      <c r="Q45" s="176"/>
      <c r="R45" s="178"/>
      <c r="V45" s="179"/>
      <c r="W45" s="180"/>
      <c r="X45" s="178"/>
    </row>
    <row r="46" spans="1:24" ht="52.2">
      <c r="A46" s="234" t="s">
        <v>0</v>
      </c>
      <c r="B46" s="235"/>
      <c r="C46" s="235"/>
      <c r="D46" s="236"/>
      <c r="E46" s="237" t="s">
        <v>44</v>
      </c>
      <c r="F46" s="237" t="s">
        <v>384</v>
      </c>
      <c r="G46" s="237" t="s">
        <v>15</v>
      </c>
      <c r="H46" s="237" t="s">
        <v>16</v>
      </c>
      <c r="I46" s="237" t="s">
        <v>383</v>
      </c>
      <c r="J46" s="237" t="s">
        <v>382</v>
      </c>
      <c r="K46" s="178"/>
      <c r="L46" s="177"/>
      <c r="P46" s="178"/>
      <c r="Q46" s="176"/>
      <c r="R46" s="178"/>
      <c r="V46" s="179"/>
      <c r="W46" s="180"/>
      <c r="X46" s="178"/>
    </row>
    <row r="47" spans="1:24">
      <c r="A47" s="229">
        <v>1.1000000000000001</v>
      </c>
      <c r="B47" s="665" t="s">
        <v>271</v>
      </c>
      <c r="C47" s="663"/>
      <c r="D47" s="664"/>
      <c r="E47" s="238">
        <f>R62</f>
        <v>20</v>
      </c>
      <c r="F47" s="238">
        <f t="shared" ref="F47:H47" si="13">S62</f>
        <v>15</v>
      </c>
      <c r="G47" s="238">
        <f t="shared" si="13"/>
        <v>25</v>
      </c>
      <c r="H47" s="238">
        <f t="shared" si="13"/>
        <v>35</v>
      </c>
      <c r="I47" s="238">
        <f>U62</f>
        <v>35</v>
      </c>
      <c r="J47" s="238">
        <f>T62</f>
        <v>25</v>
      </c>
      <c r="K47" s="178"/>
      <c r="L47" s="227"/>
      <c r="M47" s="197"/>
      <c r="N47" s="197"/>
      <c r="P47" s="178"/>
      <c r="Q47" s="176"/>
      <c r="R47" s="178"/>
      <c r="V47" s="179"/>
      <c r="W47" s="180"/>
      <c r="X47" s="178"/>
    </row>
    <row r="48" spans="1:24" ht="15.75" customHeight="1">
      <c r="A48" s="195">
        <v>2.1</v>
      </c>
      <c r="B48" s="665" t="s">
        <v>605</v>
      </c>
      <c r="C48" s="663"/>
      <c r="D48" s="664"/>
      <c r="E48" s="238">
        <f>R65</f>
        <v>16</v>
      </c>
      <c r="F48" s="238">
        <f t="shared" ref="F48:H48" si="14">S65</f>
        <v>12</v>
      </c>
      <c r="G48" s="238">
        <f t="shared" si="14"/>
        <v>20</v>
      </c>
      <c r="H48" s="238">
        <f t="shared" si="14"/>
        <v>28</v>
      </c>
      <c r="I48" s="238">
        <f>U65</f>
        <v>28</v>
      </c>
      <c r="J48" s="238">
        <f>T65</f>
        <v>20</v>
      </c>
      <c r="K48" s="178"/>
      <c r="L48" s="223"/>
      <c r="M48" s="223"/>
      <c r="N48" s="197"/>
      <c r="P48" s="178"/>
      <c r="Q48" s="176"/>
      <c r="R48" s="178"/>
      <c r="V48" s="179"/>
      <c r="W48" s="180"/>
      <c r="X48" s="178"/>
    </row>
    <row r="49" spans="1:24" ht="15" customHeight="1">
      <c r="A49" s="229">
        <v>3.1</v>
      </c>
      <c r="B49" s="665" t="s">
        <v>400</v>
      </c>
      <c r="C49" s="663"/>
      <c r="D49" s="664"/>
      <c r="E49" s="238">
        <f>R68</f>
        <v>6</v>
      </c>
      <c r="F49" s="238">
        <f t="shared" ref="F49:H49" si="15">S68</f>
        <v>4</v>
      </c>
      <c r="G49" s="238">
        <f t="shared" si="15"/>
        <v>7</v>
      </c>
      <c r="H49" s="238">
        <f t="shared" si="15"/>
        <v>11</v>
      </c>
      <c r="I49" s="238">
        <f>U68</f>
        <v>11</v>
      </c>
      <c r="J49" s="238">
        <f>T68</f>
        <v>7</v>
      </c>
      <c r="K49" s="178"/>
      <c r="L49" s="239"/>
      <c r="M49" s="205"/>
      <c r="N49" s="205"/>
      <c r="P49" s="178"/>
      <c r="Q49" s="176"/>
      <c r="R49" s="178"/>
      <c r="V49" s="179"/>
      <c r="W49" s="180"/>
      <c r="X49" s="178"/>
    </row>
    <row r="50" spans="1:24" ht="15.75" customHeight="1">
      <c r="A50" s="229">
        <v>3.2</v>
      </c>
      <c r="B50" s="665" t="s">
        <v>401</v>
      </c>
      <c r="C50" s="663"/>
      <c r="D50" s="664"/>
      <c r="E50" s="238">
        <f>R69</f>
        <v>6</v>
      </c>
      <c r="F50" s="238">
        <f t="shared" ref="F50:H50" si="16">S69</f>
        <v>4</v>
      </c>
      <c r="G50" s="238">
        <f t="shared" si="16"/>
        <v>7</v>
      </c>
      <c r="H50" s="238">
        <f t="shared" si="16"/>
        <v>11</v>
      </c>
      <c r="I50" s="238">
        <f>U69</f>
        <v>11</v>
      </c>
      <c r="J50" s="238">
        <f>T69</f>
        <v>7</v>
      </c>
      <c r="K50" s="178"/>
      <c r="L50" s="193"/>
      <c r="M50" s="193"/>
      <c r="N50" s="227"/>
      <c r="P50" s="178"/>
      <c r="Q50" s="176"/>
      <c r="R50" s="178"/>
      <c r="V50" s="179"/>
      <c r="W50" s="180"/>
      <c r="X50" s="178"/>
    </row>
    <row r="51" spans="1:24" ht="15" customHeight="1">
      <c r="A51" s="229">
        <v>3.3</v>
      </c>
      <c r="B51" s="665" t="s">
        <v>604</v>
      </c>
      <c r="C51" s="663"/>
      <c r="D51" s="664"/>
      <c r="E51" s="238">
        <f>R69</f>
        <v>6</v>
      </c>
      <c r="F51" s="238">
        <f t="shared" ref="F51:H51" si="17">S69</f>
        <v>4</v>
      </c>
      <c r="G51" s="238">
        <f t="shared" si="17"/>
        <v>7</v>
      </c>
      <c r="H51" s="238">
        <f t="shared" si="17"/>
        <v>11</v>
      </c>
      <c r="I51" s="238">
        <f>U69</f>
        <v>11</v>
      </c>
      <c r="J51" s="238">
        <f>T69</f>
        <v>7</v>
      </c>
      <c r="K51" s="178"/>
      <c r="L51" s="239"/>
      <c r="M51" s="205"/>
      <c r="N51" s="205"/>
      <c r="P51" s="178"/>
      <c r="Q51" s="176"/>
      <c r="R51" s="178"/>
      <c r="V51" s="179"/>
      <c r="W51" s="180"/>
      <c r="X51" s="178"/>
    </row>
    <row r="52" spans="1:24" ht="15" customHeight="1">
      <c r="A52" s="229">
        <v>4.0999999999999996</v>
      </c>
      <c r="B52" s="665" t="s">
        <v>155</v>
      </c>
      <c r="C52" s="663"/>
      <c r="D52" s="664"/>
      <c r="E52" s="238">
        <f>R72</f>
        <v>2</v>
      </c>
      <c r="F52" s="238">
        <f t="shared" ref="F52:H52" si="18">S72</f>
        <v>1.5</v>
      </c>
      <c r="G52" s="238">
        <f t="shared" si="18"/>
        <v>2.5</v>
      </c>
      <c r="H52" s="238">
        <f t="shared" si="18"/>
        <v>4</v>
      </c>
      <c r="I52" s="238">
        <f>U72</f>
        <v>4</v>
      </c>
      <c r="J52" s="238">
        <f>T72</f>
        <v>2.5</v>
      </c>
      <c r="K52" s="178"/>
      <c r="L52" s="239"/>
      <c r="M52" s="205"/>
      <c r="N52" s="205"/>
      <c r="P52" s="178"/>
      <c r="Q52" s="176"/>
      <c r="R52" s="178"/>
      <c r="V52" s="179"/>
      <c r="W52" s="180"/>
      <c r="X52" s="178"/>
    </row>
    <row r="53" spans="1:24" ht="15" customHeight="1">
      <c r="A53" s="229">
        <v>4.2</v>
      </c>
      <c r="B53" s="665" t="s">
        <v>152</v>
      </c>
      <c r="C53" s="663"/>
      <c r="D53" s="664"/>
      <c r="E53" s="238">
        <f>R73</f>
        <v>2</v>
      </c>
      <c r="F53" s="238">
        <f t="shared" ref="F53:H53" si="19">S73</f>
        <v>1.5</v>
      </c>
      <c r="G53" s="238">
        <f t="shared" si="19"/>
        <v>2.5</v>
      </c>
      <c r="H53" s="238">
        <f t="shared" si="19"/>
        <v>4</v>
      </c>
      <c r="I53" s="238">
        <f>U73</f>
        <v>4</v>
      </c>
      <c r="J53" s="238">
        <f>T73</f>
        <v>2.5</v>
      </c>
      <c r="K53" s="178"/>
      <c r="L53" s="219"/>
      <c r="M53" s="199"/>
      <c r="N53" s="199"/>
      <c r="P53" s="178"/>
      <c r="Q53" s="176"/>
      <c r="R53" s="178"/>
      <c r="V53" s="179"/>
      <c r="W53" s="180"/>
      <c r="X53" s="178"/>
    </row>
    <row r="54" spans="1:24">
      <c r="A54" s="229">
        <v>4.3</v>
      </c>
      <c r="B54" s="665" t="s">
        <v>146</v>
      </c>
      <c r="C54" s="663"/>
      <c r="D54" s="664"/>
      <c r="E54" s="238">
        <f>R74</f>
        <v>2</v>
      </c>
      <c r="F54" s="238">
        <f t="shared" ref="F54:H54" si="20">S74</f>
        <v>1.5</v>
      </c>
      <c r="G54" s="238">
        <f t="shared" si="20"/>
        <v>2.5</v>
      </c>
      <c r="H54" s="238">
        <f t="shared" si="20"/>
        <v>4</v>
      </c>
      <c r="I54" s="238">
        <f>U74</f>
        <v>4</v>
      </c>
      <c r="J54" s="238">
        <f>T74</f>
        <v>2.5</v>
      </c>
      <c r="K54" s="178"/>
      <c r="L54" s="177"/>
      <c r="P54" s="178"/>
      <c r="Q54" s="176"/>
      <c r="R54" s="178"/>
      <c r="V54" s="179"/>
      <c r="W54" s="180"/>
      <c r="X54" s="178"/>
    </row>
    <row r="55" spans="1:24">
      <c r="A55" s="229">
        <v>4.4000000000000004</v>
      </c>
      <c r="B55" s="665" t="s">
        <v>252</v>
      </c>
      <c r="C55" s="663"/>
      <c r="D55" s="664"/>
      <c r="E55" s="238">
        <f>R75</f>
        <v>2</v>
      </c>
      <c r="F55" s="238">
        <f t="shared" ref="F55:H55" si="21">S75</f>
        <v>1.5</v>
      </c>
      <c r="G55" s="238">
        <f t="shared" si="21"/>
        <v>2.5</v>
      </c>
      <c r="H55" s="238">
        <f t="shared" si="21"/>
        <v>4</v>
      </c>
      <c r="I55" s="238">
        <f>U75</f>
        <v>4</v>
      </c>
      <c r="J55" s="238">
        <f>T75</f>
        <v>2.5</v>
      </c>
      <c r="K55" s="178"/>
      <c r="L55" s="177"/>
      <c r="P55" s="178"/>
      <c r="Q55" s="176"/>
      <c r="R55" s="178"/>
      <c r="V55" s="179"/>
      <c r="W55" s="180"/>
      <c r="X55" s="178"/>
    </row>
    <row r="56" spans="1:24">
      <c r="W56" s="179"/>
    </row>
    <row r="57" spans="1:24">
      <c r="W57" s="179"/>
    </row>
    <row r="58" spans="1:24">
      <c r="W58" s="179"/>
    </row>
    <row r="59" spans="1:24" ht="17.399999999999999">
      <c r="B59" s="240" t="s">
        <v>134</v>
      </c>
      <c r="C59" s="240"/>
      <c r="D59" s="240"/>
      <c r="E59" s="240"/>
      <c r="F59" s="240"/>
      <c r="G59" s="650" t="s">
        <v>180</v>
      </c>
      <c r="H59" s="651"/>
      <c r="I59" s="651"/>
      <c r="J59" s="651"/>
      <c r="K59" s="652"/>
      <c r="L59" s="655" t="s">
        <v>179</v>
      </c>
      <c r="M59" s="656"/>
      <c r="N59" s="656"/>
      <c r="O59" s="656"/>
      <c r="P59" s="657"/>
      <c r="Q59" s="650" t="s">
        <v>136</v>
      </c>
      <c r="R59" s="651"/>
      <c r="S59" s="651"/>
      <c r="T59" s="651"/>
      <c r="U59" s="652"/>
    </row>
    <row r="60" spans="1:24" ht="62.4">
      <c r="B60" s="241" t="s">
        <v>111</v>
      </c>
      <c r="C60" s="242" t="s">
        <v>44</v>
      </c>
      <c r="D60" s="242" t="s">
        <v>384</v>
      </c>
      <c r="E60" s="242" t="s">
        <v>381</v>
      </c>
      <c r="F60" s="242" t="s">
        <v>178</v>
      </c>
      <c r="G60" s="241" t="s">
        <v>111</v>
      </c>
      <c r="H60" s="242" t="s">
        <v>44</v>
      </c>
      <c r="I60" s="242" t="s">
        <v>384</v>
      </c>
      <c r="J60" s="242" t="s">
        <v>381</v>
      </c>
      <c r="K60" s="242" t="s">
        <v>178</v>
      </c>
      <c r="L60" s="241" t="s">
        <v>111</v>
      </c>
      <c r="M60" s="242" t="s">
        <v>44</v>
      </c>
      <c r="N60" s="242" t="s">
        <v>384</v>
      </c>
      <c r="O60" s="242" t="s">
        <v>381</v>
      </c>
      <c r="P60" s="242" t="s">
        <v>178</v>
      </c>
      <c r="Q60" s="241" t="s">
        <v>111</v>
      </c>
      <c r="R60" s="242" t="s">
        <v>44</v>
      </c>
      <c r="S60" s="242" t="s">
        <v>384</v>
      </c>
      <c r="T60" s="242" t="s">
        <v>381</v>
      </c>
      <c r="U60" s="242" t="s">
        <v>178</v>
      </c>
    </row>
    <row r="61" spans="1:24" ht="15.6">
      <c r="B61" s="243" t="s">
        <v>177</v>
      </c>
      <c r="C61" s="244"/>
      <c r="D61" s="244"/>
      <c r="E61" s="244"/>
      <c r="F61" s="244"/>
      <c r="G61" s="244"/>
      <c r="H61" s="244"/>
      <c r="I61" s="244"/>
      <c r="J61" s="244"/>
      <c r="K61" s="244"/>
      <c r="L61" s="244"/>
      <c r="M61" s="244"/>
      <c r="N61" s="244"/>
      <c r="O61" s="244"/>
      <c r="P61" s="244"/>
      <c r="Q61" s="244"/>
      <c r="R61" s="244"/>
      <c r="S61" s="244"/>
      <c r="T61" s="244"/>
      <c r="U61" s="245"/>
    </row>
    <row r="62" spans="1:24" ht="15" customHeight="1">
      <c r="B62" s="653" t="s">
        <v>176</v>
      </c>
      <c r="C62" s="658">
        <v>35</v>
      </c>
      <c r="D62" s="658">
        <v>45</v>
      </c>
      <c r="E62" s="658">
        <v>50</v>
      </c>
      <c r="F62" s="658">
        <v>35</v>
      </c>
      <c r="G62" s="653" t="s">
        <v>176</v>
      </c>
      <c r="H62" s="654">
        <v>30</v>
      </c>
      <c r="I62" s="658">
        <v>30</v>
      </c>
      <c r="J62" s="658">
        <v>20</v>
      </c>
      <c r="K62" s="658">
        <v>20</v>
      </c>
      <c r="L62" s="653" t="s">
        <v>176</v>
      </c>
      <c r="M62" s="654">
        <v>15</v>
      </c>
      <c r="N62" s="658">
        <v>10</v>
      </c>
      <c r="O62" s="658">
        <v>5</v>
      </c>
      <c r="P62" s="658">
        <v>10</v>
      </c>
      <c r="Q62" s="653" t="s">
        <v>176</v>
      </c>
      <c r="R62" s="654">
        <v>20</v>
      </c>
      <c r="S62" s="654">
        <v>15</v>
      </c>
      <c r="T62" s="654">
        <v>25</v>
      </c>
      <c r="U62" s="654">
        <v>35</v>
      </c>
    </row>
    <row r="63" spans="1:24" ht="15" customHeight="1">
      <c r="B63" s="653"/>
      <c r="C63" s="658"/>
      <c r="D63" s="658"/>
      <c r="E63" s="658"/>
      <c r="F63" s="658"/>
      <c r="G63" s="653"/>
      <c r="H63" s="654"/>
      <c r="I63" s="658"/>
      <c r="J63" s="658"/>
      <c r="K63" s="658"/>
      <c r="L63" s="653"/>
      <c r="M63" s="654"/>
      <c r="N63" s="658"/>
      <c r="O63" s="658"/>
      <c r="P63" s="658"/>
      <c r="Q63" s="653"/>
      <c r="R63" s="654"/>
      <c r="S63" s="654"/>
      <c r="T63" s="654"/>
      <c r="U63" s="654"/>
    </row>
    <row r="64" spans="1:24" ht="15.6">
      <c r="B64" s="243" t="s">
        <v>175</v>
      </c>
      <c r="C64" s="246"/>
      <c r="D64" s="246"/>
      <c r="E64" s="246"/>
      <c r="F64" s="246"/>
      <c r="G64" s="246"/>
      <c r="H64" s="246"/>
      <c r="I64" s="246"/>
      <c r="J64" s="246"/>
      <c r="K64" s="246"/>
      <c r="L64" s="246"/>
      <c r="M64" s="246"/>
      <c r="N64" s="246"/>
      <c r="O64" s="246"/>
      <c r="P64" s="246"/>
      <c r="Q64" s="246"/>
      <c r="R64" s="246"/>
      <c r="S64" s="246"/>
      <c r="T64" s="246"/>
      <c r="U64" s="247"/>
    </row>
    <row r="65" spans="2:21" ht="30" customHeight="1">
      <c r="B65" s="349" t="s">
        <v>174</v>
      </c>
      <c r="C65" s="658">
        <v>33</v>
      </c>
      <c r="D65" s="658">
        <v>42</v>
      </c>
      <c r="E65" s="658">
        <v>48</v>
      </c>
      <c r="F65" s="658">
        <v>34</v>
      </c>
      <c r="G65" s="349" t="s">
        <v>173</v>
      </c>
      <c r="H65" s="654">
        <v>29</v>
      </c>
      <c r="I65" s="658">
        <v>28</v>
      </c>
      <c r="J65" s="658">
        <v>18</v>
      </c>
      <c r="K65" s="658">
        <v>19</v>
      </c>
      <c r="L65" s="349" t="s">
        <v>172</v>
      </c>
      <c r="M65" s="654">
        <v>12</v>
      </c>
      <c r="N65" s="658">
        <v>8</v>
      </c>
      <c r="O65" s="658">
        <v>4</v>
      </c>
      <c r="P65" s="658">
        <v>9</v>
      </c>
      <c r="Q65" s="653" t="s">
        <v>171</v>
      </c>
      <c r="R65" s="654">
        <v>16</v>
      </c>
      <c r="S65" s="654">
        <v>12</v>
      </c>
      <c r="T65" s="654">
        <v>20</v>
      </c>
      <c r="U65" s="654">
        <v>28</v>
      </c>
    </row>
    <row r="66" spans="2:21" ht="30">
      <c r="B66" s="349" t="s">
        <v>170</v>
      </c>
      <c r="C66" s="658"/>
      <c r="D66" s="658"/>
      <c r="E66" s="658"/>
      <c r="F66" s="658"/>
      <c r="G66" s="349" t="s">
        <v>169</v>
      </c>
      <c r="H66" s="654"/>
      <c r="I66" s="658"/>
      <c r="J66" s="658"/>
      <c r="K66" s="658"/>
      <c r="L66" s="349" t="s">
        <v>169</v>
      </c>
      <c r="M66" s="654"/>
      <c r="N66" s="658"/>
      <c r="O66" s="658"/>
      <c r="P66" s="658"/>
      <c r="Q66" s="653"/>
      <c r="R66" s="654"/>
      <c r="S66" s="654"/>
      <c r="T66" s="654"/>
      <c r="U66" s="654"/>
    </row>
    <row r="67" spans="2:21" ht="15.6">
      <c r="B67" s="243" t="s">
        <v>168</v>
      </c>
      <c r="C67" s="246"/>
      <c r="D67" s="246"/>
      <c r="E67" s="246"/>
      <c r="F67" s="246"/>
      <c r="G67" s="246"/>
      <c r="H67" s="246"/>
      <c r="I67" s="246"/>
      <c r="J67" s="246"/>
      <c r="K67" s="246"/>
      <c r="L67" s="246"/>
      <c r="M67" s="246"/>
      <c r="N67" s="246"/>
      <c r="O67" s="246"/>
      <c r="P67" s="246"/>
      <c r="Q67" s="246"/>
      <c r="R67" s="246"/>
      <c r="S67" s="246"/>
      <c r="T67" s="246"/>
      <c r="U67" s="247"/>
    </row>
    <row r="68" spans="2:21" ht="15.6">
      <c r="B68" s="351" t="s">
        <v>167</v>
      </c>
      <c r="C68" s="658">
        <v>32</v>
      </c>
      <c r="D68" s="658">
        <v>39</v>
      </c>
      <c r="E68" s="658">
        <v>46</v>
      </c>
      <c r="F68" s="658">
        <v>33</v>
      </c>
      <c r="G68" s="351" t="s">
        <v>166</v>
      </c>
      <c r="H68" s="654">
        <v>27</v>
      </c>
      <c r="I68" s="658">
        <v>27</v>
      </c>
      <c r="J68" s="658">
        <v>17</v>
      </c>
      <c r="K68" s="658">
        <v>18</v>
      </c>
      <c r="L68" s="659" t="s">
        <v>165</v>
      </c>
      <c r="M68" s="654">
        <v>9</v>
      </c>
      <c r="N68" s="658">
        <v>6</v>
      </c>
      <c r="O68" s="658">
        <v>3</v>
      </c>
      <c r="P68" s="658">
        <v>7</v>
      </c>
      <c r="Q68" s="351" t="s">
        <v>164</v>
      </c>
      <c r="R68" s="350">
        <v>6</v>
      </c>
      <c r="S68" s="350">
        <v>4</v>
      </c>
      <c r="T68" s="350">
        <v>7</v>
      </c>
      <c r="U68" s="350">
        <v>11</v>
      </c>
    </row>
    <row r="69" spans="2:21" ht="15" customHeight="1">
      <c r="B69" s="351" t="s">
        <v>163</v>
      </c>
      <c r="C69" s="658"/>
      <c r="D69" s="658"/>
      <c r="E69" s="658"/>
      <c r="F69" s="658"/>
      <c r="G69" s="659" t="s">
        <v>162</v>
      </c>
      <c r="H69" s="654"/>
      <c r="I69" s="658"/>
      <c r="J69" s="658"/>
      <c r="K69" s="658"/>
      <c r="L69" s="659"/>
      <c r="M69" s="654"/>
      <c r="N69" s="658"/>
      <c r="O69" s="658"/>
      <c r="P69" s="658"/>
      <c r="Q69" s="659" t="s">
        <v>161</v>
      </c>
      <c r="R69" s="660">
        <v>6</v>
      </c>
      <c r="S69" s="660">
        <v>4</v>
      </c>
      <c r="T69" s="660">
        <v>7</v>
      </c>
      <c r="U69" s="660">
        <v>11</v>
      </c>
    </row>
    <row r="70" spans="2:21" ht="15" customHeight="1">
      <c r="B70" s="351" t="s">
        <v>160</v>
      </c>
      <c r="C70" s="658"/>
      <c r="D70" s="658"/>
      <c r="E70" s="658"/>
      <c r="F70" s="658"/>
      <c r="G70" s="659"/>
      <c r="H70" s="654"/>
      <c r="I70" s="658"/>
      <c r="J70" s="658"/>
      <c r="K70" s="658"/>
      <c r="L70" s="659"/>
      <c r="M70" s="654"/>
      <c r="N70" s="658"/>
      <c r="O70" s="658"/>
      <c r="P70" s="658"/>
      <c r="Q70" s="659"/>
      <c r="R70" s="661"/>
      <c r="S70" s="661"/>
      <c r="T70" s="661"/>
      <c r="U70" s="661"/>
    </row>
    <row r="71" spans="2:21" ht="15.6">
      <c r="B71" s="243" t="s">
        <v>159</v>
      </c>
      <c r="C71" s="246"/>
      <c r="D71" s="246"/>
      <c r="E71" s="246"/>
      <c r="F71" s="246"/>
      <c r="G71" s="246"/>
      <c r="H71" s="246"/>
      <c r="I71" s="246"/>
      <c r="J71" s="246"/>
      <c r="K71" s="246"/>
      <c r="L71" s="246"/>
      <c r="M71" s="246"/>
      <c r="N71" s="246"/>
      <c r="O71" s="246"/>
      <c r="P71" s="246"/>
      <c r="Q71" s="246"/>
      <c r="R71" s="246"/>
      <c r="S71" s="246"/>
      <c r="T71" s="246"/>
      <c r="U71" s="247"/>
    </row>
    <row r="72" spans="2:21" ht="15.6">
      <c r="B72" s="653" t="s">
        <v>158</v>
      </c>
      <c r="C72" s="658">
        <v>29</v>
      </c>
      <c r="D72" s="658">
        <v>35</v>
      </c>
      <c r="E72" s="658">
        <v>41</v>
      </c>
      <c r="F72" s="658">
        <v>32</v>
      </c>
      <c r="G72" s="349" t="s">
        <v>157</v>
      </c>
      <c r="H72" s="654">
        <v>26</v>
      </c>
      <c r="I72" s="692">
        <v>25</v>
      </c>
      <c r="J72" s="692">
        <v>16</v>
      </c>
      <c r="K72" s="692">
        <v>17</v>
      </c>
      <c r="L72" s="349" t="s">
        <v>156</v>
      </c>
      <c r="M72" s="654">
        <v>7</v>
      </c>
      <c r="N72" s="692">
        <v>4</v>
      </c>
      <c r="O72" s="692">
        <v>3</v>
      </c>
      <c r="P72" s="692">
        <v>5</v>
      </c>
      <c r="Q72" s="349" t="s">
        <v>155</v>
      </c>
      <c r="R72" s="352">
        <v>2</v>
      </c>
      <c r="S72" s="352">
        <v>1.5</v>
      </c>
      <c r="T72" s="352">
        <v>2.5</v>
      </c>
      <c r="U72" s="352">
        <v>4</v>
      </c>
    </row>
    <row r="73" spans="2:21" ht="45">
      <c r="B73" s="653"/>
      <c r="C73" s="658"/>
      <c r="D73" s="658"/>
      <c r="E73" s="658"/>
      <c r="F73" s="658"/>
      <c r="G73" s="349" t="s">
        <v>154</v>
      </c>
      <c r="H73" s="654"/>
      <c r="I73" s="697"/>
      <c r="J73" s="697"/>
      <c r="K73" s="697"/>
      <c r="L73" s="349" t="s">
        <v>153</v>
      </c>
      <c r="M73" s="654"/>
      <c r="N73" s="697"/>
      <c r="O73" s="697"/>
      <c r="P73" s="697"/>
      <c r="Q73" s="349" t="s">
        <v>152</v>
      </c>
      <c r="R73" s="352">
        <v>2</v>
      </c>
      <c r="S73" s="352">
        <v>1.5</v>
      </c>
      <c r="T73" s="352">
        <v>2.5</v>
      </c>
      <c r="U73" s="352">
        <v>4</v>
      </c>
    </row>
    <row r="74" spans="2:21" ht="15.6">
      <c r="B74" s="653" t="s">
        <v>151</v>
      </c>
      <c r="C74" s="658">
        <v>23</v>
      </c>
      <c r="D74" s="658">
        <v>28</v>
      </c>
      <c r="E74" s="658">
        <v>34</v>
      </c>
      <c r="F74" s="658">
        <v>26</v>
      </c>
      <c r="G74" s="349" t="s">
        <v>150</v>
      </c>
      <c r="H74" s="654"/>
      <c r="I74" s="693"/>
      <c r="J74" s="693"/>
      <c r="K74" s="693"/>
      <c r="L74" s="653" t="s">
        <v>149</v>
      </c>
      <c r="M74" s="654"/>
      <c r="N74" s="697"/>
      <c r="O74" s="697"/>
      <c r="P74" s="697"/>
      <c r="Q74" s="351" t="s">
        <v>148</v>
      </c>
      <c r="R74" s="352">
        <v>2</v>
      </c>
      <c r="S74" s="352">
        <v>1.5</v>
      </c>
      <c r="T74" s="352">
        <v>2.5</v>
      </c>
      <c r="U74" s="352">
        <v>4</v>
      </c>
    </row>
    <row r="75" spans="2:21" ht="15.6">
      <c r="B75" s="653"/>
      <c r="C75" s="658"/>
      <c r="D75" s="658"/>
      <c r="E75" s="658"/>
      <c r="F75" s="658"/>
      <c r="G75" s="349" t="s">
        <v>147</v>
      </c>
      <c r="H75" s="350">
        <v>22</v>
      </c>
      <c r="I75" s="348">
        <v>22</v>
      </c>
      <c r="J75" s="348">
        <v>13</v>
      </c>
      <c r="K75" s="348">
        <v>13</v>
      </c>
      <c r="L75" s="653"/>
      <c r="M75" s="654"/>
      <c r="N75" s="693"/>
      <c r="O75" s="693"/>
      <c r="P75" s="693"/>
      <c r="Q75" s="351" t="s">
        <v>146</v>
      </c>
      <c r="R75" s="352">
        <v>2</v>
      </c>
      <c r="S75" s="352">
        <v>1.5</v>
      </c>
      <c r="T75" s="352">
        <v>2.5</v>
      </c>
      <c r="U75" s="352">
        <v>4</v>
      </c>
    </row>
    <row r="76" spans="2:21" ht="15.6">
      <c r="B76" s="248" t="s">
        <v>145</v>
      </c>
      <c r="C76" s="249"/>
      <c r="D76" s="249"/>
      <c r="E76" s="249"/>
      <c r="F76" s="249"/>
      <c r="G76" s="249"/>
      <c r="H76" s="249"/>
      <c r="I76" s="249"/>
      <c r="J76" s="249"/>
      <c r="K76" s="249"/>
      <c r="L76" s="249"/>
      <c r="M76" s="249"/>
      <c r="N76" s="249"/>
      <c r="O76" s="249"/>
      <c r="P76" s="249"/>
      <c r="Q76" s="249"/>
      <c r="R76" s="249"/>
      <c r="S76" s="249"/>
      <c r="T76" s="249"/>
      <c r="U76" s="250"/>
    </row>
    <row r="77" spans="2:21" ht="15" customHeight="1">
      <c r="B77" s="653" t="s">
        <v>144</v>
      </c>
      <c r="C77" s="658">
        <v>20</v>
      </c>
      <c r="D77" s="658">
        <v>22</v>
      </c>
      <c r="E77" s="658">
        <v>28</v>
      </c>
      <c r="F77" s="658">
        <v>24</v>
      </c>
      <c r="G77" s="653" t="s">
        <v>143</v>
      </c>
      <c r="H77" s="658">
        <v>16</v>
      </c>
      <c r="I77" s="658">
        <v>16</v>
      </c>
      <c r="J77" s="658">
        <v>10</v>
      </c>
      <c r="K77" s="658">
        <v>12</v>
      </c>
      <c r="L77" s="694" t="s">
        <v>264</v>
      </c>
      <c r="M77" s="692">
        <v>4</v>
      </c>
      <c r="N77" s="692">
        <v>2</v>
      </c>
      <c r="O77" s="658">
        <v>2</v>
      </c>
      <c r="P77" s="658">
        <v>4</v>
      </c>
      <c r="Q77" s="683" t="s">
        <v>49</v>
      </c>
      <c r="R77" s="684"/>
      <c r="S77" s="684"/>
      <c r="T77" s="684"/>
      <c r="U77" s="685"/>
    </row>
    <row r="78" spans="2:21" ht="15" customHeight="1">
      <c r="B78" s="653"/>
      <c r="C78" s="658"/>
      <c r="D78" s="658"/>
      <c r="E78" s="658"/>
      <c r="F78" s="658"/>
      <c r="G78" s="653"/>
      <c r="H78" s="658"/>
      <c r="I78" s="658"/>
      <c r="J78" s="658"/>
      <c r="K78" s="658"/>
      <c r="L78" s="696"/>
      <c r="M78" s="693"/>
      <c r="N78" s="693"/>
      <c r="O78" s="658"/>
      <c r="P78" s="658"/>
      <c r="Q78" s="686"/>
      <c r="R78" s="687"/>
      <c r="S78" s="687"/>
      <c r="T78" s="687"/>
      <c r="U78" s="688"/>
    </row>
    <row r="79" spans="2:21" ht="15" customHeight="1">
      <c r="B79" s="653" t="s">
        <v>142</v>
      </c>
      <c r="C79" s="658">
        <v>10</v>
      </c>
      <c r="D79" s="658">
        <v>10</v>
      </c>
      <c r="E79" s="658">
        <v>15</v>
      </c>
      <c r="F79" s="658">
        <v>11</v>
      </c>
      <c r="G79" s="653" t="s">
        <v>141</v>
      </c>
      <c r="H79" s="658">
        <v>5</v>
      </c>
      <c r="I79" s="692">
        <v>5</v>
      </c>
      <c r="J79" s="692">
        <v>5</v>
      </c>
      <c r="K79" s="692">
        <v>4</v>
      </c>
      <c r="L79" s="694" t="s">
        <v>374</v>
      </c>
      <c r="M79" s="692">
        <v>0</v>
      </c>
      <c r="N79" s="692">
        <v>0</v>
      </c>
      <c r="O79" s="692">
        <v>0</v>
      </c>
      <c r="P79" s="692">
        <v>0</v>
      </c>
      <c r="Q79" s="686"/>
      <c r="R79" s="687"/>
      <c r="S79" s="687"/>
      <c r="T79" s="687"/>
      <c r="U79" s="688"/>
    </row>
    <row r="80" spans="2:21" ht="15" customHeight="1">
      <c r="B80" s="653"/>
      <c r="C80" s="658"/>
      <c r="D80" s="658"/>
      <c r="E80" s="658"/>
      <c r="F80" s="658"/>
      <c r="G80" s="653"/>
      <c r="H80" s="658"/>
      <c r="I80" s="693"/>
      <c r="J80" s="693"/>
      <c r="K80" s="693"/>
      <c r="L80" s="695"/>
      <c r="M80" s="697"/>
      <c r="N80" s="697"/>
      <c r="O80" s="697"/>
      <c r="P80" s="697"/>
      <c r="Q80" s="686"/>
      <c r="R80" s="687"/>
      <c r="S80" s="687"/>
      <c r="T80" s="687"/>
      <c r="U80" s="688"/>
    </row>
    <row r="81" spans="2:21" ht="15.6">
      <c r="B81" s="653"/>
      <c r="C81" s="658"/>
      <c r="D81" s="658"/>
      <c r="E81" s="658"/>
      <c r="F81" s="658"/>
      <c r="G81" s="349" t="s">
        <v>140</v>
      </c>
      <c r="H81" s="348">
        <v>0</v>
      </c>
      <c r="I81" s="348">
        <v>0</v>
      </c>
      <c r="J81" s="348">
        <v>0</v>
      </c>
      <c r="K81" s="348">
        <v>0</v>
      </c>
      <c r="L81" s="696"/>
      <c r="M81" s="693"/>
      <c r="N81" s="693"/>
      <c r="O81" s="693"/>
      <c r="P81" s="693"/>
      <c r="Q81" s="689"/>
      <c r="R81" s="690"/>
      <c r="S81" s="690"/>
      <c r="T81" s="690"/>
      <c r="U81" s="691"/>
    </row>
  </sheetData>
  <mergeCells count="148">
    <mergeCell ref="K68:K70"/>
    <mergeCell ref="L68:L70"/>
    <mergeCell ref="G69:G70"/>
    <mergeCell ref="N65:N66"/>
    <mergeCell ref="O65:O66"/>
    <mergeCell ref="P65:P66"/>
    <mergeCell ref="L74:L75"/>
    <mergeCell ref="K77:K78"/>
    <mergeCell ref="L77:L78"/>
    <mergeCell ref="M77:M78"/>
    <mergeCell ref="N77:N78"/>
    <mergeCell ref="O77:O78"/>
    <mergeCell ref="P77:P78"/>
    <mergeCell ref="K72:K74"/>
    <mergeCell ref="O68:O70"/>
    <mergeCell ref="P68:P70"/>
    <mergeCell ref="M72:M75"/>
    <mergeCell ref="N72:N75"/>
    <mergeCell ref="O72:O75"/>
    <mergeCell ref="P72:P75"/>
    <mergeCell ref="M68:M70"/>
    <mergeCell ref="N68:N70"/>
    <mergeCell ref="K65:K66"/>
    <mergeCell ref="M65:M66"/>
    <mergeCell ref="E72:E73"/>
    <mergeCell ref="F72:F73"/>
    <mergeCell ref="C65:C66"/>
    <mergeCell ref="D65:D66"/>
    <mergeCell ref="E65:E66"/>
    <mergeCell ref="F65:F66"/>
    <mergeCell ref="H65:H66"/>
    <mergeCell ref="I65:I66"/>
    <mergeCell ref="J65:J66"/>
    <mergeCell ref="C68:C70"/>
    <mergeCell ref="D68:D70"/>
    <mergeCell ref="E68:E70"/>
    <mergeCell ref="F68:F70"/>
    <mergeCell ref="H68:H70"/>
    <mergeCell ref="I68:I70"/>
    <mergeCell ref="J68:J70"/>
    <mergeCell ref="L79:L81"/>
    <mergeCell ref="M79:M81"/>
    <mergeCell ref="N79:N81"/>
    <mergeCell ref="O79:O81"/>
    <mergeCell ref="P79:P81"/>
    <mergeCell ref="K79:K80"/>
    <mergeCell ref="B74:B75"/>
    <mergeCell ref="C74:C75"/>
    <mergeCell ref="D74:D75"/>
    <mergeCell ref="E74:E75"/>
    <mergeCell ref="F74:F75"/>
    <mergeCell ref="B77:B78"/>
    <mergeCell ref="C77:C78"/>
    <mergeCell ref="D77:D78"/>
    <mergeCell ref="J79:J80"/>
    <mergeCell ref="E77:E78"/>
    <mergeCell ref="F77:F78"/>
    <mergeCell ref="G77:G78"/>
    <mergeCell ref="H77:H78"/>
    <mergeCell ref="I77:I78"/>
    <mergeCell ref="J77:J78"/>
    <mergeCell ref="J72:J74"/>
    <mergeCell ref="H72:H74"/>
    <mergeCell ref="I72:I74"/>
    <mergeCell ref="Q77:U81"/>
    <mergeCell ref="B29:D29"/>
    <mergeCell ref="B30:D30"/>
    <mergeCell ref="B31:D31"/>
    <mergeCell ref="B32:D32"/>
    <mergeCell ref="B33:D33"/>
    <mergeCell ref="B34:D34"/>
    <mergeCell ref="B35:D35"/>
    <mergeCell ref="B36:D36"/>
    <mergeCell ref="B37:D37"/>
    <mergeCell ref="B38:D38"/>
    <mergeCell ref="B39:D39"/>
    <mergeCell ref="B40:D40"/>
    <mergeCell ref="B79:B81"/>
    <mergeCell ref="C79:C81"/>
    <mergeCell ref="D79:D81"/>
    <mergeCell ref="E79:E81"/>
    <mergeCell ref="F79:F81"/>
    <mergeCell ref="G79:G80"/>
    <mergeCell ref="H79:H80"/>
    <mergeCell ref="I79:I80"/>
    <mergeCell ref="B72:B73"/>
    <mergeCell ref="C72:C73"/>
    <mergeCell ref="D72:D73"/>
    <mergeCell ref="B6:D6"/>
    <mergeCell ref="B7:D7"/>
    <mergeCell ref="B8:D8"/>
    <mergeCell ref="B9:D9"/>
    <mergeCell ref="B10:D10"/>
    <mergeCell ref="B11:D11"/>
    <mergeCell ref="B14:D14"/>
    <mergeCell ref="B15:D15"/>
    <mergeCell ref="B13:D13"/>
    <mergeCell ref="B21:D21"/>
    <mergeCell ref="B22:D22"/>
    <mergeCell ref="B23:D23"/>
    <mergeCell ref="B24:D24"/>
    <mergeCell ref="B25:D25"/>
    <mergeCell ref="B26:D26"/>
    <mergeCell ref="B27:D27"/>
    <mergeCell ref="B28:D28"/>
    <mergeCell ref="B55:D55"/>
    <mergeCell ref="B47:D47"/>
    <mergeCell ref="B48:D48"/>
    <mergeCell ref="B49:D49"/>
    <mergeCell ref="B50:D50"/>
    <mergeCell ref="B51:D51"/>
    <mergeCell ref="B52:D52"/>
    <mergeCell ref="B53:D53"/>
    <mergeCell ref="B54:D54"/>
    <mergeCell ref="B41:D41"/>
    <mergeCell ref="Q65:Q66"/>
    <mergeCell ref="R65:R66"/>
    <mergeCell ref="S65:S66"/>
    <mergeCell ref="T65:T66"/>
    <mergeCell ref="U65:U66"/>
    <mergeCell ref="Q69:Q70"/>
    <mergeCell ref="R69:R70"/>
    <mergeCell ref="S69:S70"/>
    <mergeCell ref="T69:T70"/>
    <mergeCell ref="U69:U70"/>
    <mergeCell ref="Q59:U59"/>
    <mergeCell ref="Q62:Q63"/>
    <mergeCell ref="R62:R63"/>
    <mergeCell ref="S62:S63"/>
    <mergeCell ref="T62:T63"/>
    <mergeCell ref="U62:U63"/>
    <mergeCell ref="G59:K59"/>
    <mergeCell ref="L59:P59"/>
    <mergeCell ref="B62:B63"/>
    <mergeCell ref="C62:C63"/>
    <mergeCell ref="D62:D63"/>
    <mergeCell ref="E62:E63"/>
    <mergeCell ref="F62:F63"/>
    <mergeCell ref="G62:G63"/>
    <mergeCell ref="H62:H63"/>
    <mergeCell ref="I62:I63"/>
    <mergeCell ref="J62:J63"/>
    <mergeCell ref="K62:K63"/>
    <mergeCell ref="L62:L63"/>
    <mergeCell ref="M62:M63"/>
    <mergeCell ref="N62:N63"/>
    <mergeCell ref="O62:O63"/>
    <mergeCell ref="P62:P63"/>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R259"/>
  <sheetViews>
    <sheetView zoomScale="80" zoomScaleNormal="80" zoomScaleSheetLayoutView="100" workbookViewId="0">
      <selection activeCell="A7" sqref="A7:B7"/>
    </sheetView>
  </sheetViews>
  <sheetFormatPr defaultColWidth="9.109375" defaultRowHeight="15"/>
  <cols>
    <col min="1" max="1" width="7" style="160"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29" style="3" hidden="1" customWidth="1"/>
    <col min="10" max="10" width="45.6640625" style="3" hidden="1" customWidth="1"/>
    <col min="11" max="15" width="9.109375" style="3" hidden="1" customWidth="1"/>
    <col min="16" max="16" width="9.6640625" style="3" hidden="1" customWidth="1"/>
    <col min="17" max="17" width="9.109375" style="3" customWidth="1"/>
    <col min="18" max="16384" width="9.109375" style="3"/>
  </cols>
  <sheetData>
    <row r="1" spans="1:15" ht="15.6">
      <c r="A1" s="558" t="s">
        <v>89</v>
      </c>
      <c r="B1" s="559"/>
      <c r="C1" s="559"/>
      <c r="D1" s="559"/>
      <c r="E1" s="559"/>
      <c r="F1" s="559"/>
      <c r="G1" s="559"/>
      <c r="H1" s="560"/>
      <c r="J1" s="3" t="s">
        <v>40</v>
      </c>
    </row>
    <row r="2" spans="1:15">
      <c r="A2" s="561"/>
      <c r="B2" s="264"/>
      <c r="C2" s="264"/>
      <c r="D2" s="264"/>
      <c r="E2" s="264"/>
      <c r="F2" s="264"/>
      <c r="G2" s="265"/>
      <c r="H2" s="562"/>
      <c r="I2" s="6"/>
      <c r="J2" s="6" t="s">
        <v>384</v>
      </c>
    </row>
    <row r="3" spans="1:15" ht="15.6">
      <c r="A3" s="563" t="s">
        <v>336</v>
      </c>
      <c r="B3" s="264"/>
      <c r="C3" s="264"/>
      <c r="D3" s="331" t="s">
        <v>134</v>
      </c>
      <c r="E3" s="331" t="s">
        <v>135</v>
      </c>
      <c r="F3" s="331" t="s">
        <v>136</v>
      </c>
      <c r="G3" s="289" t="s">
        <v>104</v>
      </c>
      <c r="H3" s="564" t="s">
        <v>62</v>
      </c>
      <c r="I3" s="6"/>
      <c r="J3" s="6" t="s">
        <v>44</v>
      </c>
    </row>
    <row r="4" spans="1:15" ht="15.6">
      <c r="A4" s="966">
        <f>Summary!A6</f>
        <v>0</v>
      </c>
      <c r="B4" s="967"/>
      <c r="C4" s="264"/>
      <c r="D4" s="74">
        <f>H89</f>
        <v>0</v>
      </c>
      <c r="E4" s="154">
        <f>H192</f>
        <v>0</v>
      </c>
      <c r="F4" s="129">
        <f>H229</f>
        <v>0</v>
      </c>
      <c r="G4" s="138">
        <f>H243</f>
        <v>0</v>
      </c>
      <c r="H4" s="565">
        <f>H245</f>
        <v>0</v>
      </c>
      <c r="I4" s="6"/>
      <c r="J4" s="6" t="s">
        <v>15</v>
      </c>
    </row>
    <row r="5" spans="1:15">
      <c r="A5" s="561"/>
      <c r="B5" s="264"/>
      <c r="C5" s="264"/>
      <c r="D5" s="264"/>
      <c r="E5" s="264"/>
      <c r="F5" s="264"/>
      <c r="G5" s="265"/>
      <c r="H5" s="562"/>
      <c r="I5" s="6"/>
      <c r="J5" s="6" t="s">
        <v>16</v>
      </c>
    </row>
    <row r="6" spans="1:15" s="4" customFormat="1" ht="15.6">
      <c r="A6" s="563" t="s">
        <v>90</v>
      </c>
      <c r="B6" s="296"/>
      <c r="C6" s="296"/>
      <c r="D6" s="297" t="s">
        <v>35</v>
      </c>
      <c r="E6" s="264"/>
      <c r="F6" s="264"/>
      <c r="G6" s="265"/>
      <c r="H6" s="562"/>
      <c r="I6" s="6"/>
      <c r="J6" s="6" t="s">
        <v>383</v>
      </c>
      <c r="K6" s="3"/>
      <c r="L6" s="3"/>
      <c r="M6" s="3"/>
    </row>
    <row r="7" spans="1:15" ht="15.75" customHeight="1">
      <c r="A7" s="976" t="s">
        <v>384</v>
      </c>
      <c r="B7" s="977"/>
      <c r="D7" s="761">
        <f>Summary!A103</f>
        <v>0</v>
      </c>
      <c r="E7" s="779"/>
      <c r="F7" s="779"/>
      <c r="G7" s="780"/>
      <c r="H7" s="566"/>
      <c r="I7" s="29"/>
      <c r="J7" s="29" t="s">
        <v>382</v>
      </c>
    </row>
    <row r="8" spans="1:15" ht="15.6" thickBot="1">
      <c r="A8" s="561"/>
      <c r="B8" s="298"/>
      <c r="C8" s="264"/>
      <c r="D8" s="264"/>
      <c r="E8" s="264"/>
      <c r="F8" s="264"/>
      <c r="G8" s="265"/>
      <c r="H8" s="562"/>
    </row>
    <row r="9" spans="1:15" ht="16.2" thickBot="1">
      <c r="A9" s="567" t="s">
        <v>125</v>
      </c>
      <c r="B9" s="140"/>
      <c r="C9" s="140"/>
      <c r="D9" s="140"/>
      <c r="E9" s="140"/>
      <c r="F9" s="141"/>
      <c r="G9" s="16"/>
      <c r="H9" s="568"/>
    </row>
    <row r="10" spans="1:15">
      <c r="A10" s="561"/>
      <c r="B10" s="299"/>
      <c r="C10" s="264"/>
      <c r="D10" s="264"/>
      <c r="E10" s="264"/>
      <c r="F10" s="264"/>
      <c r="G10" s="265"/>
      <c r="H10" s="562"/>
    </row>
    <row r="11" spans="1:15" ht="15.75" customHeight="1">
      <c r="A11" s="905" t="s">
        <v>0</v>
      </c>
      <c r="B11" s="906"/>
      <c r="C11" s="144"/>
      <c r="D11" s="883" t="s">
        <v>4</v>
      </c>
      <c r="E11" s="882" t="s">
        <v>80</v>
      </c>
      <c r="F11" s="882" t="s">
        <v>21</v>
      </c>
      <c r="G11" s="300"/>
      <c r="H11" s="569"/>
    </row>
    <row r="12" spans="1:15" ht="15.75" customHeight="1">
      <c r="A12" s="907"/>
      <c r="B12" s="908"/>
      <c r="C12" s="145"/>
      <c r="D12" s="884"/>
      <c r="E12" s="882"/>
      <c r="F12" s="882"/>
      <c r="G12" s="300"/>
      <c r="H12" s="569"/>
    </row>
    <row r="13" spans="1:15" s="29" customFormat="1" ht="15.6">
      <c r="A13" s="570" t="s">
        <v>127</v>
      </c>
      <c r="B13" s="167"/>
      <c r="C13" s="167"/>
      <c r="D13" s="167"/>
      <c r="E13" s="170"/>
      <c r="F13" s="170"/>
      <c r="G13" s="301"/>
      <c r="H13" s="571"/>
      <c r="N13" s="44"/>
      <c r="O13" s="44"/>
    </row>
    <row r="14" spans="1:15">
      <c r="A14" s="572">
        <v>1</v>
      </c>
      <c r="B14" s="826" t="s">
        <v>268</v>
      </c>
      <c r="C14" s="827"/>
      <c r="D14" s="511" t="s">
        <v>2</v>
      </c>
      <c r="E14" s="512" t="s">
        <v>49</v>
      </c>
      <c r="F14" s="30"/>
      <c r="G14" s="573" t="str">
        <f>IF(F14&lt;65%,"To comply with min. 65%"," ")</f>
        <v>To comply with min. 65%</v>
      </c>
      <c r="H14" s="574"/>
    </row>
    <row r="15" spans="1:15">
      <c r="A15" s="575">
        <v>2</v>
      </c>
      <c r="B15" s="826" t="s">
        <v>590</v>
      </c>
      <c r="C15" s="827"/>
      <c r="D15" s="513" t="s">
        <v>50</v>
      </c>
      <c r="E15" s="514" t="s">
        <v>49</v>
      </c>
      <c r="F15" s="553"/>
      <c r="G15" s="573" t="str">
        <f>IF(F15&lt;80%,"To comply with min. 80%"," ")</f>
        <v>To comply with min. 80%</v>
      </c>
      <c r="H15" s="562"/>
    </row>
    <row r="16" spans="1:15" ht="15" customHeight="1">
      <c r="A16" s="572">
        <v>3</v>
      </c>
      <c r="B16" s="826" t="s">
        <v>589</v>
      </c>
      <c r="C16" s="827"/>
      <c r="D16" s="513" t="s">
        <v>50</v>
      </c>
      <c r="E16" s="514" t="s">
        <v>49</v>
      </c>
      <c r="F16" s="553"/>
      <c r="G16" s="573" t="str">
        <f>IF(F16&lt;80%,"To comply with min. 80%"," ")</f>
        <v>To comply with min. 80%</v>
      </c>
      <c r="H16" s="569"/>
    </row>
    <row r="17" spans="1:18">
      <c r="A17" s="572">
        <v>4</v>
      </c>
      <c r="B17" s="826" t="s">
        <v>591</v>
      </c>
      <c r="C17" s="827"/>
      <c r="D17" s="515" t="s">
        <v>3</v>
      </c>
      <c r="E17" s="514" t="s">
        <v>49</v>
      </c>
      <c r="F17" s="553"/>
      <c r="G17" s="573" t="str">
        <f>IF(F17&lt;65%,"To comply with min. 65%"," ")</f>
        <v>To comply with min. 65%</v>
      </c>
      <c r="H17" s="569"/>
    </row>
    <row r="18" spans="1:18" s="29" customFormat="1" ht="15.6">
      <c r="A18" s="576" t="s">
        <v>126</v>
      </c>
      <c r="B18" s="167"/>
      <c r="C18" s="167"/>
      <c r="D18" s="167"/>
      <c r="E18" s="168"/>
      <c r="F18" s="169"/>
      <c r="G18" s="534"/>
      <c r="H18" s="571"/>
      <c r="J18" s="10"/>
      <c r="N18" s="44"/>
      <c r="O18" s="44"/>
    </row>
    <row r="19" spans="1:18" ht="32.25" customHeight="1">
      <c r="A19" s="577">
        <v>5</v>
      </c>
      <c r="B19" s="886" t="s">
        <v>269</v>
      </c>
      <c r="C19" s="887"/>
      <c r="D19" s="143" t="s">
        <v>3</v>
      </c>
      <c r="E19" s="537"/>
      <c r="F19" s="31">
        <f>IFERROR(E19/$F$120,0)</f>
        <v>0</v>
      </c>
      <c r="G19" s="573" t="str">
        <f>IF(OR($A$7=$J$2,$A$7=$J$3),IF(E19=0,"Please input wall length"," ")," ")</f>
        <v>Please input wall length</v>
      </c>
      <c r="H19" s="569"/>
    </row>
    <row r="20" spans="1:18">
      <c r="A20" s="577" t="s">
        <v>509</v>
      </c>
      <c r="B20" s="826" t="s">
        <v>270</v>
      </c>
      <c r="C20" s="827"/>
      <c r="D20" s="516" t="s">
        <v>50</v>
      </c>
      <c r="E20" s="514" t="s">
        <v>49</v>
      </c>
      <c r="F20" s="30"/>
      <c r="G20" s="573" t="str">
        <f>IF(OR($A$7=$J$2,$A$7=$J$3),IF(F20&lt;65%,"To comply with min. 65%"," ")," ")</f>
        <v>To comply with min. 65%</v>
      </c>
      <c r="H20" s="569"/>
    </row>
    <row r="21" spans="1:18">
      <c r="A21" s="577" t="s">
        <v>510</v>
      </c>
      <c r="B21" s="826" t="s">
        <v>592</v>
      </c>
      <c r="C21" s="827"/>
      <c r="D21" s="516" t="s">
        <v>50</v>
      </c>
      <c r="E21" s="514" t="s">
        <v>49</v>
      </c>
      <c r="F21" s="30"/>
      <c r="G21" s="573" t="str">
        <f>IF(OR($A$7=$J$2,$A$7=$J$3),IF(F21&lt;60%,"To comply with min. 60%"," ")," ")</f>
        <v>To comply with min. 60%</v>
      </c>
      <c r="H21" s="569"/>
    </row>
    <row r="22" spans="1:18">
      <c r="A22" s="577" t="s">
        <v>511</v>
      </c>
      <c r="B22" s="826" t="s">
        <v>593</v>
      </c>
      <c r="C22" s="827"/>
      <c r="D22" s="516" t="s">
        <v>50</v>
      </c>
      <c r="E22" s="514" t="s">
        <v>49</v>
      </c>
      <c r="F22" s="30"/>
      <c r="G22" s="573" t="str">
        <f>IF(OR($A$7=$J$2,$A$7=$J$3),IF(F22&lt;65%,"To comply with min. 65%"," ")," ")</f>
        <v>To comply with min. 65%</v>
      </c>
      <c r="H22" s="569"/>
    </row>
    <row r="23" spans="1:18">
      <c r="A23" s="577" t="s">
        <v>512</v>
      </c>
      <c r="B23" s="826" t="s">
        <v>594</v>
      </c>
      <c r="C23" s="827"/>
      <c r="D23" s="516" t="s">
        <v>50</v>
      </c>
      <c r="E23" s="514" t="s">
        <v>49</v>
      </c>
      <c r="F23" s="30"/>
      <c r="G23" s="573" t="str">
        <f>IF(OR($A$7=$J$2,$A$7=$J$3),IF(F23&lt;60%,"To comply with min. 60%"," ")," ")</f>
        <v>To comply with min. 60%</v>
      </c>
      <c r="H23" s="569"/>
    </row>
    <row r="24" spans="1:18">
      <c r="A24" s="577" t="s">
        <v>283</v>
      </c>
      <c r="B24" s="826" t="s">
        <v>595</v>
      </c>
      <c r="C24" s="827"/>
      <c r="D24" s="513" t="s">
        <v>50</v>
      </c>
      <c r="E24" s="514" t="s">
        <v>49</v>
      </c>
      <c r="F24" s="553"/>
      <c r="G24" s="573" t="str">
        <f>IF(OR($A$7=$J$2,$A$7=$J$3),IF(F24&lt;65%,"To comply with min. 65%"," ")," ")</f>
        <v>To comply with min. 65%</v>
      </c>
      <c r="H24" s="569"/>
    </row>
    <row r="25" spans="1:18">
      <c r="A25" s="577" t="s">
        <v>513</v>
      </c>
      <c r="B25" s="826" t="s">
        <v>596</v>
      </c>
      <c r="C25" s="827"/>
      <c r="D25" s="513" t="s">
        <v>50</v>
      </c>
      <c r="E25" s="514" t="s">
        <v>49</v>
      </c>
      <c r="F25" s="553"/>
      <c r="G25" s="573" t="str">
        <f>IF(OR($A$7=$J$2,$A$7=$J$3),IF(F25&lt;80%,"To comply with min. 80%"," ")," ")</f>
        <v>To comply with min. 80%</v>
      </c>
      <c r="H25" s="569"/>
    </row>
    <row r="26" spans="1:18">
      <c r="A26" s="561"/>
      <c r="B26" s="264"/>
      <c r="C26" s="264"/>
      <c r="D26" s="264"/>
      <c r="E26" s="264"/>
      <c r="F26" s="264"/>
      <c r="G26" s="265"/>
      <c r="H26" s="562"/>
      <c r="J26" s="6"/>
    </row>
    <row r="27" spans="1:18" ht="15.6">
      <c r="A27" s="578" t="s">
        <v>43</v>
      </c>
      <c r="B27" s="157"/>
      <c r="C27" s="157"/>
      <c r="D27" s="157"/>
      <c r="E27" s="157"/>
      <c r="F27" s="158" t="s">
        <v>42</v>
      </c>
      <c r="G27" s="159">
        <f>VLOOKUP($A$7,'Manpower allocation'!A4:D11,2,FALSE)*100</f>
        <v>45</v>
      </c>
      <c r="H27" s="579" t="s">
        <v>41</v>
      </c>
      <c r="I27" s="365">
        <f>VLOOKUP($A$7,'Manpower allocation'!A4:D11,2,FALSE)*100</f>
        <v>45</v>
      </c>
      <c r="J27" s="6"/>
    </row>
    <row r="28" spans="1:18" ht="15.6">
      <c r="A28" s="561"/>
      <c r="B28" s="302"/>
      <c r="C28" s="303"/>
      <c r="D28" s="264"/>
      <c r="E28" s="264"/>
      <c r="F28" s="264"/>
      <c r="G28" s="265"/>
      <c r="H28" s="562"/>
      <c r="J28" s="6"/>
    </row>
    <row r="29" spans="1:18" s="29" customFormat="1" ht="46.8">
      <c r="A29" s="580" t="s">
        <v>0</v>
      </c>
      <c r="B29" s="40"/>
      <c r="C29" s="40"/>
      <c r="D29" s="41"/>
      <c r="E29" s="42" t="s">
        <v>17</v>
      </c>
      <c r="F29" s="42" t="s">
        <v>113</v>
      </c>
      <c r="G29" s="42" t="s">
        <v>18</v>
      </c>
      <c r="H29" s="42" t="s">
        <v>52</v>
      </c>
      <c r="J29" s="43"/>
      <c r="Q29" s="44"/>
      <c r="R29" s="44"/>
    </row>
    <row r="30" spans="1:18" s="29" customFormat="1" ht="15.6">
      <c r="A30" s="581" t="s">
        <v>187</v>
      </c>
      <c r="B30" s="45" t="s">
        <v>203</v>
      </c>
      <c r="C30" s="46"/>
      <c r="D30" s="46"/>
      <c r="E30" s="47"/>
      <c r="F30" s="47"/>
      <c r="G30" s="47"/>
      <c r="H30" s="582"/>
      <c r="Q30" s="44"/>
      <c r="R30" s="44"/>
    </row>
    <row r="31" spans="1:18" s="29" customFormat="1" ht="15.6">
      <c r="A31" s="583">
        <v>1</v>
      </c>
      <c r="B31" s="39" t="s">
        <v>304</v>
      </c>
      <c r="C31" s="40"/>
      <c r="D31" s="48"/>
      <c r="E31" s="40"/>
      <c r="F31" s="49"/>
      <c r="G31" s="49"/>
      <c r="H31" s="584"/>
      <c r="Q31" s="44"/>
      <c r="R31" s="44"/>
    </row>
    <row r="32" spans="1:18" s="29" customFormat="1">
      <c r="A32" s="918">
        <v>1.1000000000000001</v>
      </c>
      <c r="B32" s="836" t="s">
        <v>271</v>
      </c>
      <c r="C32" s="885"/>
      <c r="D32" s="885"/>
      <c r="E32" s="811">
        <f>VLOOKUP(A32,'Point Allocation'!$A$5:$J$15,MATCH(A7,'Point Allocation'!$A$5:$J$5,0),0)</f>
        <v>45</v>
      </c>
      <c r="F32" s="812"/>
      <c r="G32" s="813">
        <f>IFERROR(F32/$F$59,0)</f>
        <v>0</v>
      </c>
      <c r="H32" s="811">
        <f>E32*G32</f>
        <v>0</v>
      </c>
      <c r="Q32" s="44"/>
      <c r="R32" s="44"/>
    </row>
    <row r="33" spans="1:18" s="29" customFormat="1" ht="15.6">
      <c r="A33" s="919"/>
      <c r="B33" s="810" t="s">
        <v>358</v>
      </c>
      <c r="C33" s="810"/>
      <c r="D33" s="810"/>
      <c r="E33" s="811"/>
      <c r="F33" s="812"/>
      <c r="G33" s="813">
        <f t="shared" ref="G33" si="0">IFERROR(F33/$F$59,0)</f>
        <v>0</v>
      </c>
      <c r="H33" s="811"/>
      <c r="Q33" s="44"/>
      <c r="R33" s="44"/>
    </row>
    <row r="34" spans="1:18" s="29" customFormat="1" ht="15.6">
      <c r="A34" s="583">
        <v>2</v>
      </c>
      <c r="B34" s="39" t="s">
        <v>305</v>
      </c>
      <c r="C34" s="50"/>
      <c r="D34" s="48"/>
      <c r="E34" s="51"/>
      <c r="F34" s="8"/>
      <c r="G34" s="22"/>
      <c r="H34" s="585"/>
      <c r="Q34" s="52"/>
      <c r="R34" s="44"/>
    </row>
    <row r="35" spans="1:18" s="29" customFormat="1">
      <c r="A35" s="586">
        <v>2.1</v>
      </c>
      <c r="B35" s="858" t="s">
        <v>192</v>
      </c>
      <c r="C35" s="859"/>
      <c r="D35" s="840"/>
      <c r="E35" s="20">
        <f>VLOOKUP(A35,'Point Allocation'!$A$5:$J$15,MATCH(A7,'Point Allocation'!$A$5:$J$5,0),0)</f>
        <v>42</v>
      </c>
      <c r="F35" s="537"/>
      <c r="G35" s="31">
        <f>IFERROR(F35/$F$59,0)</f>
        <v>0</v>
      </c>
      <c r="H35" s="20">
        <f>E35*G35</f>
        <v>0</v>
      </c>
      <c r="Q35" s="52"/>
      <c r="R35" s="44"/>
    </row>
    <row r="36" spans="1:18" s="29" customFormat="1" ht="15.6">
      <c r="A36" s="583">
        <v>3</v>
      </c>
      <c r="B36" s="39" t="s">
        <v>306</v>
      </c>
      <c r="C36" s="50"/>
      <c r="D36" s="48"/>
      <c r="E36" s="51"/>
      <c r="F36" s="8"/>
      <c r="G36" s="22"/>
      <c r="H36" s="585"/>
      <c r="Q36" s="52"/>
      <c r="R36" s="44"/>
    </row>
    <row r="37" spans="1:18" s="29" customFormat="1" ht="15" customHeight="1">
      <c r="A37" s="586">
        <v>3.1</v>
      </c>
      <c r="B37" s="858" t="s">
        <v>640</v>
      </c>
      <c r="C37" s="859"/>
      <c r="D37" s="840"/>
      <c r="E37" s="20">
        <f>VLOOKUP(A37,'Point Allocation'!$A$5:$J$15,MATCH(A7,'Point Allocation'!$A$5:$J$5,0),0)</f>
        <v>39</v>
      </c>
      <c r="F37" s="37"/>
      <c r="G37" s="31">
        <f>IFERROR(F37/$F$59,0)</f>
        <v>0</v>
      </c>
      <c r="H37" s="546">
        <f>E37*G37</f>
        <v>0</v>
      </c>
      <c r="Q37" s="52"/>
      <c r="R37" s="44"/>
    </row>
    <row r="38" spans="1:18" s="29" customFormat="1" ht="31.5" customHeight="1">
      <c r="A38" s="909">
        <v>3.2</v>
      </c>
      <c r="B38" s="863" t="s">
        <v>296</v>
      </c>
      <c r="C38" s="911"/>
      <c r="D38" s="864"/>
      <c r="E38" s="828">
        <f>VLOOKUP(A38,'Point Allocation'!$A$5:$J$15,MATCH(A7,'Point Allocation'!$A$5:$J$5,0),0)</f>
        <v>39</v>
      </c>
      <c r="F38" s="37"/>
      <c r="G38" s="31">
        <f>IFERROR(F38/$F$59,0)</f>
        <v>0</v>
      </c>
      <c r="H38" s="828">
        <f>IF(SUM(I40:I45)&gt;=4,E38*G38,0)</f>
        <v>0</v>
      </c>
      <c r="Q38" s="52"/>
      <c r="R38" s="44"/>
    </row>
    <row r="39" spans="1:18" s="29" customFormat="1" ht="46.95" customHeight="1">
      <c r="A39" s="910"/>
      <c r="B39" s="912"/>
      <c r="C39" s="913"/>
      <c r="D39" s="914"/>
      <c r="E39" s="829"/>
      <c r="F39" s="521" t="s">
        <v>601</v>
      </c>
      <c r="G39" s="53" t="s">
        <v>116</v>
      </c>
      <c r="H39" s="829"/>
      <c r="Q39" s="52"/>
      <c r="R39" s="44"/>
    </row>
    <row r="40" spans="1:18" s="29" customFormat="1" ht="112.2" customHeight="1">
      <c r="A40" s="587" t="s">
        <v>181</v>
      </c>
      <c r="B40" s="830" t="s">
        <v>323</v>
      </c>
      <c r="C40" s="831"/>
      <c r="D40" s="832"/>
      <c r="E40" s="900"/>
      <c r="F40" s="536" t="s">
        <v>609</v>
      </c>
      <c r="G40" s="552"/>
      <c r="H40" s="889"/>
      <c r="I40" s="54">
        <f t="shared" ref="I40:I45" si="1">IF(G40&gt;=65%,1,0)</f>
        <v>0</v>
      </c>
      <c r="Q40" s="52"/>
      <c r="R40" s="44"/>
    </row>
    <row r="41" spans="1:18" s="29" customFormat="1" ht="63" customHeight="1">
      <c r="A41" s="587" t="s">
        <v>182</v>
      </c>
      <c r="B41" s="833" t="s">
        <v>204</v>
      </c>
      <c r="C41" s="834"/>
      <c r="D41" s="835"/>
      <c r="E41" s="900"/>
      <c r="F41" s="483" t="s">
        <v>598</v>
      </c>
      <c r="G41" s="553"/>
      <c r="H41" s="889"/>
      <c r="I41" s="54">
        <f t="shared" si="1"/>
        <v>0</v>
      </c>
      <c r="Q41" s="52"/>
      <c r="R41" s="44"/>
    </row>
    <row r="42" spans="1:18" s="29" customFormat="1" ht="48.75" customHeight="1">
      <c r="A42" s="587" t="s">
        <v>190</v>
      </c>
      <c r="B42" s="833" t="s">
        <v>205</v>
      </c>
      <c r="C42" s="834"/>
      <c r="D42" s="835"/>
      <c r="E42" s="900"/>
      <c r="F42" s="483" t="s">
        <v>611</v>
      </c>
      <c r="G42" s="553"/>
      <c r="H42" s="889"/>
      <c r="I42" s="54">
        <f t="shared" si="1"/>
        <v>0</v>
      </c>
      <c r="Q42" s="52"/>
      <c r="R42" s="44"/>
    </row>
    <row r="43" spans="1:18" s="29" customFormat="1" ht="45">
      <c r="A43" s="587" t="s">
        <v>183</v>
      </c>
      <c r="B43" s="833" t="s">
        <v>206</v>
      </c>
      <c r="C43" s="834"/>
      <c r="D43" s="835"/>
      <c r="E43" s="900"/>
      <c r="F43" s="483" t="s">
        <v>597</v>
      </c>
      <c r="G43" s="553"/>
      <c r="H43" s="889"/>
      <c r="I43" s="54">
        <f t="shared" si="1"/>
        <v>0</v>
      </c>
      <c r="Q43" s="52"/>
      <c r="R43" s="44"/>
    </row>
    <row r="44" spans="1:18" s="29" customFormat="1" ht="63" customHeight="1">
      <c r="A44" s="587" t="s">
        <v>191</v>
      </c>
      <c r="B44" s="833" t="s">
        <v>207</v>
      </c>
      <c r="C44" s="834"/>
      <c r="D44" s="835"/>
      <c r="E44" s="900"/>
      <c r="F44" s="483" t="s">
        <v>599</v>
      </c>
      <c r="G44" s="553"/>
      <c r="H44" s="889"/>
      <c r="I44" s="54">
        <f t="shared" si="1"/>
        <v>0</v>
      </c>
      <c r="Q44" s="52"/>
      <c r="R44" s="44"/>
    </row>
    <row r="45" spans="1:18" s="29" customFormat="1" ht="31.5" customHeight="1">
      <c r="A45" s="587" t="s">
        <v>184</v>
      </c>
      <c r="B45" s="915" t="s">
        <v>610</v>
      </c>
      <c r="C45" s="916"/>
      <c r="D45" s="886"/>
      <c r="E45" s="901"/>
      <c r="F45" s="483" t="s">
        <v>600</v>
      </c>
      <c r="G45" s="553"/>
      <c r="H45" s="829"/>
      <c r="I45" s="54">
        <f t="shared" si="1"/>
        <v>0</v>
      </c>
      <c r="Q45" s="52"/>
      <c r="R45" s="44"/>
    </row>
    <row r="46" spans="1:18" s="29" customFormat="1" ht="15.6">
      <c r="A46" s="583" t="s">
        <v>185</v>
      </c>
      <c r="B46" s="39" t="s">
        <v>307</v>
      </c>
      <c r="C46" s="55"/>
      <c r="D46" s="48"/>
      <c r="E46" s="51"/>
      <c r="F46" s="36"/>
      <c r="G46" s="23"/>
      <c r="H46" s="588"/>
      <c r="Q46" s="52"/>
      <c r="R46" s="44"/>
    </row>
    <row r="47" spans="1:18" s="29" customFormat="1" ht="31.5" customHeight="1">
      <c r="A47" s="543">
        <v>4.0999999999999996</v>
      </c>
      <c r="B47" s="858" t="s">
        <v>602</v>
      </c>
      <c r="C47" s="859"/>
      <c r="D47" s="840"/>
      <c r="E47" s="20">
        <f>VLOOKUP(A47,'Point Allocation'!$A$5:$J$15,MATCH(A7,'Point Allocation'!$A$5:$J$5,0),0)</f>
        <v>35</v>
      </c>
      <c r="F47" s="537"/>
      <c r="G47" s="31">
        <f>IFERROR(F47/$F$59,0)</f>
        <v>0</v>
      </c>
      <c r="H47" s="20">
        <f>E47*G47</f>
        <v>0</v>
      </c>
      <c r="Q47" s="52"/>
      <c r="R47" s="44"/>
    </row>
    <row r="48" spans="1:18" s="29" customFormat="1">
      <c r="A48" s="589">
        <v>4.2</v>
      </c>
      <c r="B48" s="825" t="s">
        <v>313</v>
      </c>
      <c r="C48" s="826"/>
      <c r="D48" s="827"/>
      <c r="E48" s="20">
        <f>VLOOKUP(A48,'Point Allocation'!$A$5:$J$15,MATCH(A7,'Point Allocation'!$A$5:$J$5,0),0)</f>
        <v>35</v>
      </c>
      <c r="F48" s="537"/>
      <c r="G48" s="31">
        <f>IFERROR(F48/$F$59,0)</f>
        <v>0</v>
      </c>
      <c r="H48" s="20">
        <f>E48*G48</f>
        <v>0</v>
      </c>
      <c r="Q48" s="52"/>
      <c r="R48" s="44"/>
    </row>
    <row r="49" spans="1:18" s="29" customFormat="1">
      <c r="A49" s="589">
        <v>4.3</v>
      </c>
      <c r="B49" s="902" t="s">
        <v>311</v>
      </c>
      <c r="C49" s="903"/>
      <c r="D49" s="904"/>
      <c r="E49" s="20">
        <f>VLOOKUP(A49,'Point Allocation'!$A$5:$J$15,MATCH(A7,'Point Allocation'!$A$5:$J$5,0),0)</f>
        <v>28</v>
      </c>
      <c r="F49" s="537"/>
      <c r="G49" s="31">
        <f>IFERROR(F49/$F$59,0)</f>
        <v>0</v>
      </c>
      <c r="H49" s="20">
        <f>E49*G49</f>
        <v>0</v>
      </c>
      <c r="Q49" s="52"/>
      <c r="R49" s="44"/>
    </row>
    <row r="50" spans="1:18" s="29" customFormat="1">
      <c r="A50" s="543">
        <v>4.4000000000000004</v>
      </c>
      <c r="B50" s="858" t="s">
        <v>312</v>
      </c>
      <c r="C50" s="859"/>
      <c r="D50" s="840"/>
      <c r="E50" s="20">
        <f>VLOOKUP(A50,'Point Allocation'!$A$5:$J$15,MATCH(A7,'Point Allocation'!$A$5:$J$5,0),0)</f>
        <v>28</v>
      </c>
      <c r="F50" s="537"/>
      <c r="G50" s="31">
        <f>IFERROR(F50/$F$59,0)</f>
        <v>0</v>
      </c>
      <c r="H50" s="20">
        <f>E50*G50</f>
        <v>0</v>
      </c>
      <c r="Q50" s="52"/>
      <c r="R50" s="44"/>
    </row>
    <row r="51" spans="1:18" s="58" customFormat="1" ht="15.6">
      <c r="A51" s="581" t="s">
        <v>186</v>
      </c>
      <c r="B51" s="45" t="s">
        <v>200</v>
      </c>
      <c r="C51" s="56"/>
      <c r="D51" s="57"/>
      <c r="E51" s="7"/>
      <c r="F51" s="7"/>
      <c r="G51" s="24"/>
      <c r="H51" s="590"/>
      <c r="I51" s="29"/>
      <c r="J51" s="29"/>
      <c r="K51" s="29"/>
      <c r="L51" s="29"/>
      <c r="M51" s="29"/>
      <c r="Q51" s="59"/>
    </row>
    <row r="52" spans="1:18" s="58" customFormat="1" ht="15.6">
      <c r="A52" s="39">
        <v>5</v>
      </c>
      <c r="B52" s="39" t="s">
        <v>201</v>
      </c>
      <c r="C52" s="48"/>
      <c r="D52" s="48"/>
      <c r="E52" s="8"/>
      <c r="F52" s="8"/>
      <c r="G52" s="22"/>
      <c r="H52" s="588"/>
      <c r="I52" s="29"/>
      <c r="J52" s="29"/>
      <c r="K52" s="29"/>
      <c r="L52" s="29"/>
      <c r="M52" s="29"/>
      <c r="Q52" s="59"/>
    </row>
    <row r="53" spans="1:18" s="29" customFormat="1">
      <c r="A53" s="541">
        <v>5.0999999999999996</v>
      </c>
      <c r="B53" s="822" t="s">
        <v>193</v>
      </c>
      <c r="C53" s="823"/>
      <c r="D53" s="824"/>
      <c r="E53" s="20">
        <f>VLOOKUP(A53,'Point Allocation'!$A$5:$J$15,MATCH(A7,'Point Allocation'!$A$5:$J$5,0),0)</f>
        <v>22</v>
      </c>
      <c r="F53" s="537"/>
      <c r="G53" s="31">
        <f>IFERROR(F53/$F$59,0)</f>
        <v>0</v>
      </c>
      <c r="H53" s="20">
        <f>E53*G53</f>
        <v>0</v>
      </c>
      <c r="Q53" s="52"/>
      <c r="R53" s="44"/>
    </row>
    <row r="54" spans="1:18" s="29" customFormat="1">
      <c r="A54" s="541">
        <v>5.2</v>
      </c>
      <c r="B54" s="822" t="s">
        <v>142</v>
      </c>
      <c r="C54" s="823"/>
      <c r="D54" s="824"/>
      <c r="E54" s="20">
        <f>VLOOKUP(A54,'Point Allocation'!$A$5:$J$15,MATCH(A7,'Point Allocation'!$A$5:$J$5,0),0)</f>
        <v>10</v>
      </c>
      <c r="F54" s="537"/>
      <c r="G54" s="31">
        <f>IFERROR(F54/$F$59,0)</f>
        <v>0</v>
      </c>
      <c r="H54" s="20">
        <f>E54*G54</f>
        <v>0</v>
      </c>
      <c r="Q54" s="52"/>
      <c r="R54" s="44"/>
    </row>
    <row r="55" spans="1:18" s="29" customFormat="1" ht="15.6">
      <c r="A55" s="60">
        <v>6</v>
      </c>
      <c r="B55" s="60" t="s">
        <v>202</v>
      </c>
      <c r="C55" s="48"/>
      <c r="D55" s="48"/>
      <c r="E55" s="8"/>
      <c r="F55" s="8"/>
      <c r="G55" s="22"/>
      <c r="H55" s="588"/>
      <c r="Q55" s="52"/>
      <c r="R55" s="44"/>
    </row>
    <row r="56" spans="1:18" s="29" customFormat="1">
      <c r="A56" s="591">
        <v>6.1</v>
      </c>
      <c r="B56" s="762"/>
      <c r="C56" s="763"/>
      <c r="D56" s="803"/>
      <c r="E56" s="537"/>
      <c r="F56" s="537"/>
      <c r="G56" s="31">
        <f>IFERROR(F56/$F$59,0)</f>
        <v>0</v>
      </c>
      <c r="H56" s="20">
        <f>E56*G56</f>
        <v>0</v>
      </c>
      <c r="Q56" s="52"/>
      <c r="R56" s="44"/>
    </row>
    <row r="57" spans="1:18" s="29" customFormat="1">
      <c r="A57" s="591">
        <v>6.2</v>
      </c>
      <c r="B57" s="762"/>
      <c r="C57" s="763"/>
      <c r="D57" s="803"/>
      <c r="E57" s="537"/>
      <c r="F57" s="537"/>
      <c r="G57" s="31">
        <f>IFERROR(F57/$F$59,0)</f>
        <v>0</v>
      </c>
      <c r="H57" s="20">
        <f>E57*G57</f>
        <v>0</v>
      </c>
      <c r="Q57" s="52"/>
      <c r="R57" s="44"/>
    </row>
    <row r="58" spans="1:18" s="29" customFormat="1">
      <c r="A58" s="591">
        <v>6.3</v>
      </c>
      <c r="B58" s="762"/>
      <c r="C58" s="763"/>
      <c r="D58" s="803"/>
      <c r="E58" s="537"/>
      <c r="F58" s="537"/>
      <c r="G58" s="31">
        <f>IFERROR(F58/$F$59,0)</f>
        <v>0</v>
      </c>
      <c r="H58" s="20">
        <f>E58*G58</f>
        <v>0</v>
      </c>
      <c r="Q58" s="52"/>
      <c r="R58" s="44"/>
    </row>
    <row r="59" spans="1:18" s="29" customFormat="1" ht="15.6">
      <c r="A59" s="592"/>
      <c r="B59" s="304"/>
      <c r="C59" s="305"/>
      <c r="D59" s="305"/>
      <c r="E59" s="306" t="s">
        <v>60</v>
      </c>
      <c r="F59" s="26">
        <f>SUM(F32,F35,F37,F38,F47,F48,F49,F50,F53,F54,F56,F57,F58)</f>
        <v>0</v>
      </c>
      <c r="G59" s="25">
        <f>SUM(G32,G35:G35,G37:G38,G47:G50,G53:G54,G56:G58)</f>
        <v>0</v>
      </c>
      <c r="H59" s="593">
        <f>IFERROR(SUM(H32:H58),0)</f>
        <v>0</v>
      </c>
      <c r="M59" s="61"/>
      <c r="Q59" s="52"/>
      <c r="R59" s="44"/>
    </row>
    <row r="60" spans="1:18" s="29" customFormat="1" ht="15.6" thickBot="1">
      <c r="A60" s="594"/>
      <c r="B60" s="361"/>
      <c r="C60" s="362"/>
      <c r="D60" s="362"/>
      <c r="E60" s="362"/>
      <c r="F60" s="362"/>
      <c r="G60" s="354"/>
      <c r="H60" s="595"/>
      <c r="Q60" s="52"/>
      <c r="R60" s="44"/>
    </row>
    <row r="61" spans="1:18" s="29" customFormat="1" ht="15.6">
      <c r="A61" s="896" t="s">
        <v>0</v>
      </c>
      <c r="B61" s="897"/>
      <c r="C61" s="461"/>
      <c r="D61" s="892" t="s">
        <v>4</v>
      </c>
      <c r="E61" s="894" t="s">
        <v>1</v>
      </c>
      <c r="F61" s="895"/>
      <c r="G61" s="890" t="s">
        <v>21</v>
      </c>
      <c r="H61" s="892" t="s">
        <v>62</v>
      </c>
      <c r="Q61" s="52"/>
      <c r="R61" s="44"/>
    </row>
    <row r="62" spans="1:18" s="29" customFormat="1" ht="31.2">
      <c r="A62" s="898"/>
      <c r="B62" s="899"/>
      <c r="C62" s="62"/>
      <c r="D62" s="893"/>
      <c r="E62" s="42" t="s">
        <v>117</v>
      </c>
      <c r="F62" s="42" t="s">
        <v>118</v>
      </c>
      <c r="G62" s="891"/>
      <c r="H62" s="893"/>
      <c r="I62" s="63"/>
      <c r="Q62" s="52"/>
      <c r="R62" s="44"/>
    </row>
    <row r="63" spans="1:18" s="29" customFormat="1" ht="15.6">
      <c r="A63" s="45" t="s">
        <v>208</v>
      </c>
      <c r="B63" s="45" t="s">
        <v>139</v>
      </c>
      <c r="C63" s="57"/>
      <c r="D63" s="64"/>
      <c r="E63" s="47"/>
      <c r="F63" s="47"/>
      <c r="G63" s="47"/>
      <c r="H63" s="596"/>
      <c r="I63" s="61"/>
      <c r="J63" s="61"/>
      <c r="K63" s="61"/>
      <c r="L63" s="61"/>
      <c r="Q63" s="52"/>
      <c r="R63" s="44"/>
    </row>
    <row r="64" spans="1:18" s="29" customFormat="1" ht="15" customHeight="1">
      <c r="A64" s="597" t="s">
        <v>314</v>
      </c>
      <c r="B64" s="837" t="s">
        <v>647</v>
      </c>
      <c r="C64" s="838"/>
      <c r="D64" s="5" t="s">
        <v>50</v>
      </c>
      <c r="E64" s="9">
        <v>3</v>
      </c>
      <c r="F64" s="9">
        <v>4</v>
      </c>
      <c r="G64" s="30"/>
      <c r="H64" s="20">
        <f>IF(G64&gt;=80%,F64,IF(G64&lt;65%,0,E64))</f>
        <v>0</v>
      </c>
      <c r="Q64" s="52"/>
      <c r="R64" s="44"/>
    </row>
    <row r="65" spans="1:18" s="29" customFormat="1">
      <c r="A65" s="597" t="s">
        <v>315</v>
      </c>
      <c r="B65" s="837" t="s">
        <v>646</v>
      </c>
      <c r="C65" s="838"/>
      <c r="D65" s="5" t="s">
        <v>50</v>
      </c>
      <c r="E65" s="9">
        <v>3</v>
      </c>
      <c r="F65" s="9">
        <v>4</v>
      </c>
      <c r="G65" s="30"/>
      <c r="H65" s="20">
        <f>IF(G65&gt;=80%,F65,IF(G65&lt;65%,0,E65))</f>
        <v>0</v>
      </c>
      <c r="Q65" s="52"/>
      <c r="R65" s="44"/>
    </row>
    <row r="66" spans="1:18" s="29" customFormat="1">
      <c r="A66" s="598" t="s">
        <v>316</v>
      </c>
      <c r="B66" s="837" t="s">
        <v>641</v>
      </c>
      <c r="C66" s="838"/>
      <c r="D66" s="5" t="s">
        <v>50</v>
      </c>
      <c r="E66" s="9">
        <v>3</v>
      </c>
      <c r="F66" s="9">
        <v>4</v>
      </c>
      <c r="G66" s="30"/>
      <c r="H66" s="20">
        <f>IF(G66&gt;=80%,F66,IF(G66&lt;65%,0,E66))</f>
        <v>0</v>
      </c>
      <c r="Q66" s="52"/>
      <c r="R66" s="44"/>
    </row>
    <row r="67" spans="1:18" s="29" customFormat="1" ht="51" customHeight="1">
      <c r="A67" s="597">
        <v>7.2</v>
      </c>
      <c r="B67" s="841" t="s">
        <v>319</v>
      </c>
      <c r="C67" s="841"/>
      <c r="D67" s="385" t="s">
        <v>50</v>
      </c>
      <c r="E67" s="546">
        <v>2</v>
      </c>
      <c r="F67" s="546">
        <v>2.5</v>
      </c>
      <c r="G67" s="518"/>
      <c r="H67" s="546">
        <f>IF(H38&gt;0,0,IF(G67&gt;=80%,F67,IF(G67&lt;65%,0,E67)))</f>
        <v>0</v>
      </c>
      <c r="I67" s="11"/>
      <c r="J67" s="11"/>
      <c r="K67" s="11"/>
      <c r="Q67" s="52"/>
      <c r="R67" s="44"/>
    </row>
    <row r="68" spans="1:18" s="29" customFormat="1" ht="15" customHeight="1">
      <c r="A68" s="597">
        <v>7.3</v>
      </c>
      <c r="B68" s="858" t="s">
        <v>215</v>
      </c>
      <c r="C68" s="859"/>
      <c r="D68" s="353"/>
      <c r="E68" s="353"/>
      <c r="F68" s="353"/>
      <c r="G68" s="519"/>
      <c r="H68" s="599"/>
      <c r="I68" s="11"/>
      <c r="J68" s="11"/>
      <c r="K68" s="11"/>
      <c r="Q68" s="52"/>
      <c r="R68" s="44"/>
    </row>
    <row r="69" spans="1:18" s="29" customFormat="1" ht="32.25" customHeight="1">
      <c r="A69" s="598" t="s">
        <v>209</v>
      </c>
      <c r="B69" s="839" t="s">
        <v>216</v>
      </c>
      <c r="C69" s="840"/>
      <c r="D69" s="980" t="s">
        <v>50</v>
      </c>
      <c r="E69" s="279">
        <v>1</v>
      </c>
      <c r="F69" s="279">
        <v>1.5</v>
      </c>
      <c r="G69" s="553"/>
      <c r="H69" s="279">
        <f>IF(H32+H38&gt;0,0.5,IF(G69&gt;=80%,F69,IF(G69&lt;65%,0,E69)))</f>
        <v>0</v>
      </c>
      <c r="J69" s="11"/>
      <c r="K69" s="11"/>
      <c r="Q69" s="52"/>
      <c r="R69" s="44"/>
    </row>
    <row r="70" spans="1:18" s="29" customFormat="1" ht="47.25" customHeight="1">
      <c r="A70" s="598" t="s">
        <v>210</v>
      </c>
      <c r="B70" s="839" t="s">
        <v>217</v>
      </c>
      <c r="C70" s="840"/>
      <c r="D70" s="981"/>
      <c r="E70" s="279">
        <v>1</v>
      </c>
      <c r="F70" s="279">
        <v>1.5</v>
      </c>
      <c r="G70" s="553"/>
      <c r="H70" s="279">
        <f>IF(H32+H38&gt;0,0.5,IF(G70&gt;=80%,F70,IF(G70&lt;65%,0,E70)))</f>
        <v>0</v>
      </c>
      <c r="Q70" s="52"/>
      <c r="R70" s="44"/>
    </row>
    <row r="71" spans="1:18" s="29" customFormat="1">
      <c r="A71" s="598" t="s">
        <v>222</v>
      </c>
      <c r="B71" s="839" t="s">
        <v>218</v>
      </c>
      <c r="C71" s="840"/>
      <c r="D71" s="981"/>
      <c r="E71" s="279">
        <v>1</v>
      </c>
      <c r="F71" s="279">
        <v>1.5</v>
      </c>
      <c r="G71" s="553"/>
      <c r="H71" s="279">
        <f>IF(H32+H38&gt;0,0.5,IF(G71&gt;=80%,F71,IF(G71&lt;65%,0,E71)))</f>
        <v>0</v>
      </c>
      <c r="Q71" s="52"/>
      <c r="R71" s="44"/>
    </row>
    <row r="72" spans="1:18" s="29" customFormat="1" ht="46.5" customHeight="1">
      <c r="A72" s="598" t="s">
        <v>211</v>
      </c>
      <c r="B72" s="839" t="s">
        <v>219</v>
      </c>
      <c r="C72" s="840"/>
      <c r="D72" s="982"/>
      <c r="E72" s="279">
        <v>1</v>
      </c>
      <c r="F72" s="279">
        <v>1.5</v>
      </c>
      <c r="G72" s="553"/>
      <c r="H72" s="279">
        <f>IF(H32+H38&gt;0,0.5,IF(G72&gt;=80%,F72,IF(G72&lt;65%,0,E72)))</f>
        <v>0</v>
      </c>
      <c r="Q72" s="52"/>
      <c r="R72" s="44"/>
    </row>
    <row r="73" spans="1:18" s="29" customFormat="1">
      <c r="A73" s="597">
        <v>7.4</v>
      </c>
      <c r="B73" s="923" t="s">
        <v>393</v>
      </c>
      <c r="C73" s="923"/>
      <c r="D73" s="332" t="s">
        <v>2</v>
      </c>
      <c r="E73" s="279">
        <v>1</v>
      </c>
      <c r="F73" s="279">
        <v>1.5</v>
      </c>
      <c r="G73" s="553"/>
      <c r="H73" s="279">
        <f>IF(G73&gt;=80%,F73,IF(G73&lt;65%,0,E73))</f>
        <v>0</v>
      </c>
      <c r="Q73" s="52"/>
      <c r="R73" s="44"/>
    </row>
    <row r="74" spans="1:18" s="29" customFormat="1" ht="15" customHeight="1">
      <c r="A74" s="600">
        <v>7.5</v>
      </c>
      <c r="B74" s="928" t="s">
        <v>380</v>
      </c>
      <c r="C74" s="928"/>
      <c r="D74" s="490" t="s">
        <v>377</v>
      </c>
      <c r="E74" s="979">
        <v>2</v>
      </c>
      <c r="F74" s="979"/>
      <c r="G74" s="552"/>
      <c r="H74" s="557">
        <f>IF(G74&gt;=5%,E74,0)</f>
        <v>0</v>
      </c>
      <c r="Q74" s="52"/>
      <c r="R74" s="44"/>
    </row>
    <row r="75" spans="1:18" s="29" customFormat="1" ht="15.6">
      <c r="A75" s="66" t="s">
        <v>212</v>
      </c>
      <c r="B75" s="66" t="s">
        <v>517</v>
      </c>
      <c r="C75" s="67"/>
      <c r="D75" s="68"/>
      <c r="E75" s="69"/>
      <c r="F75" s="69"/>
      <c r="G75" s="69"/>
      <c r="H75" s="601"/>
      <c r="Q75" s="52"/>
      <c r="R75" s="44"/>
    </row>
    <row r="76" spans="1:18" s="29" customFormat="1">
      <c r="A76" s="597">
        <v>8.1</v>
      </c>
      <c r="B76" s="836" t="s">
        <v>220</v>
      </c>
      <c r="C76" s="836"/>
      <c r="D76" s="5" t="s">
        <v>50</v>
      </c>
      <c r="E76" s="20">
        <v>2</v>
      </c>
      <c r="F76" s="20">
        <v>2.5</v>
      </c>
      <c r="G76" s="553"/>
      <c r="H76" s="20">
        <f>IF(G76&gt;=80%,F76,IF(G76&lt;65%,0,E76))</f>
        <v>0</v>
      </c>
      <c r="I76" s="70"/>
      <c r="Q76" s="52"/>
      <c r="R76" s="44"/>
    </row>
    <row r="77" spans="1:18" s="29" customFormat="1">
      <c r="A77" s="597">
        <v>8.1999999999999993</v>
      </c>
      <c r="B77" s="836" t="s">
        <v>221</v>
      </c>
      <c r="C77" s="836"/>
      <c r="D77" s="5" t="s">
        <v>50</v>
      </c>
      <c r="E77" s="20">
        <v>2</v>
      </c>
      <c r="F77" s="20">
        <v>2.5</v>
      </c>
      <c r="G77" s="553"/>
      <c r="H77" s="20">
        <f>IF(G77&gt;=80%,F77,IF(G77&lt;65%,0,E77))</f>
        <v>0</v>
      </c>
      <c r="I77" s="11"/>
      <c r="J77" s="11"/>
      <c r="K77" s="11"/>
      <c r="Q77" s="52"/>
      <c r="R77" s="44"/>
    </row>
    <row r="78" spans="1:18" s="29" customFormat="1" ht="30.6" customHeight="1">
      <c r="A78" s="602">
        <v>8.3000000000000007</v>
      </c>
      <c r="B78" s="825" t="s">
        <v>607</v>
      </c>
      <c r="C78" s="827"/>
      <c r="D78" s="420" t="s">
        <v>50</v>
      </c>
      <c r="E78" s="434">
        <v>2</v>
      </c>
      <c r="F78" s="434">
        <v>2.5</v>
      </c>
      <c r="G78" s="553"/>
      <c r="H78" s="279">
        <f>IF(H76&gt;0,0,IF(G78&gt;=80%,F78,IF(G78&lt;65%,0,E78)))</f>
        <v>0</v>
      </c>
      <c r="I78" s="11"/>
      <c r="J78" s="11"/>
      <c r="K78" s="11"/>
      <c r="Q78" s="52"/>
      <c r="R78" s="44"/>
    </row>
    <row r="79" spans="1:18" s="29" customFormat="1">
      <c r="A79" s="602">
        <v>8.4</v>
      </c>
      <c r="B79" s="917" t="s">
        <v>138</v>
      </c>
      <c r="C79" s="843"/>
      <c r="D79" s="420" t="s">
        <v>2</v>
      </c>
      <c r="E79" s="434">
        <v>2</v>
      </c>
      <c r="F79" s="434">
        <v>2.5</v>
      </c>
      <c r="G79" s="30"/>
      <c r="H79" s="20">
        <f>IF(G79&gt;=80%,F79,IF(G79&lt;65%,0,E79))</f>
        <v>0</v>
      </c>
      <c r="Q79" s="52"/>
      <c r="R79" s="44"/>
    </row>
    <row r="80" spans="1:18" s="29" customFormat="1" ht="15.6">
      <c r="A80" s="66" t="s">
        <v>213</v>
      </c>
      <c r="B80" s="66" t="s">
        <v>518</v>
      </c>
      <c r="C80" s="67"/>
      <c r="D80" s="68"/>
      <c r="E80" s="69"/>
      <c r="F80" s="69"/>
      <c r="G80" s="69"/>
      <c r="H80" s="601"/>
      <c r="Q80" s="52"/>
      <c r="R80" s="44"/>
    </row>
    <row r="81" spans="1:18" s="29" customFormat="1" ht="31.5" customHeight="1">
      <c r="A81" s="602">
        <v>9.1</v>
      </c>
      <c r="B81" s="978" t="s">
        <v>514</v>
      </c>
      <c r="C81" s="978"/>
      <c r="D81" s="420" t="s">
        <v>50</v>
      </c>
      <c r="E81" s="434" t="s">
        <v>49</v>
      </c>
      <c r="F81" s="434">
        <v>2.5</v>
      </c>
      <c r="G81" s="517">
        <f>F21</f>
        <v>0</v>
      </c>
      <c r="H81" s="434">
        <f>IF(G81&gt;=80%,F81,0)</f>
        <v>0</v>
      </c>
      <c r="Q81" s="52"/>
      <c r="R81" s="44"/>
    </row>
    <row r="82" spans="1:18" s="29" customFormat="1" ht="31.5" customHeight="1">
      <c r="A82" s="602">
        <v>9.1999999999999993</v>
      </c>
      <c r="B82" s="825" t="s">
        <v>608</v>
      </c>
      <c r="C82" s="827"/>
      <c r="D82" s="420" t="s">
        <v>50</v>
      </c>
      <c r="E82" s="434">
        <v>2</v>
      </c>
      <c r="F82" s="434">
        <v>2.5</v>
      </c>
      <c r="G82" s="553"/>
      <c r="H82" s="279">
        <f>IF(G82&gt;=80%,F82,IF(G82&lt;65%,0,E82))</f>
        <v>0</v>
      </c>
      <c r="Q82" s="52"/>
      <c r="R82" s="44"/>
    </row>
    <row r="83" spans="1:18" s="29" customFormat="1" ht="15.6">
      <c r="A83" s="71" t="s">
        <v>214</v>
      </c>
      <c r="B83" s="71" t="s">
        <v>202</v>
      </c>
      <c r="C83" s="57"/>
      <c r="D83" s="57"/>
      <c r="E83" s="72"/>
      <c r="F83" s="72"/>
      <c r="G83" s="73"/>
      <c r="H83" s="603"/>
      <c r="Q83" s="52"/>
      <c r="R83" s="44"/>
    </row>
    <row r="84" spans="1:18" s="29" customFormat="1">
      <c r="A84" s="597">
        <v>10.1</v>
      </c>
      <c r="B84" s="776"/>
      <c r="C84" s="776"/>
      <c r="D84" s="520"/>
      <c r="E84" s="537"/>
      <c r="F84" s="537"/>
      <c r="G84" s="553"/>
      <c r="H84" s="20">
        <f>IF(G84&gt;=80%,F84,IF(G84&lt;65%,0,E84))</f>
        <v>0</v>
      </c>
      <c r="Q84" s="52"/>
      <c r="R84" s="44"/>
    </row>
    <row r="85" spans="1:18" s="29" customFormat="1">
      <c r="A85" s="597">
        <v>10.199999999999999</v>
      </c>
      <c r="B85" s="776"/>
      <c r="C85" s="776"/>
      <c r="D85" s="520"/>
      <c r="E85" s="537"/>
      <c r="F85" s="537"/>
      <c r="G85" s="553"/>
      <c r="H85" s="20">
        <f>IF(G85&gt;=80%,F85,IF(G85&lt;65%,0,E85))</f>
        <v>0</v>
      </c>
      <c r="Q85" s="52"/>
      <c r="R85" s="44"/>
    </row>
    <row r="86" spans="1:18" s="29" customFormat="1">
      <c r="A86" s="597">
        <v>10.3</v>
      </c>
      <c r="B86" s="776"/>
      <c r="C86" s="776"/>
      <c r="D86" s="520"/>
      <c r="E86" s="537"/>
      <c r="F86" s="537"/>
      <c r="G86" s="553"/>
      <c r="H86" s="20">
        <f>IF(G86&gt;=80%,F86,IF(G86&lt;65%,0,E86))</f>
        <v>0</v>
      </c>
      <c r="Q86" s="52"/>
      <c r="R86" s="44"/>
    </row>
    <row r="87" spans="1:18" s="29" customFormat="1" ht="15.6">
      <c r="A87" s="604"/>
      <c r="B87" s="307"/>
      <c r="C87" s="305"/>
      <c r="D87" s="305"/>
      <c r="E87" s="308"/>
      <c r="F87" s="309"/>
      <c r="G87" s="310" t="s">
        <v>375</v>
      </c>
      <c r="H87" s="605">
        <f>IFERROR((SUM(H64:H86)),0)</f>
        <v>0</v>
      </c>
      <c r="Q87" s="52"/>
      <c r="R87" s="44"/>
    </row>
    <row r="88" spans="1:18" s="29" customFormat="1">
      <c r="A88" s="592"/>
      <c r="B88" s="307"/>
      <c r="C88" s="305"/>
      <c r="D88" s="305"/>
      <c r="E88" s="305"/>
      <c r="F88" s="305"/>
      <c r="G88" s="311"/>
      <c r="H88" s="571"/>
      <c r="Q88" s="52"/>
      <c r="R88" s="44"/>
    </row>
    <row r="89" spans="1:18" s="29" customFormat="1" ht="15.6">
      <c r="A89" s="592"/>
      <c r="B89" s="307"/>
      <c r="C89" s="305"/>
      <c r="D89" s="305"/>
      <c r="E89" s="305"/>
      <c r="F89" s="305"/>
      <c r="G89" s="312" t="s">
        <v>128</v>
      </c>
      <c r="H89" s="74">
        <f>IFERROR(MIN(G27,H59+H87),0)</f>
        <v>0</v>
      </c>
      <c r="Q89" s="52"/>
      <c r="R89" s="44"/>
    </row>
    <row r="90" spans="1:18" s="29" customFormat="1" ht="16.2" thickBot="1">
      <c r="A90" s="594"/>
      <c r="B90" s="361"/>
      <c r="C90" s="362"/>
      <c r="D90" s="362"/>
      <c r="E90" s="362"/>
      <c r="F90" s="362"/>
      <c r="G90" s="364"/>
      <c r="H90" s="606"/>
      <c r="Q90" s="52"/>
      <c r="R90" s="44"/>
    </row>
    <row r="91" spans="1:18" s="29" customFormat="1" ht="15.6">
      <c r="A91" s="607" t="s">
        <v>51</v>
      </c>
      <c r="B91" s="358"/>
      <c r="C91" s="358"/>
      <c r="D91" s="358"/>
      <c r="E91" s="358"/>
      <c r="F91" s="359" t="s">
        <v>42</v>
      </c>
      <c r="G91" s="360">
        <f>VLOOKUP($A$7,'Manpower allocation'!A4:D11,3,FALSE)*100</f>
        <v>40</v>
      </c>
      <c r="H91" s="608" t="s">
        <v>41</v>
      </c>
      <c r="I91" s="75">
        <f>VLOOKUP($A$7,'Manpower allocation'!A4:D11,3,FALSE)*100</f>
        <v>40</v>
      </c>
      <c r="Q91" s="52"/>
      <c r="R91" s="44"/>
    </row>
    <row r="92" spans="1:18" s="29" customFormat="1" ht="15.6">
      <c r="A92" s="592"/>
      <c r="B92" s="313"/>
      <c r="C92" s="308"/>
      <c r="D92" s="305"/>
      <c r="E92" s="305"/>
      <c r="F92" s="305"/>
      <c r="G92" s="314"/>
      <c r="H92" s="571"/>
      <c r="Q92" s="52"/>
      <c r="R92" s="44"/>
    </row>
    <row r="93" spans="1:18" s="29" customFormat="1" ht="46.8">
      <c r="A93" s="609" t="s">
        <v>0</v>
      </c>
      <c r="B93" s="556"/>
      <c r="C93" s="156"/>
      <c r="D93" s="76"/>
      <c r="E93" s="77" t="s">
        <v>17</v>
      </c>
      <c r="F93" s="78" t="s">
        <v>80</v>
      </c>
      <c r="G93" s="78" t="s">
        <v>20</v>
      </c>
      <c r="H93" s="550" t="s">
        <v>52</v>
      </c>
      <c r="Q93" s="52"/>
      <c r="R93" s="44"/>
    </row>
    <row r="94" spans="1:18" s="29" customFormat="1" ht="15.6">
      <c r="A94" s="79" t="s">
        <v>280</v>
      </c>
      <c r="B94" s="79" t="s">
        <v>298</v>
      </c>
      <c r="C94" s="80"/>
      <c r="D94" s="80"/>
      <c r="E94" s="81"/>
      <c r="F94" s="81"/>
      <c r="G94" s="81"/>
      <c r="H94" s="610"/>
      <c r="Q94" s="52"/>
      <c r="R94" s="44"/>
    </row>
    <row r="95" spans="1:18" s="29" customFormat="1" ht="15.6">
      <c r="A95" s="82">
        <v>1</v>
      </c>
      <c r="B95" s="82" t="s">
        <v>304</v>
      </c>
      <c r="C95" s="83"/>
      <c r="D95" s="83"/>
      <c r="E95" s="84"/>
      <c r="F95" s="84"/>
      <c r="G95" s="84"/>
      <c r="H95" s="611"/>
      <c r="Q95" s="52"/>
      <c r="R95" s="44"/>
    </row>
    <row r="96" spans="1:18" s="29" customFormat="1">
      <c r="A96" s="597">
        <v>1.1000000000000001</v>
      </c>
      <c r="B96" s="858" t="s">
        <v>271</v>
      </c>
      <c r="C96" s="823"/>
      <c r="D96" s="824"/>
      <c r="E96" s="85">
        <f>VLOOKUP(A96,'Point Allocation'!$A$20:$J$41,MATCH(A7,'Point Allocation'!$A$20:$J$20,0),0)</f>
        <v>30</v>
      </c>
      <c r="F96" s="86"/>
      <c r="G96" s="87">
        <f>IFERROR(F96/$F$120,0)</f>
        <v>0</v>
      </c>
      <c r="H96" s="612">
        <f>E96*G96</f>
        <v>0</v>
      </c>
      <c r="Q96" s="44"/>
      <c r="R96" s="44"/>
    </row>
    <row r="97" spans="1:18" s="29" customFormat="1" ht="15.6">
      <c r="A97" s="88">
        <v>2</v>
      </c>
      <c r="B97" s="88" t="s">
        <v>305</v>
      </c>
      <c r="C97" s="89"/>
      <c r="D97" s="90"/>
      <c r="E97" s="90"/>
      <c r="F97" s="91"/>
      <c r="G97" s="92"/>
      <c r="H97" s="613"/>
      <c r="Q97" s="52"/>
      <c r="R97" s="44"/>
    </row>
    <row r="98" spans="1:18" s="29" customFormat="1">
      <c r="A98" s="814">
        <v>2.1</v>
      </c>
      <c r="B98" s="822" t="s">
        <v>196</v>
      </c>
      <c r="C98" s="823"/>
      <c r="D98" s="824"/>
      <c r="E98" s="819">
        <f>VLOOKUP(A98,'Point Allocation'!$A$20:$J$41,MATCH(A7,'Point Allocation'!$A$20:$J$20,0),0)</f>
        <v>28</v>
      </c>
      <c r="F98" s="820"/>
      <c r="G98" s="821">
        <f>IFERROR(F98/$F$120,0)</f>
        <v>0</v>
      </c>
      <c r="H98" s="819">
        <f>E98*G98</f>
        <v>0</v>
      </c>
      <c r="Q98" s="52"/>
      <c r="R98" s="44"/>
    </row>
    <row r="99" spans="1:18" s="29" customFormat="1" ht="15.6">
      <c r="A99" s="878"/>
      <c r="B99" s="816" t="s">
        <v>119</v>
      </c>
      <c r="C99" s="817"/>
      <c r="D99" s="818"/>
      <c r="E99" s="819"/>
      <c r="F99" s="820"/>
      <c r="G99" s="821"/>
      <c r="H99" s="819"/>
      <c r="Q99" s="52"/>
      <c r="R99" s="44"/>
    </row>
    <row r="100" spans="1:18" s="29" customFormat="1">
      <c r="A100" s="814">
        <v>2.2000000000000002</v>
      </c>
      <c r="B100" s="825" t="s">
        <v>606</v>
      </c>
      <c r="C100" s="826"/>
      <c r="D100" s="827"/>
      <c r="E100" s="819">
        <f>VLOOKUP(A100,'Point Allocation'!$A$20:$J$41,MATCH(A7,'Point Allocation'!$A$20:$J$20,0),0)</f>
        <v>28</v>
      </c>
      <c r="F100" s="820"/>
      <c r="G100" s="821">
        <f>IFERROR(F100/$F$120,0)</f>
        <v>0</v>
      </c>
      <c r="H100" s="819">
        <f>E100*G100</f>
        <v>0</v>
      </c>
      <c r="Q100" s="52"/>
      <c r="R100" s="44"/>
    </row>
    <row r="101" spans="1:18" s="29" customFormat="1" ht="15.6">
      <c r="A101" s="815"/>
      <c r="B101" s="816" t="s">
        <v>119</v>
      </c>
      <c r="C101" s="817"/>
      <c r="D101" s="818"/>
      <c r="E101" s="819"/>
      <c r="F101" s="820"/>
      <c r="G101" s="821"/>
      <c r="H101" s="819"/>
      <c r="Q101" s="52"/>
      <c r="R101" s="44"/>
    </row>
    <row r="102" spans="1:18" s="29" customFormat="1" ht="15.6">
      <c r="A102" s="82">
        <v>3</v>
      </c>
      <c r="B102" s="82" t="s">
        <v>306</v>
      </c>
      <c r="C102" s="89"/>
      <c r="D102" s="89"/>
      <c r="E102" s="91"/>
      <c r="F102" s="91"/>
      <c r="G102" s="92"/>
      <c r="H102" s="614"/>
      <c r="Q102" s="52"/>
      <c r="R102" s="44"/>
    </row>
    <row r="103" spans="1:18" s="29" customFormat="1">
      <c r="A103" s="814">
        <v>3.1</v>
      </c>
      <c r="B103" s="822" t="s">
        <v>197</v>
      </c>
      <c r="C103" s="823"/>
      <c r="D103" s="824"/>
      <c r="E103" s="819">
        <f>VLOOKUP(A103,'Point Allocation'!$A$20:$J$41,MATCH(A7,'Point Allocation'!$A$20:$J$20,0),0)</f>
        <v>27</v>
      </c>
      <c r="F103" s="820"/>
      <c r="G103" s="821">
        <f>IFERROR(F103/$F$120,0)</f>
        <v>0</v>
      </c>
      <c r="H103" s="819">
        <f>E103*G103</f>
        <v>0</v>
      </c>
      <c r="Q103" s="52"/>
      <c r="R103" s="44"/>
    </row>
    <row r="104" spans="1:18" s="29" customFormat="1" ht="15.6">
      <c r="A104" s="878"/>
      <c r="B104" s="816" t="s">
        <v>267</v>
      </c>
      <c r="C104" s="817"/>
      <c r="D104" s="818"/>
      <c r="E104" s="819"/>
      <c r="F104" s="820"/>
      <c r="G104" s="821"/>
      <c r="H104" s="819"/>
      <c r="Q104" s="52"/>
      <c r="R104" s="44"/>
    </row>
    <row r="105" spans="1:18" s="29" customFormat="1" ht="15.6">
      <c r="A105" s="82">
        <v>4</v>
      </c>
      <c r="B105" s="82" t="s">
        <v>307</v>
      </c>
      <c r="C105" s="89"/>
      <c r="D105" s="89"/>
      <c r="E105" s="91"/>
      <c r="F105" s="91"/>
      <c r="G105" s="92"/>
      <c r="H105" s="614"/>
      <c r="Q105" s="52"/>
      <c r="R105" s="44"/>
    </row>
    <row r="106" spans="1:18" s="29" customFormat="1" ht="30" customHeight="1">
      <c r="A106" s="598" t="s">
        <v>194</v>
      </c>
      <c r="B106" s="833" t="s">
        <v>273</v>
      </c>
      <c r="C106" s="834"/>
      <c r="D106" s="835"/>
      <c r="E106" s="93">
        <f>VLOOKUP(A106,'Point Allocation'!$A$20:$J$41,MATCH(A7,'Point Allocation'!$A$20:$J$20,0),0)</f>
        <v>25</v>
      </c>
      <c r="F106" s="538"/>
      <c r="G106" s="539">
        <f>IFERROR(F106/$F$120,0)</f>
        <v>0</v>
      </c>
      <c r="H106" s="94">
        <f>E106*G106</f>
        <v>0</v>
      </c>
      <c r="Q106" s="939"/>
      <c r="R106" s="44"/>
    </row>
    <row r="107" spans="1:18" s="29" customFormat="1">
      <c r="A107" s="598" t="s">
        <v>195</v>
      </c>
      <c r="B107" s="833" t="s">
        <v>274</v>
      </c>
      <c r="C107" s="834"/>
      <c r="D107" s="835"/>
      <c r="E107" s="93">
        <f>VLOOKUP(A107,'Point Allocation'!$A$20:$J$41,MATCH(A7,'Point Allocation'!$A$20:$J$20,0),0)</f>
        <v>25</v>
      </c>
      <c r="F107" s="538"/>
      <c r="G107" s="539">
        <f>IFERROR(F107/$F$120,0)</f>
        <v>0</v>
      </c>
      <c r="H107" s="94">
        <f>E107*G107</f>
        <v>0</v>
      </c>
      <c r="Q107" s="939"/>
      <c r="R107" s="44"/>
    </row>
    <row r="108" spans="1:18" s="29" customFormat="1">
      <c r="A108" s="597">
        <v>4.2</v>
      </c>
      <c r="B108" s="848" t="s">
        <v>198</v>
      </c>
      <c r="C108" s="924"/>
      <c r="D108" s="849"/>
      <c r="E108" s="93">
        <f>VLOOKUP(A108,'Point Allocation'!$A$20:$J$41,MATCH(A7,'Point Allocation'!$A$20:$J$20,0),0)</f>
        <v>25</v>
      </c>
      <c r="F108" s="538"/>
      <c r="G108" s="539">
        <f>IFERROR(F108/$F$120,0)</f>
        <v>0</v>
      </c>
      <c r="H108" s="94">
        <f>E108*G108</f>
        <v>0</v>
      </c>
      <c r="Q108" s="52"/>
      <c r="R108" s="44"/>
    </row>
    <row r="109" spans="1:18" s="29" customFormat="1">
      <c r="A109" s="597">
        <v>4.3</v>
      </c>
      <c r="B109" s="925" t="s">
        <v>150</v>
      </c>
      <c r="C109" s="926"/>
      <c r="D109" s="927"/>
      <c r="E109" s="93">
        <f>VLOOKUP(A109,'Point Allocation'!$A$20:$J$41,MATCH(A7,'Point Allocation'!$A$20:$J$20,0),0)</f>
        <v>25</v>
      </c>
      <c r="F109" s="538"/>
      <c r="G109" s="539">
        <f>IFERROR(F109/$F$120,0)</f>
        <v>0</v>
      </c>
      <c r="H109" s="174">
        <f>E109*G109</f>
        <v>0</v>
      </c>
      <c r="Q109" s="52"/>
      <c r="R109" s="44"/>
    </row>
    <row r="110" spans="1:18" s="29" customFormat="1">
      <c r="A110" s="597">
        <v>4.4000000000000004</v>
      </c>
      <c r="B110" s="925" t="s">
        <v>320</v>
      </c>
      <c r="C110" s="926"/>
      <c r="D110" s="927"/>
      <c r="E110" s="93">
        <f>VLOOKUP(A110,'Point Allocation'!$A$20:$J$41,MATCH(A7,'Point Allocation'!$A$20:$J$20,0),0)</f>
        <v>22</v>
      </c>
      <c r="F110" s="538"/>
      <c r="G110" s="539">
        <f>IFERROR(F110/$F$120,0)</f>
        <v>0</v>
      </c>
      <c r="H110" s="174">
        <f>E110*G110</f>
        <v>0</v>
      </c>
      <c r="Q110" s="52"/>
      <c r="R110" s="44"/>
    </row>
    <row r="111" spans="1:18" s="29" customFormat="1" ht="15.6">
      <c r="A111" s="95" t="s">
        <v>281</v>
      </c>
      <c r="B111" s="95" t="s">
        <v>223</v>
      </c>
      <c r="C111" s="96"/>
      <c r="D111" s="97"/>
      <c r="E111" s="98"/>
      <c r="F111" s="99"/>
      <c r="G111" s="100"/>
      <c r="H111" s="615"/>
      <c r="Q111" s="52"/>
      <c r="R111" s="44"/>
    </row>
    <row r="112" spans="1:18" s="29" customFormat="1" ht="15.6">
      <c r="A112" s="82">
        <v>5</v>
      </c>
      <c r="B112" s="82" t="s">
        <v>224</v>
      </c>
      <c r="C112" s="89"/>
      <c r="D112" s="89"/>
      <c r="E112" s="91"/>
      <c r="F112" s="91"/>
      <c r="G112" s="92"/>
      <c r="H112" s="614"/>
      <c r="Q112" s="52"/>
      <c r="R112" s="44"/>
    </row>
    <row r="113" spans="1:18" s="29" customFormat="1">
      <c r="A113" s="597">
        <v>5.0999999999999996</v>
      </c>
      <c r="B113" s="822" t="s">
        <v>199</v>
      </c>
      <c r="C113" s="823"/>
      <c r="D113" s="824"/>
      <c r="E113" s="101">
        <f>VLOOKUP(A113,'Point Allocation'!$A$20:$J$41,MATCH(A7,'Point Allocation'!$A$20:$J$20,0),0)</f>
        <v>16</v>
      </c>
      <c r="F113" s="147"/>
      <c r="G113" s="539">
        <f>IFERROR(F113/$F$120,0)</f>
        <v>0</v>
      </c>
      <c r="H113" s="547">
        <f>E113*G113</f>
        <v>0</v>
      </c>
      <c r="Q113" s="52"/>
      <c r="R113" s="44"/>
    </row>
    <row r="114" spans="1:18" s="29" customFormat="1">
      <c r="A114" s="597">
        <v>5.2</v>
      </c>
      <c r="B114" s="822" t="s">
        <v>321</v>
      </c>
      <c r="C114" s="823"/>
      <c r="D114" s="824"/>
      <c r="E114" s="101">
        <f>VLOOKUP(A114,'Point Allocation'!$A$20:$J$41,MATCH(A7,'Point Allocation'!$A$20:$J$20,0),0)</f>
        <v>5</v>
      </c>
      <c r="F114" s="86"/>
      <c r="G114" s="539">
        <f>IFERROR(F114/$F$120,0)</f>
        <v>0</v>
      </c>
      <c r="H114" s="547">
        <f>E114*G114</f>
        <v>0</v>
      </c>
      <c r="Q114" s="52"/>
      <c r="R114" s="44"/>
    </row>
    <row r="115" spans="1:18" s="29" customFormat="1">
      <c r="A115" s="597">
        <v>5.3</v>
      </c>
      <c r="B115" s="822" t="s">
        <v>322</v>
      </c>
      <c r="C115" s="823"/>
      <c r="D115" s="824"/>
      <c r="E115" s="101">
        <f>VLOOKUP(A115,'Point Allocation'!$A$20:$J$41,MATCH(A7,'Point Allocation'!$A$20:$J$20,0),0)</f>
        <v>0</v>
      </c>
      <c r="F115" s="146"/>
      <c r="G115" s="539">
        <f>IFERROR(F115/$F$120,0)</f>
        <v>0</v>
      </c>
      <c r="H115" s="616">
        <f>E115*G115</f>
        <v>0</v>
      </c>
      <c r="Q115" s="52"/>
      <c r="R115" s="44"/>
    </row>
    <row r="116" spans="1:18" s="29" customFormat="1" ht="15.6">
      <c r="A116" s="102">
        <v>6</v>
      </c>
      <c r="B116" s="102" t="s">
        <v>202</v>
      </c>
      <c r="C116" s="89"/>
      <c r="D116" s="89"/>
      <c r="E116" s="91"/>
      <c r="F116" s="91"/>
      <c r="G116" s="92"/>
      <c r="H116" s="614"/>
      <c r="Q116" s="52"/>
      <c r="R116" s="44"/>
    </row>
    <row r="117" spans="1:18" s="29" customFormat="1">
      <c r="A117" s="386">
        <v>6.1</v>
      </c>
      <c r="B117" s="765"/>
      <c r="C117" s="766"/>
      <c r="D117" s="847"/>
      <c r="E117" s="538"/>
      <c r="F117" s="538"/>
      <c r="G117" s="539">
        <f>IFERROR(F117/$F$120,0)</f>
        <v>0</v>
      </c>
      <c r="H117" s="616">
        <f>E117*G117</f>
        <v>0</v>
      </c>
      <c r="Q117" s="52"/>
      <c r="R117" s="44"/>
    </row>
    <row r="118" spans="1:18" s="29" customFormat="1">
      <c r="A118" s="386">
        <v>6.2</v>
      </c>
      <c r="B118" s="765"/>
      <c r="C118" s="766"/>
      <c r="D118" s="847"/>
      <c r="E118" s="538"/>
      <c r="F118" s="538"/>
      <c r="G118" s="539">
        <f>IFERROR(F118/$F$120,0)</f>
        <v>0</v>
      </c>
      <c r="H118" s="616">
        <f>E118*G118</f>
        <v>0</v>
      </c>
      <c r="Q118" s="52"/>
      <c r="R118" s="44"/>
    </row>
    <row r="119" spans="1:18" s="29" customFormat="1">
      <c r="A119" s="386">
        <v>6.3</v>
      </c>
      <c r="B119" s="920"/>
      <c r="C119" s="920"/>
      <c r="D119" s="920"/>
      <c r="E119" s="538"/>
      <c r="F119" s="538"/>
      <c r="G119" s="539">
        <f>IFERROR(F119/$F$120,0)</f>
        <v>0</v>
      </c>
      <c r="H119" s="616">
        <f>E119*G119</f>
        <v>0</v>
      </c>
      <c r="Q119" s="52"/>
      <c r="R119" s="44"/>
    </row>
    <row r="120" spans="1:18" s="29" customFormat="1" ht="15.6">
      <c r="A120" s="604"/>
      <c r="B120" s="307"/>
      <c r="C120" s="305"/>
      <c r="D120" s="305"/>
      <c r="E120" s="312" t="s">
        <v>61</v>
      </c>
      <c r="F120" s="315">
        <f>SUM(F96:F119)+E19</f>
        <v>0</v>
      </c>
      <c r="G120" s="316">
        <f>SUM(G96:G119)+F19</f>
        <v>0</v>
      </c>
      <c r="H120" s="617">
        <f>IFERROR(SUM(H96:H119),0)</f>
        <v>0</v>
      </c>
      <c r="Q120" s="52"/>
      <c r="R120" s="44"/>
    </row>
    <row r="121" spans="1:18" s="29" customFormat="1" ht="15.6" thickBot="1">
      <c r="A121" s="594"/>
      <c r="B121" s="361"/>
      <c r="C121" s="362"/>
      <c r="D121" s="362"/>
      <c r="E121" s="362"/>
      <c r="F121" s="362"/>
      <c r="G121" s="354"/>
      <c r="H121" s="595"/>
      <c r="Q121" s="52"/>
      <c r="R121" s="44"/>
    </row>
    <row r="122" spans="1:18" s="29" customFormat="1" ht="31.2">
      <c r="A122" s="618" t="s">
        <v>0</v>
      </c>
      <c r="B122" s="458"/>
      <c r="C122" s="458"/>
      <c r="D122" s="549" t="s">
        <v>17</v>
      </c>
      <c r="E122" s="459" t="s">
        <v>80</v>
      </c>
      <c r="F122" s="460" t="s">
        <v>301</v>
      </c>
      <c r="G122" s="460" t="s">
        <v>302</v>
      </c>
      <c r="H122" s="549" t="s">
        <v>52</v>
      </c>
      <c r="Q122" s="52"/>
      <c r="R122" s="44"/>
    </row>
    <row r="123" spans="1:18" s="29" customFormat="1" ht="15.6">
      <c r="A123" s="79" t="s">
        <v>225</v>
      </c>
      <c r="B123" s="79" t="s">
        <v>299</v>
      </c>
      <c r="C123" s="80"/>
      <c r="D123" s="81"/>
      <c r="E123" s="81"/>
      <c r="F123" s="81"/>
      <c r="G123" s="81"/>
      <c r="H123" s="610"/>
      <c r="Q123" s="52"/>
      <c r="R123" s="44"/>
    </row>
    <row r="124" spans="1:18" s="29" customFormat="1" ht="15.6">
      <c r="A124" s="82">
        <v>7</v>
      </c>
      <c r="B124" s="82" t="s">
        <v>304</v>
      </c>
      <c r="C124" s="83"/>
      <c r="D124" s="84"/>
      <c r="E124" s="84"/>
      <c r="F124" s="84"/>
      <c r="G124" s="84"/>
      <c r="H124" s="611"/>
      <c r="Q124" s="52"/>
      <c r="R124" s="44"/>
    </row>
    <row r="125" spans="1:18" s="29" customFormat="1" ht="15" customHeight="1">
      <c r="A125" s="543">
        <v>7.1</v>
      </c>
      <c r="B125" s="858" t="s">
        <v>271</v>
      </c>
      <c r="C125" s="840"/>
      <c r="D125" s="94">
        <f>VLOOKUP(A125,'Point Allocation'!$A$20:$J$41,MATCH(A7,'Point Allocation'!$A$20:$J$20,0),0)</f>
        <v>10</v>
      </c>
      <c r="E125" s="85">
        <f>F96</f>
        <v>0</v>
      </c>
      <c r="F125" s="85">
        <f>F32</f>
        <v>0</v>
      </c>
      <c r="G125" s="87">
        <f>IFERROR(SUM(E125:F125)/SUM($E$143:$F$143),0)</f>
        <v>0</v>
      </c>
      <c r="H125" s="612">
        <f>D125*G125</f>
        <v>0</v>
      </c>
      <c r="Q125" s="52"/>
      <c r="R125" s="44"/>
    </row>
    <row r="126" spans="1:18" s="29" customFormat="1" ht="15.6">
      <c r="A126" s="88">
        <v>8</v>
      </c>
      <c r="B126" s="88" t="s">
        <v>305</v>
      </c>
      <c r="C126" s="89"/>
      <c r="D126" s="90"/>
      <c r="E126" s="91"/>
      <c r="F126" s="91"/>
      <c r="G126" s="92"/>
      <c r="H126" s="613"/>
      <c r="Q126" s="52"/>
      <c r="R126" s="44"/>
    </row>
    <row r="127" spans="1:18" s="29" customFormat="1">
      <c r="A127" s="814">
        <v>8.1</v>
      </c>
      <c r="B127" s="822" t="s">
        <v>303</v>
      </c>
      <c r="C127" s="824"/>
      <c r="D127" s="921">
        <f>VLOOKUP(A127,'Point Allocation'!$A$20:$J$41,MATCH(A7,'Point Allocation'!$A$20:$J$20,0),0)</f>
        <v>8</v>
      </c>
      <c r="E127" s="945">
        <f>F98</f>
        <v>0</v>
      </c>
      <c r="F127" s="946"/>
      <c r="G127" s="983">
        <f>IFERROR(SUM(E127:F128)/SUM($E$143:$F$143),0)</f>
        <v>0</v>
      </c>
      <c r="H127" s="819">
        <f>D127*G127</f>
        <v>0</v>
      </c>
      <c r="Q127" s="52"/>
      <c r="R127" s="44"/>
    </row>
    <row r="128" spans="1:18" s="29" customFormat="1" ht="15.6">
      <c r="A128" s="815"/>
      <c r="B128" s="816" t="s">
        <v>119</v>
      </c>
      <c r="C128" s="818"/>
      <c r="D128" s="922"/>
      <c r="E128" s="945"/>
      <c r="F128" s="946"/>
      <c r="G128" s="984"/>
      <c r="H128" s="819"/>
      <c r="Q128" s="52"/>
      <c r="R128" s="44"/>
    </row>
    <row r="129" spans="1:18" s="29" customFormat="1">
      <c r="A129" s="543">
        <v>8.1999999999999993</v>
      </c>
      <c r="B129" s="825" t="s">
        <v>606</v>
      </c>
      <c r="C129" s="827"/>
      <c r="D129" s="94">
        <f>VLOOKUP(A129,'Point Allocation'!$A$20:$J$41,MATCH(A7,'Point Allocation'!$A$20:$J$20,0),0)</f>
        <v>8</v>
      </c>
      <c r="E129" s="174">
        <f>F100</f>
        <v>0</v>
      </c>
      <c r="F129" s="555"/>
      <c r="G129" s="87">
        <f>IFERROR(SUM(E129:F129)/SUM($E$143:$F$143),0)</f>
        <v>0</v>
      </c>
      <c r="H129" s="94">
        <f>D129*G129</f>
        <v>0</v>
      </c>
      <c r="Q129" s="52"/>
      <c r="R129" s="44"/>
    </row>
    <row r="130" spans="1:18" s="29" customFormat="1" ht="15.6">
      <c r="A130" s="82">
        <v>9</v>
      </c>
      <c r="B130" s="82" t="s">
        <v>306</v>
      </c>
      <c r="C130" s="89"/>
      <c r="D130" s="91"/>
      <c r="E130" s="91"/>
      <c r="F130" s="91"/>
      <c r="G130" s="92"/>
      <c r="H130" s="614"/>
      <c r="Q130" s="52"/>
      <c r="R130" s="44"/>
    </row>
    <row r="131" spans="1:18" s="29" customFormat="1">
      <c r="A131" s="814">
        <v>9.1</v>
      </c>
      <c r="B131" s="822" t="s">
        <v>339</v>
      </c>
      <c r="C131" s="824"/>
      <c r="D131" s="921">
        <f>VLOOKUP(A131,'Point Allocation'!$A$20:$J$41,MATCH(A7,'Point Allocation'!$A$20:$J$20,0),0)</f>
        <v>6</v>
      </c>
      <c r="E131" s="946"/>
      <c r="F131" s="946"/>
      <c r="G131" s="821">
        <f>IFERROR(SUM(E131:F132)/SUM($E$143:$F$143),0)</f>
        <v>0</v>
      </c>
      <c r="H131" s="819">
        <f>D131*G131</f>
        <v>0</v>
      </c>
      <c r="Q131" s="52"/>
      <c r="R131" s="44"/>
    </row>
    <row r="132" spans="1:18" s="29" customFormat="1" ht="15.6">
      <c r="A132" s="815"/>
      <c r="B132" s="816" t="s">
        <v>5</v>
      </c>
      <c r="C132" s="818"/>
      <c r="D132" s="922"/>
      <c r="E132" s="946"/>
      <c r="F132" s="946"/>
      <c r="G132" s="821"/>
      <c r="H132" s="819"/>
      <c r="Q132" s="52"/>
      <c r="R132" s="44"/>
    </row>
    <row r="133" spans="1:18" s="29" customFormat="1" ht="15.6">
      <c r="A133" s="82">
        <v>10</v>
      </c>
      <c r="B133" s="82" t="s">
        <v>308</v>
      </c>
      <c r="C133" s="89"/>
      <c r="D133" s="91"/>
      <c r="E133" s="91"/>
      <c r="F133" s="91"/>
      <c r="G133" s="92"/>
      <c r="H133" s="614"/>
      <c r="Q133" s="52"/>
      <c r="R133" s="44"/>
    </row>
    <row r="134" spans="1:18" s="29" customFormat="1" ht="15" customHeight="1">
      <c r="A134" s="541">
        <v>10.1</v>
      </c>
      <c r="B134" s="822" t="s">
        <v>340</v>
      </c>
      <c r="C134" s="824"/>
      <c r="D134" s="94">
        <f>VLOOKUP(A134,'Point Allocation'!$A$20:$J$41,MATCH(A7,'Point Allocation'!$A$20:$J$20,0),0)</f>
        <v>4</v>
      </c>
      <c r="E134" s="555"/>
      <c r="F134" s="555"/>
      <c r="G134" s="87">
        <f>IFERROR(SUM(E134:F134)/SUM($E$143:$F$143),0)</f>
        <v>0</v>
      </c>
      <c r="H134" s="94">
        <f>D134*G134</f>
        <v>0</v>
      </c>
      <c r="Q134" s="52"/>
      <c r="R134" s="44"/>
    </row>
    <row r="135" spans="1:18" s="29" customFormat="1" ht="32.25" customHeight="1">
      <c r="A135" s="589">
        <v>10.199999999999999</v>
      </c>
      <c r="B135" s="825" t="s">
        <v>318</v>
      </c>
      <c r="C135" s="827"/>
      <c r="D135" s="94">
        <f>VLOOKUP(A135,'Point Allocation'!$A$20:$J$41,MATCH(A7,'Point Allocation'!$A$20:$J$20,0),0)</f>
        <v>4</v>
      </c>
      <c r="E135" s="173"/>
      <c r="F135" s="555"/>
      <c r="G135" s="539">
        <f>IFERROR(SUM(E135:F135)/SUM($E$143:$F$143),0)</f>
        <v>0</v>
      </c>
      <c r="H135" s="94">
        <f>D135*G135</f>
        <v>0</v>
      </c>
      <c r="Q135" s="52"/>
      <c r="R135" s="44"/>
    </row>
    <row r="136" spans="1:18" s="29" customFormat="1" ht="15.6">
      <c r="A136" s="95" t="s">
        <v>226</v>
      </c>
      <c r="B136" s="95" t="s">
        <v>248</v>
      </c>
      <c r="C136" s="96"/>
      <c r="D136" s="98"/>
      <c r="E136" s="99"/>
      <c r="F136" s="99"/>
      <c r="G136" s="100"/>
      <c r="H136" s="615"/>
      <c r="Q136" s="52"/>
      <c r="R136" s="44"/>
    </row>
    <row r="137" spans="1:18" s="29" customFormat="1" ht="15.6">
      <c r="A137" s="82">
        <v>11</v>
      </c>
      <c r="B137" s="82" t="s">
        <v>249</v>
      </c>
      <c r="C137" s="89"/>
      <c r="D137" s="91"/>
      <c r="E137" s="91"/>
      <c r="F137" s="91"/>
      <c r="G137" s="92"/>
      <c r="H137" s="614"/>
      <c r="Q137" s="52"/>
      <c r="R137" s="44"/>
    </row>
    <row r="138" spans="1:18" s="29" customFormat="1">
      <c r="A138" s="541">
        <v>11.1</v>
      </c>
      <c r="B138" s="822" t="s">
        <v>642</v>
      </c>
      <c r="C138" s="824"/>
      <c r="D138" s="94">
        <f>VLOOKUP(A138,'Point Allocation'!$A$20:$J$41,MATCH(A7,'Point Allocation'!$A$20:$J$20,0),0)</f>
        <v>2</v>
      </c>
      <c r="E138" s="555"/>
      <c r="F138" s="555"/>
      <c r="G138" s="539">
        <f>IFERROR(SUM(E138:F138)/SUM($E$143:$F$143),0)</f>
        <v>0</v>
      </c>
      <c r="H138" s="94">
        <f t="shared" ref="H138:H142" si="2">D138*G138</f>
        <v>0</v>
      </c>
      <c r="Q138" s="52"/>
      <c r="R138" s="44"/>
    </row>
    <row r="139" spans="1:18" s="29" customFormat="1">
      <c r="A139" s="619">
        <v>11.2</v>
      </c>
      <c r="B139" s="848" t="s">
        <v>310</v>
      </c>
      <c r="C139" s="849"/>
      <c r="D139" s="174">
        <f>VLOOKUP(A138,'Point Allocation'!$A$20:$J$41,MATCH(A7,'Point Allocation'!$A$20:$J$20,0),0)</f>
        <v>2</v>
      </c>
      <c r="E139" s="555"/>
      <c r="F139" s="555"/>
      <c r="G139" s="539">
        <f>IFERROR(SUM(E139:F139)/SUM($E$143:$F$143),0)</f>
        <v>0</v>
      </c>
      <c r="H139" s="94">
        <f t="shared" si="2"/>
        <v>0</v>
      </c>
      <c r="Q139" s="52"/>
      <c r="R139" s="44"/>
    </row>
    <row r="140" spans="1:18" s="29" customFormat="1">
      <c r="A140" s="541">
        <v>11.3</v>
      </c>
      <c r="B140" s="848" t="s">
        <v>317</v>
      </c>
      <c r="C140" s="849"/>
      <c r="D140" s="94">
        <f>VLOOKUP(A140,'Point Allocation'!$A$20:$J$41,MATCH(A7,'Point Allocation'!$A$20:$J$20,0),0)</f>
        <v>0</v>
      </c>
      <c r="E140" s="555"/>
      <c r="F140" s="555"/>
      <c r="G140" s="539">
        <f>IFERROR(SUM(E140:F140)/SUM($E$143:$F$143),0)</f>
        <v>0</v>
      </c>
      <c r="H140" s="94">
        <f t="shared" si="2"/>
        <v>0</v>
      </c>
      <c r="Q140" s="52"/>
      <c r="R140" s="44"/>
    </row>
    <row r="141" spans="1:18" s="29" customFormat="1">
      <c r="A141" s="620">
        <v>11.4</v>
      </c>
      <c r="B141" s="968"/>
      <c r="C141" s="969"/>
      <c r="D141" s="538"/>
      <c r="E141" s="555"/>
      <c r="F141" s="555"/>
      <c r="G141" s="539">
        <f>IFERROR(SUM(E141:F141)/SUM($E$143:$F$143),0)</f>
        <v>0</v>
      </c>
      <c r="H141" s="94">
        <f t="shared" si="2"/>
        <v>0</v>
      </c>
      <c r="Q141" s="52"/>
      <c r="R141" s="44"/>
    </row>
    <row r="142" spans="1:18" s="29" customFormat="1">
      <c r="A142" s="620">
        <v>11.5</v>
      </c>
      <c r="B142" s="968"/>
      <c r="C142" s="969"/>
      <c r="D142" s="538"/>
      <c r="E142" s="555"/>
      <c r="F142" s="555"/>
      <c r="G142" s="539">
        <f>IFERROR(SUM(E142:F142)/SUM($E$143:$F$143),0)</f>
        <v>0</v>
      </c>
      <c r="H142" s="94">
        <f t="shared" si="2"/>
        <v>0</v>
      </c>
      <c r="Q142" s="52"/>
      <c r="R142" s="44"/>
    </row>
    <row r="143" spans="1:18" s="29" customFormat="1" ht="15.6">
      <c r="A143" s="592"/>
      <c r="B143" s="307"/>
      <c r="C143" s="305"/>
      <c r="D143" s="312" t="s">
        <v>131</v>
      </c>
      <c r="E143" s="315">
        <f>SUM(E125:E142)</f>
        <v>0</v>
      </c>
      <c r="F143" s="317">
        <f>SUM(F125:F142)</f>
        <v>0</v>
      </c>
      <c r="G143" s="318">
        <f>SUM(G125:G142)</f>
        <v>0</v>
      </c>
      <c r="H143" s="621">
        <f>IFERROR(SUM(H125:H142),0)</f>
        <v>0</v>
      </c>
      <c r="Q143" s="52"/>
      <c r="R143" s="44"/>
    </row>
    <row r="144" spans="1:18" s="29" customFormat="1">
      <c r="A144" s="622"/>
      <c r="B144" s="307"/>
      <c r="C144" s="305"/>
      <c r="D144" s="305"/>
      <c r="E144" s="305"/>
      <c r="F144" s="305"/>
      <c r="G144" s="314"/>
      <c r="H144" s="571"/>
      <c r="Q144" s="52"/>
      <c r="R144" s="44"/>
    </row>
    <row r="145" spans="1:18" s="29" customFormat="1" ht="46.8">
      <c r="A145" s="970" t="s">
        <v>0</v>
      </c>
      <c r="B145" s="971"/>
      <c r="C145" s="163"/>
      <c r="D145" s="550" t="s">
        <v>57</v>
      </c>
      <c r="E145" s="550" t="s">
        <v>58</v>
      </c>
      <c r="F145" s="956" t="s">
        <v>59</v>
      </c>
      <c r="G145" s="956"/>
      <c r="H145" s="623" t="s">
        <v>62</v>
      </c>
      <c r="J145" s="103" t="s">
        <v>71</v>
      </c>
      <c r="K145" s="103">
        <v>1</v>
      </c>
      <c r="L145" s="103">
        <v>2</v>
      </c>
      <c r="M145" s="103">
        <v>3</v>
      </c>
      <c r="N145" s="103">
        <v>4</v>
      </c>
      <c r="O145" s="103">
        <v>5</v>
      </c>
      <c r="P145" s="103">
        <v>6</v>
      </c>
      <c r="Q145" s="52"/>
      <c r="R145" s="44"/>
    </row>
    <row r="146" spans="1:18" s="29" customFormat="1" ht="15.6">
      <c r="A146" s="126" t="s">
        <v>227</v>
      </c>
      <c r="B146" s="126" t="s">
        <v>139</v>
      </c>
      <c r="C146" s="162"/>
      <c r="D146" s="56"/>
      <c r="E146" s="56"/>
      <c r="F146" s="57"/>
      <c r="G146" s="104"/>
      <c r="H146" s="624"/>
      <c r="J146" s="103" t="s">
        <v>73</v>
      </c>
      <c r="K146" s="103" t="s">
        <v>72</v>
      </c>
      <c r="L146" s="103">
        <v>1</v>
      </c>
      <c r="M146" s="103">
        <v>2</v>
      </c>
      <c r="N146" s="103">
        <v>3</v>
      </c>
      <c r="O146" s="103">
        <v>4</v>
      </c>
      <c r="P146" s="103">
        <v>4</v>
      </c>
      <c r="Q146" s="52"/>
      <c r="R146" s="44"/>
    </row>
    <row r="147" spans="1:18" s="29" customFormat="1">
      <c r="A147" s="625" t="s">
        <v>228</v>
      </c>
      <c r="B147" s="386" t="s">
        <v>394</v>
      </c>
      <c r="C147" s="164" t="s">
        <v>55</v>
      </c>
      <c r="D147" s="820"/>
      <c r="E147" s="820"/>
      <c r="F147" s="949" t="str">
        <f>IF(D147&gt;9,D147/E147," ")</f>
        <v xml:space="preserve"> </v>
      </c>
      <c r="G147" s="949"/>
      <c r="H147" s="94">
        <f>IF(D147="",0,IF(D147&lt;9,2,IF((D147/E147)=0,2,IF((D147/E147)&lt;10%,1.5,IF((D147/E147)&lt;15%,1,IF((D147/E147)&lt;20%,0.5,0))))))</f>
        <v>0</v>
      </c>
      <c r="J147" s="103" t="s">
        <v>74</v>
      </c>
      <c r="K147" s="103" t="s">
        <v>72</v>
      </c>
      <c r="L147" s="103">
        <v>5</v>
      </c>
      <c r="M147" s="103">
        <v>15</v>
      </c>
      <c r="N147" s="103">
        <v>25</v>
      </c>
      <c r="O147" s="103">
        <v>35</v>
      </c>
      <c r="P147" s="103">
        <v>35</v>
      </c>
      <c r="Q147" s="52"/>
      <c r="R147" s="44"/>
    </row>
    <row r="148" spans="1:18" s="29" customFormat="1">
      <c r="A148" s="625" t="s">
        <v>229</v>
      </c>
      <c r="B148" s="386" t="s">
        <v>395</v>
      </c>
      <c r="C148" s="164" t="s">
        <v>56</v>
      </c>
      <c r="D148" s="820"/>
      <c r="E148" s="820"/>
      <c r="F148" s="950"/>
      <c r="G148" s="950"/>
      <c r="H148" s="94">
        <f>IF(E147="",0,IF(E147&lt;15,HLOOKUP(F148,J145:P152,4,FALSE),IF(E147&lt;45,HLOOKUP(F148,J145:P152,5,FALSE),IF(E147&lt;90,HLOOKUP(F148,J145:P152,6,FALSE),IF(E147&lt;135,HLOOKUP(F148,J145:P152,7,FALSE),IF(E147&gt;=135,HLOOKUP(F148,J145:P152,8,FALSE),3))))))</f>
        <v>0</v>
      </c>
      <c r="I148" s="54"/>
      <c r="J148" s="103" t="s">
        <v>75</v>
      </c>
      <c r="K148" s="103">
        <v>3</v>
      </c>
      <c r="L148" s="103">
        <v>3</v>
      </c>
      <c r="M148" s="103">
        <v>3</v>
      </c>
      <c r="N148" s="103">
        <v>2.5</v>
      </c>
      <c r="O148" s="103">
        <v>1.5</v>
      </c>
      <c r="P148" s="103">
        <v>0</v>
      </c>
      <c r="Q148" s="52"/>
      <c r="R148" s="44"/>
    </row>
    <row r="149" spans="1:18" s="29" customFormat="1">
      <c r="A149" s="592"/>
      <c r="B149" s="307"/>
      <c r="C149" s="314"/>
      <c r="D149" s="319"/>
      <c r="E149" s="319"/>
      <c r="F149" s="319"/>
      <c r="G149" s="319"/>
      <c r="H149" s="626"/>
      <c r="I149" s="54"/>
      <c r="J149" s="103" t="s">
        <v>76</v>
      </c>
      <c r="K149" s="103">
        <v>3</v>
      </c>
      <c r="L149" s="103">
        <v>3</v>
      </c>
      <c r="M149" s="103">
        <v>2.5</v>
      </c>
      <c r="N149" s="103">
        <v>1.5</v>
      </c>
      <c r="O149" s="103">
        <v>1</v>
      </c>
      <c r="P149" s="103">
        <v>0</v>
      </c>
      <c r="Q149" s="52"/>
      <c r="R149" s="44"/>
    </row>
    <row r="150" spans="1:18" s="29" customFormat="1" ht="15.6">
      <c r="A150" s="592"/>
      <c r="B150" s="320"/>
      <c r="C150" s="314"/>
      <c r="D150" s="314"/>
      <c r="E150" s="314"/>
      <c r="F150" s="305"/>
      <c r="G150" s="321"/>
      <c r="H150" s="627"/>
      <c r="I150" s="54"/>
      <c r="J150" s="103" t="s">
        <v>77</v>
      </c>
      <c r="K150" s="103">
        <v>3</v>
      </c>
      <c r="L150" s="103">
        <v>2.5</v>
      </c>
      <c r="M150" s="103">
        <v>1.5</v>
      </c>
      <c r="N150" s="103">
        <v>1</v>
      </c>
      <c r="O150" s="103">
        <v>0</v>
      </c>
      <c r="P150" s="103">
        <v>0</v>
      </c>
      <c r="Q150" s="52"/>
      <c r="R150" s="44"/>
    </row>
    <row r="151" spans="1:18" s="29" customFormat="1" ht="15.75" customHeight="1">
      <c r="A151" s="972" t="s">
        <v>0</v>
      </c>
      <c r="B151" s="973"/>
      <c r="C151" s="888"/>
      <c r="D151" s="974" t="s">
        <v>4</v>
      </c>
      <c r="E151" s="951" t="s">
        <v>1</v>
      </c>
      <c r="F151" s="952"/>
      <c r="G151" s="953" t="s">
        <v>21</v>
      </c>
      <c r="H151" s="947" t="s">
        <v>62</v>
      </c>
      <c r="I151" s="54"/>
      <c r="J151" s="103" t="s">
        <v>78</v>
      </c>
      <c r="K151" s="103">
        <v>3</v>
      </c>
      <c r="L151" s="103">
        <v>1.5</v>
      </c>
      <c r="M151" s="103">
        <v>1</v>
      </c>
      <c r="N151" s="103">
        <v>0</v>
      </c>
      <c r="O151" s="103">
        <v>0</v>
      </c>
      <c r="P151" s="103">
        <v>0</v>
      </c>
      <c r="Q151" s="52"/>
      <c r="R151" s="44"/>
    </row>
    <row r="152" spans="1:18" s="29" customFormat="1" ht="30" customHeight="1">
      <c r="A152" s="867"/>
      <c r="B152" s="868"/>
      <c r="C152" s="870"/>
      <c r="D152" s="952"/>
      <c r="E152" s="550" t="s">
        <v>64</v>
      </c>
      <c r="F152" s="550" t="s">
        <v>65</v>
      </c>
      <c r="G152" s="954"/>
      <c r="H152" s="948"/>
      <c r="I152" s="54"/>
      <c r="J152" s="103" t="s">
        <v>79</v>
      </c>
      <c r="K152" s="103">
        <v>3</v>
      </c>
      <c r="L152" s="103">
        <v>1</v>
      </c>
      <c r="M152" s="103">
        <v>0</v>
      </c>
      <c r="N152" s="103">
        <v>0</v>
      </c>
      <c r="O152" s="103">
        <v>0</v>
      </c>
      <c r="P152" s="103">
        <v>0</v>
      </c>
      <c r="Q152" s="52"/>
      <c r="R152" s="44"/>
    </row>
    <row r="153" spans="1:18" s="29" customFormat="1" ht="15.6">
      <c r="A153" s="105" t="s">
        <v>230</v>
      </c>
      <c r="B153" s="105" t="s">
        <v>516</v>
      </c>
      <c r="C153" s="106"/>
      <c r="D153" s="106"/>
      <c r="E153" s="106"/>
      <c r="F153" s="110"/>
      <c r="G153" s="111"/>
      <c r="H153" s="628"/>
      <c r="J153" s="103" t="s">
        <v>73</v>
      </c>
      <c r="K153" s="103" t="s">
        <v>72</v>
      </c>
      <c r="L153" s="103">
        <v>1</v>
      </c>
      <c r="M153" s="103">
        <v>2</v>
      </c>
      <c r="N153" s="103">
        <v>3</v>
      </c>
      <c r="O153" s="103">
        <v>4</v>
      </c>
      <c r="P153" s="103">
        <v>4</v>
      </c>
      <c r="Q153" s="52"/>
      <c r="R153" s="44"/>
    </row>
    <row r="154" spans="1:18" s="29" customFormat="1" ht="15.6">
      <c r="A154" s="149" t="s">
        <v>231</v>
      </c>
      <c r="B154" s="149" t="s">
        <v>517</v>
      </c>
      <c r="C154" s="150"/>
      <c r="D154" s="151"/>
      <c r="E154" s="152"/>
      <c r="F154" s="152"/>
      <c r="G154" s="153"/>
      <c r="H154" s="629"/>
      <c r="I154" s="54"/>
      <c r="Q154" s="52"/>
      <c r="R154" s="44"/>
    </row>
    <row r="155" spans="1:18" s="29" customFormat="1">
      <c r="A155" s="630" t="s">
        <v>232</v>
      </c>
      <c r="B155" s="825" t="s">
        <v>612</v>
      </c>
      <c r="C155" s="827"/>
      <c r="D155" s="522" t="s">
        <v>50</v>
      </c>
      <c r="E155" s="523">
        <v>2</v>
      </c>
      <c r="F155" s="523">
        <v>3</v>
      </c>
      <c r="G155" s="27"/>
      <c r="H155" s="434">
        <f t="shared" ref="H155:H166" si="3">IF(G155&gt;=80%,F155,IF(G155&lt;65%,0,E155))</f>
        <v>0</v>
      </c>
      <c r="Q155" s="52"/>
      <c r="R155" s="44"/>
    </row>
    <row r="156" spans="1:18" s="29" customFormat="1">
      <c r="A156" s="630" t="s">
        <v>233</v>
      </c>
      <c r="B156" s="917" t="s">
        <v>613</v>
      </c>
      <c r="C156" s="843"/>
      <c r="D156" s="483" t="s">
        <v>50</v>
      </c>
      <c r="E156" s="434">
        <v>2</v>
      </c>
      <c r="F156" s="434">
        <v>3</v>
      </c>
      <c r="G156" s="553"/>
      <c r="H156" s="434">
        <f>IF(G156&gt;=80%,F156,IF(G156&lt;65%,0,E156))</f>
        <v>0</v>
      </c>
      <c r="Q156" s="52"/>
      <c r="R156" s="44"/>
    </row>
    <row r="157" spans="1:18" s="29" customFormat="1">
      <c r="A157" s="631" t="s">
        <v>234</v>
      </c>
      <c r="B157" s="917" t="s">
        <v>563</v>
      </c>
      <c r="C157" s="843"/>
      <c r="D157" s="524" t="s">
        <v>50</v>
      </c>
      <c r="E157" s="554">
        <v>2</v>
      </c>
      <c r="F157" s="434">
        <v>2.5</v>
      </c>
      <c r="G157" s="551"/>
      <c r="H157" s="434">
        <f t="shared" ref="H157" si="4">IF(G157&gt;=80%,F157,IF(G157&lt;65%,0,E157))</f>
        <v>0</v>
      </c>
      <c r="Q157" s="52"/>
      <c r="R157" s="44"/>
    </row>
    <row r="158" spans="1:18" s="29" customFormat="1">
      <c r="A158" s="631" t="s">
        <v>235</v>
      </c>
      <c r="B158" s="917" t="s">
        <v>623</v>
      </c>
      <c r="C158" s="843"/>
      <c r="D158" s="524" t="s">
        <v>50</v>
      </c>
      <c r="E158" s="554">
        <v>2</v>
      </c>
      <c r="F158" s="434">
        <v>2.5</v>
      </c>
      <c r="G158" s="551"/>
      <c r="H158" s="434">
        <f>IF(G158&gt;=80%,F158,IF(G158&lt;65%,0,E158))</f>
        <v>0</v>
      </c>
      <c r="Q158" s="52"/>
      <c r="R158" s="44"/>
    </row>
    <row r="159" spans="1:18" s="29" customFormat="1">
      <c r="A159" s="630" t="s">
        <v>371</v>
      </c>
      <c r="B159" s="875" t="s">
        <v>379</v>
      </c>
      <c r="C159" s="876"/>
      <c r="D159" s="530" t="s">
        <v>50</v>
      </c>
      <c r="E159" s="523">
        <v>2</v>
      </c>
      <c r="F159" s="523">
        <v>2.5</v>
      </c>
      <c r="G159" s="529"/>
      <c r="H159" s="434">
        <f>IF(G159&gt;=80%,F159,IF(G159&lt;65%,0,E159))</f>
        <v>0</v>
      </c>
      <c r="Q159" s="52"/>
      <c r="R159" s="44"/>
    </row>
    <row r="160" spans="1:18" s="29" customFormat="1" ht="30">
      <c r="A160" s="871" t="s">
        <v>519</v>
      </c>
      <c r="B160" s="873" t="s">
        <v>397</v>
      </c>
      <c r="C160" s="940"/>
      <c r="D160" s="524" t="s">
        <v>402</v>
      </c>
      <c r="E160" s="964">
        <v>2.5</v>
      </c>
      <c r="F160" s="965"/>
      <c r="G160" s="933"/>
      <c r="H160" s="931">
        <f>IF(G160&gt;=35,E161,IF(G160&gt;=30,E160,0))</f>
        <v>0</v>
      </c>
      <c r="Q160" s="52"/>
      <c r="R160" s="44"/>
    </row>
    <row r="161" spans="1:18" s="29" customFormat="1" ht="30">
      <c r="A161" s="872"/>
      <c r="B161" s="941"/>
      <c r="C161" s="942"/>
      <c r="D161" s="524" t="s">
        <v>396</v>
      </c>
      <c r="E161" s="964">
        <v>3</v>
      </c>
      <c r="F161" s="965"/>
      <c r="G161" s="934"/>
      <c r="H161" s="932"/>
      <c r="Q161" s="52"/>
      <c r="R161" s="44"/>
    </row>
    <row r="162" spans="1:18" s="29" customFormat="1" ht="31.5" customHeight="1">
      <c r="A162" s="871" t="s">
        <v>520</v>
      </c>
      <c r="B162" s="873" t="s">
        <v>398</v>
      </c>
      <c r="C162" s="874"/>
      <c r="D162" s="524" t="s">
        <v>333</v>
      </c>
      <c r="E162" s="962">
        <v>4</v>
      </c>
      <c r="F162" s="963"/>
      <c r="G162" s="933"/>
      <c r="H162" s="931">
        <f>IF(G162&gt;=80,E162,IF(G162&gt;=70,E163,IF(G162&gt;=60,E164,IF(G162&gt;=50,E165,0))))</f>
        <v>0</v>
      </c>
      <c r="Q162" s="52"/>
      <c r="R162" s="44"/>
    </row>
    <row r="163" spans="1:18" s="29" customFormat="1" ht="31.5" customHeight="1">
      <c r="A163" s="975"/>
      <c r="B163" s="929"/>
      <c r="C163" s="930"/>
      <c r="D163" s="524" t="s">
        <v>334</v>
      </c>
      <c r="E163" s="962">
        <v>3</v>
      </c>
      <c r="F163" s="963"/>
      <c r="G163" s="935"/>
      <c r="H163" s="936"/>
      <c r="Q163" s="52"/>
      <c r="R163" s="44"/>
    </row>
    <row r="164" spans="1:18" s="29" customFormat="1" ht="31.5" customHeight="1">
      <c r="A164" s="975"/>
      <c r="B164" s="929"/>
      <c r="C164" s="930"/>
      <c r="D164" s="524" t="s">
        <v>368</v>
      </c>
      <c r="E164" s="962">
        <v>2</v>
      </c>
      <c r="F164" s="963"/>
      <c r="G164" s="935"/>
      <c r="H164" s="936"/>
      <c r="Q164" s="52"/>
      <c r="R164" s="44"/>
    </row>
    <row r="165" spans="1:18" s="29" customFormat="1" ht="31.5" customHeight="1">
      <c r="A165" s="872"/>
      <c r="B165" s="875"/>
      <c r="C165" s="876"/>
      <c r="D165" s="524" t="s">
        <v>369</v>
      </c>
      <c r="E165" s="962">
        <v>1</v>
      </c>
      <c r="F165" s="963"/>
      <c r="G165" s="934"/>
      <c r="H165" s="932"/>
      <c r="Q165" s="52"/>
      <c r="R165" s="44"/>
    </row>
    <row r="166" spans="1:18" s="29" customFormat="1" ht="31.5" customHeight="1">
      <c r="A166" s="871" t="s">
        <v>643</v>
      </c>
      <c r="B166" s="873" t="s">
        <v>614</v>
      </c>
      <c r="C166" s="874"/>
      <c r="D166" s="524" t="s">
        <v>66</v>
      </c>
      <c r="E166" s="525">
        <v>3.5</v>
      </c>
      <c r="F166" s="525">
        <v>4</v>
      </c>
      <c r="G166" s="27"/>
      <c r="H166" s="434">
        <f t="shared" si="3"/>
        <v>0</v>
      </c>
      <c r="Q166" s="52"/>
      <c r="R166" s="44"/>
    </row>
    <row r="167" spans="1:18" s="29" customFormat="1" ht="30">
      <c r="A167" s="872"/>
      <c r="B167" s="875"/>
      <c r="C167" s="876"/>
      <c r="D167" s="524" t="s">
        <v>67</v>
      </c>
      <c r="E167" s="525" t="s">
        <v>49</v>
      </c>
      <c r="F167" s="525">
        <v>3</v>
      </c>
      <c r="G167" s="27"/>
      <c r="H167" s="434">
        <f>IF(G167&gt;=80%,F167,0)</f>
        <v>0</v>
      </c>
      <c r="Q167" s="52"/>
      <c r="R167" s="44"/>
    </row>
    <row r="168" spans="1:18" s="29" customFormat="1" ht="15.6">
      <c r="A168" s="82">
        <v>14</v>
      </c>
      <c r="B168" s="470" t="s">
        <v>515</v>
      </c>
      <c r="C168" s="89"/>
      <c r="D168" s="151"/>
      <c r="E168" s="152"/>
      <c r="F168" s="152"/>
      <c r="G168" s="153"/>
      <c r="H168" s="629"/>
      <c r="Q168" s="52"/>
      <c r="R168" s="44"/>
    </row>
    <row r="169" spans="1:18" s="29" customFormat="1" ht="31.95" customHeight="1">
      <c r="A169" s="630" t="s">
        <v>236</v>
      </c>
      <c r="B169" s="875" t="s">
        <v>648</v>
      </c>
      <c r="C169" s="876"/>
      <c r="D169" s="527" t="s">
        <v>50</v>
      </c>
      <c r="E169" s="528">
        <v>2</v>
      </c>
      <c r="F169" s="528">
        <v>2.5</v>
      </c>
      <c r="G169" s="529"/>
      <c r="H169" s="9">
        <f>IF(G169&gt;=80%,F169,IF(G169&lt;65%,0,E169))</f>
        <v>0</v>
      </c>
      <c r="Q169" s="52"/>
      <c r="R169" s="44"/>
    </row>
    <row r="170" spans="1:18" s="29" customFormat="1">
      <c r="A170" s="630" t="s">
        <v>237</v>
      </c>
      <c r="B170" s="875" t="s">
        <v>615</v>
      </c>
      <c r="C170" s="876"/>
      <c r="D170" s="530" t="s">
        <v>50</v>
      </c>
      <c r="E170" s="523" t="s">
        <v>49</v>
      </c>
      <c r="F170" s="523">
        <v>2.5</v>
      </c>
      <c r="G170" s="526">
        <f>F23</f>
        <v>0</v>
      </c>
      <c r="H170" s="434">
        <f>IF(G170&gt;=80%,F170,0)</f>
        <v>0</v>
      </c>
      <c r="Q170" s="52"/>
      <c r="R170" s="44"/>
    </row>
    <row r="171" spans="1:18" s="29" customFormat="1" ht="32.25" customHeight="1">
      <c r="A171" s="630" t="s">
        <v>378</v>
      </c>
      <c r="B171" s="875" t="s">
        <v>617</v>
      </c>
      <c r="C171" s="876"/>
      <c r="D171" s="530" t="s">
        <v>50</v>
      </c>
      <c r="E171" s="523">
        <v>2</v>
      </c>
      <c r="F171" s="523">
        <v>3</v>
      </c>
      <c r="G171" s="529"/>
      <c r="H171" s="434">
        <f>IF(G171&gt;=80%,F171,IF(G171&lt;65%,0,E171))</f>
        <v>0</v>
      </c>
      <c r="Q171" s="52"/>
      <c r="R171" s="44"/>
    </row>
    <row r="172" spans="1:18" s="29" customFormat="1" ht="30" customHeight="1">
      <c r="A172" s="632" t="s">
        <v>521</v>
      </c>
      <c r="B172" s="825" t="s">
        <v>616</v>
      </c>
      <c r="C172" s="827"/>
      <c r="D172" s="420" t="s">
        <v>50</v>
      </c>
      <c r="E172" s="434">
        <v>2</v>
      </c>
      <c r="F172" s="434">
        <v>2.5</v>
      </c>
      <c r="G172" s="30"/>
      <c r="H172" s="434">
        <f>IF(G172&gt;=80%,F172,IF(G172&lt;65%,0,E172))</f>
        <v>0</v>
      </c>
      <c r="Q172" s="52"/>
      <c r="R172" s="44"/>
    </row>
    <row r="173" spans="1:18" s="29" customFormat="1" ht="15.6">
      <c r="A173" s="82">
        <v>15</v>
      </c>
      <c r="B173" s="82" t="s">
        <v>259</v>
      </c>
      <c r="C173" s="89"/>
      <c r="D173" s="151"/>
      <c r="E173" s="152"/>
      <c r="F173" s="152"/>
      <c r="G173" s="153"/>
      <c r="H173" s="629"/>
      <c r="Q173" s="52"/>
      <c r="R173" s="44"/>
    </row>
    <row r="174" spans="1:18" s="29" customFormat="1">
      <c r="A174" s="877" t="s">
        <v>238</v>
      </c>
      <c r="B174" s="879" t="s">
        <v>275</v>
      </c>
      <c r="C174" s="880"/>
      <c r="D174" s="943" t="s">
        <v>50</v>
      </c>
      <c r="E174" s="828">
        <v>2.5</v>
      </c>
      <c r="F174" s="828">
        <v>4</v>
      </c>
      <c r="G174" s="957"/>
      <c r="H174" s="828">
        <f>IF(G174&gt;=80%,F174,IF(G174&lt;65%,0,E174))</f>
        <v>0</v>
      </c>
      <c r="Q174" s="52"/>
      <c r="R174" s="44"/>
    </row>
    <row r="175" spans="1:18" s="29" customFormat="1" ht="15.6">
      <c r="A175" s="878"/>
      <c r="B175" s="810" t="s">
        <v>276</v>
      </c>
      <c r="C175" s="810"/>
      <c r="D175" s="944"/>
      <c r="E175" s="829"/>
      <c r="F175" s="829"/>
      <c r="G175" s="958"/>
      <c r="H175" s="829"/>
      <c r="Q175" s="52"/>
      <c r="R175" s="44"/>
    </row>
    <row r="176" spans="1:18" s="29" customFormat="1">
      <c r="A176" s="877" t="s">
        <v>239</v>
      </c>
      <c r="B176" s="858" t="s">
        <v>137</v>
      </c>
      <c r="C176" s="840"/>
      <c r="D176" s="937" t="s">
        <v>50</v>
      </c>
      <c r="E176" s="938">
        <v>2.5</v>
      </c>
      <c r="F176" s="938">
        <v>4</v>
      </c>
      <c r="G176" s="961"/>
      <c r="H176" s="811">
        <f>IF(G176&gt;=80%,F176,IF(G176&lt;65%,0,E176))</f>
        <v>0</v>
      </c>
      <c r="Q176" s="52"/>
      <c r="R176" s="44"/>
    </row>
    <row r="177" spans="1:18" s="29" customFormat="1" ht="15.6">
      <c r="A177" s="878"/>
      <c r="B177" s="810" t="s">
        <v>119</v>
      </c>
      <c r="C177" s="810"/>
      <c r="D177" s="937"/>
      <c r="E177" s="938"/>
      <c r="F177" s="938"/>
      <c r="G177" s="961"/>
      <c r="H177" s="811"/>
      <c r="Q177" s="52"/>
      <c r="R177" s="44"/>
    </row>
    <row r="178" spans="1:18" s="29" customFormat="1" ht="15.6">
      <c r="A178" s="102">
        <v>16</v>
      </c>
      <c r="B178" s="102" t="s">
        <v>202</v>
      </c>
      <c r="C178" s="89"/>
      <c r="D178" s="89"/>
      <c r="E178" s="91"/>
      <c r="F178" s="91"/>
      <c r="G178" s="92"/>
      <c r="H178" s="614"/>
      <c r="Q178" s="59"/>
      <c r="R178" s="44"/>
    </row>
    <row r="179" spans="1:18" s="29" customFormat="1">
      <c r="A179" s="598" t="s">
        <v>241</v>
      </c>
      <c r="B179" s="765"/>
      <c r="C179" s="766"/>
      <c r="D179" s="107"/>
      <c r="E179" s="538"/>
      <c r="F179" s="538"/>
      <c r="G179" s="65"/>
      <c r="H179" s="633">
        <f>IF(G179&gt;=80%,F179,IF(G179&lt;65%,0,E179))</f>
        <v>0</v>
      </c>
      <c r="Q179" s="52"/>
      <c r="R179" s="44"/>
    </row>
    <row r="180" spans="1:18" s="29" customFormat="1">
      <c r="A180" s="598" t="s">
        <v>242</v>
      </c>
      <c r="B180" s="765"/>
      <c r="C180" s="766"/>
      <c r="D180" s="107"/>
      <c r="E180" s="538"/>
      <c r="F180" s="538"/>
      <c r="G180" s="65"/>
      <c r="H180" s="633">
        <f>IF(G180&gt;=80%,F180,IF(G180&lt;65%,0,E180))</f>
        <v>0</v>
      </c>
      <c r="Q180" s="52"/>
      <c r="R180" s="44"/>
    </row>
    <row r="181" spans="1:18" s="29" customFormat="1">
      <c r="A181" s="598" t="s">
        <v>243</v>
      </c>
      <c r="B181" s="765"/>
      <c r="C181" s="766"/>
      <c r="D181" s="107"/>
      <c r="E181" s="538"/>
      <c r="F181" s="538"/>
      <c r="G181" s="65"/>
      <c r="H181" s="633">
        <f>IF(G181&gt;=80%,F181,IF(G181&lt;65%,0,E181))</f>
        <v>0</v>
      </c>
      <c r="Q181" s="52"/>
      <c r="R181" s="44"/>
    </row>
    <row r="182" spans="1:18" s="29" customFormat="1" ht="15.6">
      <c r="A182" s="604"/>
      <c r="B182" s="307"/>
      <c r="C182" s="305"/>
      <c r="D182" s="305"/>
      <c r="E182" s="305"/>
      <c r="F182" s="309"/>
      <c r="G182" s="310" t="s">
        <v>376</v>
      </c>
      <c r="H182" s="634">
        <f>IFERROR((SUM(H147:H181)),0)</f>
        <v>0</v>
      </c>
      <c r="Q182" s="52"/>
      <c r="R182" s="44"/>
    </row>
    <row r="183" spans="1:18" s="29" customFormat="1" ht="15.6" thickBot="1">
      <c r="A183" s="594"/>
      <c r="B183" s="361"/>
      <c r="C183" s="362"/>
      <c r="D183" s="362"/>
      <c r="E183" s="362"/>
      <c r="F183" s="362"/>
      <c r="G183" s="354"/>
      <c r="H183" s="595"/>
      <c r="Q183" s="52"/>
      <c r="R183" s="44"/>
    </row>
    <row r="184" spans="1:18" s="29" customFormat="1" ht="30.75" customHeight="1">
      <c r="A184" s="865" t="s">
        <v>0</v>
      </c>
      <c r="B184" s="866"/>
      <c r="C184" s="869"/>
      <c r="D184" s="856" t="s">
        <v>4</v>
      </c>
      <c r="E184" s="959" t="s">
        <v>1</v>
      </c>
      <c r="F184" s="960"/>
      <c r="G184" s="955" t="s">
        <v>21</v>
      </c>
      <c r="H184" s="856" t="s">
        <v>62</v>
      </c>
      <c r="Q184" s="52"/>
      <c r="R184" s="44"/>
    </row>
    <row r="185" spans="1:18" s="29" customFormat="1" ht="15.6">
      <c r="A185" s="867"/>
      <c r="B185" s="868"/>
      <c r="C185" s="870"/>
      <c r="D185" s="857"/>
      <c r="E185" s="550" t="s">
        <v>120</v>
      </c>
      <c r="F185" s="550" t="s">
        <v>121</v>
      </c>
      <c r="G185" s="956"/>
      <c r="H185" s="857"/>
      <c r="Q185" s="52"/>
      <c r="R185" s="44"/>
    </row>
    <row r="186" spans="1:18" s="29" customFormat="1" ht="15.6">
      <c r="A186" s="126" t="s">
        <v>240</v>
      </c>
      <c r="B186" s="105" t="s">
        <v>244</v>
      </c>
      <c r="C186" s="106"/>
      <c r="D186" s="106"/>
      <c r="E186" s="106"/>
      <c r="F186" s="110"/>
      <c r="G186" s="111"/>
      <c r="H186" s="628"/>
      <c r="Q186" s="52"/>
      <c r="R186" s="44"/>
    </row>
    <row r="187" spans="1:18" s="29" customFormat="1">
      <c r="A187" s="625" t="s">
        <v>277</v>
      </c>
      <c r="B187" s="858" t="s">
        <v>245</v>
      </c>
      <c r="C187" s="859"/>
      <c r="D187" s="5" t="s">
        <v>50</v>
      </c>
      <c r="E187" s="20">
        <v>-1</v>
      </c>
      <c r="F187" s="20">
        <v>-2</v>
      </c>
      <c r="G187" s="28"/>
      <c r="H187" s="20">
        <f>IF(G187&gt;=30%,F187,IF(G187=0%,0,E187))</f>
        <v>0</v>
      </c>
      <c r="Q187" s="52"/>
      <c r="R187" s="44"/>
    </row>
    <row r="188" spans="1:18" s="29" customFormat="1">
      <c r="A188" s="625" t="s">
        <v>278</v>
      </c>
      <c r="B188" s="858" t="s">
        <v>246</v>
      </c>
      <c r="C188" s="859"/>
      <c r="D188" s="5" t="s">
        <v>50</v>
      </c>
      <c r="E188" s="20">
        <v>-1</v>
      </c>
      <c r="F188" s="20">
        <v>-1.5</v>
      </c>
      <c r="G188" s="28"/>
      <c r="H188" s="20">
        <f>IF(G188&gt;=30%,F188,IF(G188=0%,0,E188))</f>
        <v>0</v>
      </c>
      <c r="Q188" s="52"/>
      <c r="R188" s="44"/>
    </row>
    <row r="189" spans="1:18" s="29" customFormat="1">
      <c r="A189" s="625" t="s">
        <v>279</v>
      </c>
      <c r="B189" s="858" t="s">
        <v>247</v>
      </c>
      <c r="C189" s="859"/>
      <c r="D189" s="5" t="s">
        <v>50</v>
      </c>
      <c r="E189" s="811">
        <v>-1</v>
      </c>
      <c r="F189" s="811"/>
      <c r="G189" s="553"/>
      <c r="H189" s="20">
        <f>IF(G189&gt;0%,E189,0)</f>
        <v>0</v>
      </c>
      <c r="Q189" s="52"/>
      <c r="R189" s="44"/>
    </row>
    <row r="190" spans="1:18" s="29" customFormat="1" ht="15.6">
      <c r="A190" s="604"/>
      <c r="B190" s="307"/>
      <c r="C190" s="305"/>
      <c r="D190" s="305"/>
      <c r="E190" s="305"/>
      <c r="F190" s="309"/>
      <c r="G190" s="310" t="s">
        <v>133</v>
      </c>
      <c r="H190" s="634">
        <f>IFERROR(MAX(SUM(H187:H189),-4),0)</f>
        <v>0</v>
      </c>
      <c r="Q190" s="44"/>
      <c r="R190" s="44"/>
    </row>
    <row r="191" spans="1:18" s="29" customFormat="1">
      <c r="A191" s="592"/>
      <c r="B191" s="307"/>
      <c r="C191" s="305"/>
      <c r="D191" s="305"/>
      <c r="E191" s="305"/>
      <c r="F191" s="305"/>
      <c r="G191" s="314"/>
      <c r="H191" s="571"/>
      <c r="Q191" s="52"/>
      <c r="R191" s="44"/>
    </row>
    <row r="192" spans="1:18" s="29" customFormat="1" ht="15.6">
      <c r="A192" s="592"/>
      <c r="B192" s="307"/>
      <c r="C192" s="305"/>
      <c r="D192" s="305"/>
      <c r="E192" s="305"/>
      <c r="F192" s="305"/>
      <c r="G192" s="312" t="s">
        <v>132</v>
      </c>
      <c r="H192" s="154">
        <f>IFERROR(MIN(SUM(H120+H143+H182+H190),G91),0)</f>
        <v>0</v>
      </c>
      <c r="Q192" s="52"/>
      <c r="R192" s="44"/>
    </row>
    <row r="193" spans="1:18" s="29" customFormat="1" ht="16.2" thickBot="1">
      <c r="A193" s="594"/>
      <c r="B193" s="361"/>
      <c r="C193" s="362"/>
      <c r="D193" s="362"/>
      <c r="E193" s="362"/>
      <c r="F193" s="362"/>
      <c r="G193" s="363"/>
      <c r="H193" s="606"/>
      <c r="Q193" s="52"/>
      <c r="R193" s="44"/>
    </row>
    <row r="194" spans="1:18" s="29" customFormat="1" ht="15.6">
      <c r="A194" s="635" t="s">
        <v>63</v>
      </c>
      <c r="B194" s="355"/>
      <c r="C194" s="355"/>
      <c r="D194" s="355"/>
      <c r="E194" s="355"/>
      <c r="F194" s="356" t="s">
        <v>42</v>
      </c>
      <c r="G194" s="357">
        <f>VLOOKUP($A$7,'Manpower allocation'!A4:D11,4,FALSE)*100</f>
        <v>15</v>
      </c>
      <c r="H194" s="636" t="s">
        <v>41</v>
      </c>
      <c r="I194" s="108">
        <f>VLOOKUP($A$7,'Manpower allocation'!A4:D11,4,FALSE)*100</f>
        <v>15</v>
      </c>
      <c r="Q194" s="52"/>
      <c r="R194" s="44"/>
    </row>
    <row r="195" spans="1:18" s="29" customFormat="1" ht="15.6">
      <c r="A195" s="592"/>
      <c r="B195" s="313"/>
      <c r="C195" s="305"/>
      <c r="D195" s="305"/>
      <c r="E195" s="305"/>
      <c r="F195" s="305"/>
      <c r="G195" s="314"/>
      <c r="H195" s="571"/>
      <c r="Q195" s="52"/>
      <c r="R195" s="44"/>
    </row>
    <row r="196" spans="1:18" s="29" customFormat="1" ht="46.8">
      <c r="A196" s="850" t="s">
        <v>0</v>
      </c>
      <c r="B196" s="851"/>
      <c r="C196" s="109"/>
      <c r="D196" s="545" t="s">
        <v>17</v>
      </c>
      <c r="E196" s="545" t="s">
        <v>124</v>
      </c>
      <c r="F196" s="545" t="s">
        <v>108</v>
      </c>
      <c r="G196" s="545" t="s">
        <v>18</v>
      </c>
      <c r="H196" s="545" t="s">
        <v>62</v>
      </c>
      <c r="Q196" s="52"/>
      <c r="R196" s="44"/>
    </row>
    <row r="197" spans="1:18" s="29" customFormat="1" ht="15.6">
      <c r="A197" s="105" t="s">
        <v>250</v>
      </c>
      <c r="B197" s="531" t="s">
        <v>618</v>
      </c>
      <c r="C197" s="106"/>
      <c r="D197" s="106"/>
      <c r="E197" s="106"/>
      <c r="F197" s="110"/>
      <c r="G197" s="111"/>
      <c r="H197" s="628"/>
      <c r="Q197" s="52"/>
      <c r="R197" s="44"/>
    </row>
    <row r="198" spans="1:18" s="29" customFormat="1" ht="15.6">
      <c r="A198" s="112">
        <v>1</v>
      </c>
      <c r="B198" s="112" t="s">
        <v>304</v>
      </c>
      <c r="C198" s="113"/>
      <c r="D198" s="114"/>
      <c r="E198" s="114"/>
      <c r="F198" s="114"/>
      <c r="G198" s="114"/>
      <c r="H198" s="637"/>
      <c r="Q198" s="52"/>
      <c r="R198" s="44"/>
    </row>
    <row r="199" spans="1:18" s="29" customFormat="1">
      <c r="A199" s="541">
        <v>1.1000000000000001</v>
      </c>
      <c r="B199" s="822" t="s">
        <v>271</v>
      </c>
      <c r="C199" s="824"/>
      <c r="D199" s="20">
        <f>VLOOKUP(A199,'Point Allocation'!$A$46:$J$55,MATCH(A7,'Point Allocation'!$A$46:$J$46,0),0)</f>
        <v>15</v>
      </c>
      <c r="E199" s="38"/>
      <c r="F199" s="38"/>
      <c r="G199" s="31">
        <f>MIN(IFERROR(F199/E199,0),100%)</f>
        <v>0</v>
      </c>
      <c r="H199" s="20">
        <f>D199*G199</f>
        <v>0</v>
      </c>
      <c r="Q199" s="52"/>
      <c r="R199" s="44"/>
    </row>
    <row r="200" spans="1:18" s="29" customFormat="1" ht="15.6">
      <c r="A200" s="115">
        <v>2</v>
      </c>
      <c r="B200" s="115" t="s">
        <v>305</v>
      </c>
      <c r="C200" s="116"/>
      <c r="D200" s="32"/>
      <c r="E200" s="33"/>
      <c r="F200" s="33"/>
      <c r="G200" s="34"/>
      <c r="H200" s="638"/>
      <c r="Q200" s="52"/>
      <c r="R200" s="44"/>
    </row>
    <row r="201" spans="1:18" s="29" customFormat="1" ht="33" customHeight="1">
      <c r="A201" s="544">
        <v>2.1</v>
      </c>
      <c r="B201" s="863" t="s">
        <v>251</v>
      </c>
      <c r="C201" s="864"/>
      <c r="D201" s="20">
        <f>VLOOKUP(A201,'Point Allocation'!$A$46:$J$55,MATCH(A7,'Point Allocation'!$A$46:$J$46,0),0)</f>
        <v>12</v>
      </c>
      <c r="E201" s="38"/>
      <c r="F201" s="38"/>
      <c r="G201" s="31">
        <f>MIN(IFERROR(F201/E201,0),100%)</f>
        <v>0</v>
      </c>
      <c r="H201" s="20">
        <f>D201*G201</f>
        <v>0</v>
      </c>
      <c r="Q201" s="52"/>
      <c r="R201" s="44"/>
    </row>
    <row r="202" spans="1:18" s="29" customFormat="1" ht="15.6">
      <c r="A202" s="112">
        <v>3</v>
      </c>
      <c r="B202" s="112" t="s">
        <v>309</v>
      </c>
      <c r="C202" s="117"/>
      <c r="D202" s="35"/>
      <c r="E202" s="35"/>
      <c r="F202" s="35"/>
      <c r="G202" s="34"/>
      <c r="H202" s="639"/>
      <c r="Q202" s="52"/>
      <c r="R202" s="44"/>
    </row>
    <row r="203" spans="1:18" s="29" customFormat="1">
      <c r="A203" s="540">
        <v>3.1</v>
      </c>
      <c r="B203" s="837" t="s">
        <v>400</v>
      </c>
      <c r="C203" s="838"/>
      <c r="D203" s="20">
        <f>VLOOKUP(A203,'Point Allocation'!$A$46:$J$55,MATCH(A7,'Point Allocation'!$A$46:$J$46,0),0)</f>
        <v>4</v>
      </c>
      <c r="E203" s="38"/>
      <c r="F203" s="38"/>
      <c r="G203" s="31">
        <f>MIN(IFERROR(F203/E203,0),100%)</f>
        <v>0</v>
      </c>
      <c r="H203" s="20">
        <f>D203*G203</f>
        <v>0</v>
      </c>
      <c r="Q203" s="52"/>
      <c r="R203" s="44"/>
    </row>
    <row r="204" spans="1:18" s="29" customFormat="1">
      <c r="A204" s="540">
        <v>3.2</v>
      </c>
      <c r="B204" s="837" t="s">
        <v>401</v>
      </c>
      <c r="C204" s="838"/>
      <c r="D204" s="20">
        <f>VLOOKUP(A204,'Point Allocation'!$A$46:$J$55,MATCH(A7,'Point Allocation'!$A$46:$J$46,0),0)</f>
        <v>4</v>
      </c>
      <c r="E204" s="165"/>
      <c r="F204" s="38"/>
      <c r="G204" s="31">
        <f>MIN(IFERROR(F204/E204,0),100%)</f>
        <v>0</v>
      </c>
      <c r="H204" s="20">
        <f>D204*G204</f>
        <v>0</v>
      </c>
      <c r="Q204" s="52"/>
      <c r="R204" s="44"/>
    </row>
    <row r="205" spans="1:18" s="29" customFormat="1">
      <c r="A205" s="543">
        <v>3.3</v>
      </c>
      <c r="B205" s="858" t="s">
        <v>161</v>
      </c>
      <c r="C205" s="859"/>
      <c r="D205" s="20">
        <f>VLOOKUP(A205,'Point Allocation'!$A$46:$J$55,MATCH(A7,'Point Allocation'!$A$46:$J$46,0),0)</f>
        <v>4</v>
      </c>
      <c r="E205" s="166"/>
      <c r="F205" s="537"/>
      <c r="G205" s="31">
        <f>MIN(IFERROR(F205/E205,0),100%)</f>
        <v>0</v>
      </c>
      <c r="H205" s="20">
        <f>D205*G205</f>
        <v>0</v>
      </c>
      <c r="Q205" s="52"/>
      <c r="R205" s="44"/>
    </row>
    <row r="206" spans="1:18" s="29" customFormat="1" ht="15.6">
      <c r="A206" s="592"/>
      <c r="B206" s="307"/>
      <c r="C206" s="305"/>
      <c r="D206" s="306" t="s">
        <v>6</v>
      </c>
      <c r="E206" s="283">
        <f>MAX(SUM(E199:E205),F206)</f>
        <v>0</v>
      </c>
      <c r="F206" s="283">
        <f>SUM(F199:F205)</f>
        <v>0</v>
      </c>
      <c r="G206" s="322">
        <f>IFERROR(MIN(F206/E206,100%),0)</f>
        <v>0</v>
      </c>
      <c r="H206" s="593">
        <f>IFERROR(SUM(H199:H205),0)</f>
        <v>0</v>
      </c>
      <c r="Q206" s="52"/>
      <c r="R206" s="44"/>
    </row>
    <row r="207" spans="1:18" s="29" customFormat="1" ht="15.6">
      <c r="A207" s="592"/>
      <c r="B207" s="320"/>
      <c r="C207" s="323"/>
      <c r="D207" s="324"/>
      <c r="E207" s="323"/>
      <c r="F207" s="323"/>
      <c r="G207" s="325"/>
      <c r="H207" s="317"/>
      <c r="Q207" s="52"/>
      <c r="R207" s="44"/>
    </row>
    <row r="208" spans="1:18" s="29" customFormat="1" ht="15.6">
      <c r="A208" s="850" t="s">
        <v>0</v>
      </c>
      <c r="B208" s="851"/>
      <c r="C208" s="860"/>
      <c r="D208" s="862" t="s">
        <v>4</v>
      </c>
      <c r="E208" s="862" t="s">
        <v>1</v>
      </c>
      <c r="F208" s="862"/>
      <c r="G208" s="881" t="s">
        <v>21</v>
      </c>
      <c r="H208" s="881" t="s">
        <v>62</v>
      </c>
      <c r="Q208" s="52"/>
      <c r="R208" s="44"/>
    </row>
    <row r="209" spans="1:18" s="29" customFormat="1" ht="30.75" customHeight="1">
      <c r="A209" s="852"/>
      <c r="B209" s="853"/>
      <c r="C209" s="861"/>
      <c r="D209" s="862"/>
      <c r="E209" s="545" t="s">
        <v>64</v>
      </c>
      <c r="F209" s="545" t="s">
        <v>65</v>
      </c>
      <c r="G209" s="881"/>
      <c r="H209" s="881"/>
      <c r="Q209" s="52"/>
      <c r="R209" s="44"/>
    </row>
    <row r="210" spans="1:18" s="29" customFormat="1" ht="15.6">
      <c r="A210" s="45" t="s">
        <v>253</v>
      </c>
      <c r="B210" s="45" t="s">
        <v>254</v>
      </c>
      <c r="C210" s="56"/>
      <c r="D210" s="56"/>
      <c r="E210" s="56"/>
      <c r="F210" s="57"/>
      <c r="G210" s="104"/>
      <c r="H210" s="624"/>
      <c r="Q210" s="52"/>
      <c r="R210" s="44"/>
    </row>
    <row r="211" spans="1:18" s="29" customFormat="1" ht="15.6">
      <c r="A211" s="118">
        <v>4</v>
      </c>
      <c r="B211" s="118" t="s">
        <v>307</v>
      </c>
      <c r="C211" s="116"/>
      <c r="D211" s="119"/>
      <c r="E211" s="120"/>
      <c r="F211" s="120"/>
      <c r="G211" s="121"/>
      <c r="H211" s="640"/>
      <c r="Q211" s="52"/>
      <c r="R211" s="44"/>
    </row>
    <row r="212" spans="1:18" s="29" customFormat="1">
      <c r="A212" s="541">
        <v>4.0999999999999996</v>
      </c>
      <c r="B212" s="822" t="s">
        <v>155</v>
      </c>
      <c r="C212" s="824"/>
      <c r="D212" s="5" t="s">
        <v>50</v>
      </c>
      <c r="E212" s="20" t="s">
        <v>49</v>
      </c>
      <c r="F212" s="20">
        <f>VLOOKUP(A212,'Point Allocation'!$A$46:$J$55,MATCH(A7,'Point Allocation'!$A$46:$J$46,0),0)</f>
        <v>1.5</v>
      </c>
      <c r="G212" s="553"/>
      <c r="H212" s="20">
        <f>IF(G212&gt;=80%,F212,0)</f>
        <v>0</v>
      </c>
      <c r="Q212" s="52"/>
      <c r="R212" s="44"/>
    </row>
    <row r="213" spans="1:18" s="29" customFormat="1">
      <c r="A213" s="541">
        <v>4.2</v>
      </c>
      <c r="B213" s="822" t="s">
        <v>152</v>
      </c>
      <c r="C213" s="824"/>
      <c r="D213" s="5" t="s">
        <v>50</v>
      </c>
      <c r="E213" s="20" t="s">
        <v>49</v>
      </c>
      <c r="F213" s="20">
        <f>VLOOKUP(A213,'Point Allocation'!$A$46:$J$55,MATCH(A7,'Point Allocation'!$A$46:$J$46,0),0)</f>
        <v>1.5</v>
      </c>
      <c r="G213" s="553"/>
      <c r="H213" s="20">
        <f>IF(G213&gt;=80%,F213,0)</f>
        <v>0</v>
      </c>
      <c r="Q213" s="52"/>
      <c r="R213" s="44"/>
    </row>
    <row r="214" spans="1:18" s="29" customFormat="1">
      <c r="A214" s="541">
        <v>4.3</v>
      </c>
      <c r="B214" s="822" t="s">
        <v>146</v>
      </c>
      <c r="C214" s="824"/>
      <c r="D214" s="5" t="s">
        <v>3</v>
      </c>
      <c r="E214" s="20" t="s">
        <v>49</v>
      </c>
      <c r="F214" s="20">
        <f>VLOOKUP(A214,'Point Allocation'!$A$46:$J$55,MATCH(A7,'Point Allocation'!$A$46:$J$46,0),0)</f>
        <v>1.5</v>
      </c>
      <c r="G214" s="553"/>
      <c r="H214" s="20">
        <f>IF(G214&gt;=80%,F214,0)</f>
        <v>0</v>
      </c>
      <c r="Q214" s="52"/>
      <c r="R214" s="44"/>
    </row>
    <row r="215" spans="1:18" s="29" customFormat="1">
      <c r="A215" s="542">
        <v>4.4000000000000004</v>
      </c>
      <c r="B215" s="848" t="s">
        <v>252</v>
      </c>
      <c r="C215" s="849"/>
      <c r="D215" s="5" t="s">
        <v>3</v>
      </c>
      <c r="E215" s="20" t="s">
        <v>49</v>
      </c>
      <c r="F215" s="20">
        <f>VLOOKUP(A215,'Point Allocation'!$A$46:$J$55,MATCH(A7,'Point Allocation'!$A$46:$J$46,0),0)</f>
        <v>1.5</v>
      </c>
      <c r="G215" s="553"/>
      <c r="H215" s="20">
        <f>IF(G215&gt;=80%,F215,0)</f>
        <v>0</v>
      </c>
      <c r="Q215" s="52"/>
      <c r="R215" s="44"/>
    </row>
    <row r="216" spans="1:18" s="29" customFormat="1" ht="15.6">
      <c r="A216" s="118">
        <v>5</v>
      </c>
      <c r="B216" s="118" t="s">
        <v>202</v>
      </c>
      <c r="C216" s="116"/>
      <c r="D216" s="122"/>
      <c r="E216" s="123"/>
      <c r="F216" s="123"/>
      <c r="G216" s="124"/>
      <c r="H216" s="641"/>
      <c r="Q216" s="52"/>
      <c r="R216" s="44"/>
    </row>
    <row r="217" spans="1:18" s="29" customFormat="1">
      <c r="A217" s="591">
        <v>5.0999999999999996</v>
      </c>
      <c r="B217" s="765"/>
      <c r="C217" s="847"/>
      <c r="D217" s="391"/>
      <c r="E217" s="537"/>
      <c r="F217" s="537"/>
      <c r="G217" s="553"/>
      <c r="H217" s="633">
        <f>IF(G217&gt;=80%,F217,IF(G217&lt;65%,0,E217))</f>
        <v>0</v>
      </c>
      <c r="Q217" s="52"/>
      <c r="R217" s="44"/>
    </row>
    <row r="218" spans="1:18" s="29" customFormat="1">
      <c r="A218" s="591">
        <v>5.2</v>
      </c>
      <c r="B218" s="765"/>
      <c r="C218" s="847"/>
      <c r="D218" s="391"/>
      <c r="E218" s="537"/>
      <c r="F218" s="537"/>
      <c r="G218" s="553"/>
      <c r="H218" s="633">
        <f>IF(G218&gt;=80%,F218,IF(G218&lt;65%,0,E218))</f>
        <v>0</v>
      </c>
      <c r="Q218" s="52"/>
      <c r="R218" s="44"/>
    </row>
    <row r="219" spans="1:18" s="29" customFormat="1">
      <c r="A219" s="591">
        <v>5.3</v>
      </c>
      <c r="B219" s="765"/>
      <c r="C219" s="847"/>
      <c r="D219" s="391"/>
      <c r="E219" s="537"/>
      <c r="F219" s="537"/>
      <c r="G219" s="553"/>
      <c r="H219" s="633">
        <f>IF(G219&gt;=80%,F219,IF(G219&lt;65%,0,E219))</f>
        <v>0</v>
      </c>
      <c r="Q219" s="52"/>
      <c r="R219" s="44"/>
    </row>
    <row r="220" spans="1:18" s="29" customFormat="1" ht="15.6">
      <c r="A220" s="592"/>
      <c r="B220" s="326"/>
      <c r="C220" s="326"/>
      <c r="D220" s="314"/>
      <c r="E220" s="314"/>
      <c r="F220" s="314"/>
      <c r="G220" s="312" t="s">
        <v>7</v>
      </c>
      <c r="H220" s="617">
        <f>IFERROR(SUM(H212:H215,H217:H219),0)</f>
        <v>0</v>
      </c>
      <c r="Q220" s="52"/>
      <c r="R220" s="44"/>
    </row>
    <row r="221" spans="1:18" s="29" customFormat="1">
      <c r="A221" s="592"/>
      <c r="B221" s="307"/>
      <c r="C221" s="305"/>
      <c r="D221" s="305"/>
      <c r="E221" s="305"/>
      <c r="F221" s="305"/>
      <c r="G221" s="314"/>
      <c r="H221" s="571"/>
      <c r="Q221" s="52"/>
      <c r="R221" s="44"/>
    </row>
    <row r="222" spans="1:18" s="29" customFormat="1" ht="15.6">
      <c r="A222" s="850" t="s">
        <v>0</v>
      </c>
      <c r="B222" s="851"/>
      <c r="C222" s="860"/>
      <c r="D222" s="881" t="s">
        <v>4</v>
      </c>
      <c r="E222" s="862" t="s">
        <v>1</v>
      </c>
      <c r="F222" s="862"/>
      <c r="G222" s="881" t="s">
        <v>21</v>
      </c>
      <c r="H222" s="881" t="s">
        <v>62</v>
      </c>
      <c r="Q222" s="52"/>
      <c r="R222" s="44"/>
    </row>
    <row r="223" spans="1:18" s="29" customFormat="1" ht="31.2">
      <c r="A223" s="852"/>
      <c r="B223" s="853"/>
      <c r="C223" s="861"/>
      <c r="D223" s="862"/>
      <c r="E223" s="545" t="s">
        <v>64</v>
      </c>
      <c r="F223" s="545" t="s">
        <v>65</v>
      </c>
      <c r="G223" s="881"/>
      <c r="H223" s="881"/>
      <c r="Q223" s="52"/>
      <c r="R223" s="44"/>
    </row>
    <row r="224" spans="1:18" s="29" customFormat="1" ht="15.6">
      <c r="A224" s="105" t="s">
        <v>255</v>
      </c>
      <c r="B224" s="105" t="s">
        <v>518</v>
      </c>
      <c r="C224" s="125"/>
      <c r="D224" s="126"/>
      <c r="E224" s="126"/>
      <c r="F224" s="127"/>
      <c r="G224" s="128"/>
      <c r="H224" s="127"/>
      <c r="Q224" s="52"/>
      <c r="R224" s="44"/>
    </row>
    <row r="225" spans="1:18" s="29" customFormat="1" ht="15.6">
      <c r="A225" s="625" t="s">
        <v>188</v>
      </c>
      <c r="B225" s="822" t="s">
        <v>256</v>
      </c>
      <c r="C225" s="824"/>
      <c r="D225" s="94" t="s">
        <v>2</v>
      </c>
      <c r="E225" s="94">
        <v>1</v>
      </c>
      <c r="F225" s="94">
        <v>2</v>
      </c>
      <c r="G225" s="65"/>
      <c r="H225" s="94">
        <f>IF(G225&gt;=80%,F225,IF(G225&lt;65%,0,E225))</f>
        <v>0</v>
      </c>
      <c r="J225" s="131"/>
      <c r="Q225" s="52"/>
      <c r="R225" s="44"/>
    </row>
    <row r="226" spans="1:18" s="29" customFormat="1">
      <c r="A226" s="575" t="s">
        <v>189</v>
      </c>
      <c r="B226" s="825" t="s">
        <v>619</v>
      </c>
      <c r="C226" s="827"/>
      <c r="D226" s="94" t="s">
        <v>50</v>
      </c>
      <c r="E226" s="94">
        <v>0.5</v>
      </c>
      <c r="F226" s="94">
        <v>1</v>
      </c>
      <c r="G226" s="65"/>
      <c r="H226" s="94">
        <f>IF(G226&gt;=80%,F226,IF(G226&lt;65%,0,E226))</f>
        <v>0</v>
      </c>
      <c r="Q226" s="52"/>
      <c r="R226" s="44"/>
    </row>
    <row r="227" spans="1:18" s="29" customFormat="1" ht="15.6">
      <c r="A227" s="592"/>
      <c r="B227" s="307"/>
      <c r="C227" s="305"/>
      <c r="D227" s="305"/>
      <c r="E227" s="305"/>
      <c r="F227" s="308"/>
      <c r="G227" s="312" t="s">
        <v>109</v>
      </c>
      <c r="H227" s="129">
        <f>IFERROR(SUM(H225:H226),0)</f>
        <v>0</v>
      </c>
      <c r="Q227" s="52"/>
      <c r="R227" s="44"/>
    </row>
    <row r="228" spans="1:18" s="29" customFormat="1">
      <c r="A228" s="592"/>
      <c r="B228" s="307"/>
      <c r="C228" s="305"/>
      <c r="D228" s="305"/>
      <c r="E228" s="305"/>
      <c r="F228" s="305"/>
      <c r="G228" s="314"/>
      <c r="H228" s="571"/>
      <c r="Q228" s="52"/>
      <c r="R228" s="44"/>
    </row>
    <row r="229" spans="1:18" s="29" customFormat="1" ht="15.6">
      <c r="A229" s="592"/>
      <c r="B229" s="307"/>
      <c r="C229" s="305"/>
      <c r="D229" s="305"/>
      <c r="E229" s="305"/>
      <c r="F229" s="305"/>
      <c r="G229" s="312" t="s">
        <v>110</v>
      </c>
      <c r="H229" s="129">
        <f>IFERROR(MIN(SUM(H206+H220+H227),G194),0)</f>
        <v>0</v>
      </c>
      <c r="Q229" s="52"/>
      <c r="R229" s="44"/>
    </row>
    <row r="230" spans="1:18" s="29" customFormat="1" ht="16.2" thickBot="1">
      <c r="A230" s="594"/>
      <c r="B230" s="361"/>
      <c r="C230" s="362"/>
      <c r="D230" s="362"/>
      <c r="E230" s="362"/>
      <c r="F230" s="362"/>
      <c r="G230" s="364"/>
      <c r="H230" s="606"/>
      <c r="Q230" s="52"/>
      <c r="R230" s="44"/>
    </row>
    <row r="231" spans="1:18" s="29" customFormat="1" ht="15.6">
      <c r="A231" s="642" t="s">
        <v>129</v>
      </c>
      <c r="B231" s="455"/>
      <c r="C231" s="455"/>
      <c r="D231" s="455"/>
      <c r="E231" s="455"/>
      <c r="F231" s="456" t="s">
        <v>42</v>
      </c>
      <c r="G231" s="457">
        <v>20</v>
      </c>
      <c r="H231" s="643" t="s">
        <v>41</v>
      </c>
      <c r="Q231" s="52"/>
      <c r="R231" s="44"/>
    </row>
    <row r="232" spans="1:18" s="29" customFormat="1" ht="15.6">
      <c r="A232" s="592"/>
      <c r="B232" s="329"/>
      <c r="C232" s="305"/>
      <c r="D232" s="305"/>
      <c r="E232" s="305"/>
      <c r="F232" s="305"/>
      <c r="G232" s="314"/>
      <c r="H232" s="571"/>
      <c r="Q232" s="52"/>
      <c r="R232" s="44"/>
    </row>
    <row r="233" spans="1:18" s="29" customFormat="1" ht="33" customHeight="1">
      <c r="A233" s="854" t="s">
        <v>0</v>
      </c>
      <c r="B233" s="855"/>
      <c r="C233" s="132"/>
      <c r="D233" s="132"/>
      <c r="E233" s="133" t="s">
        <v>4</v>
      </c>
      <c r="F233" s="133" t="s">
        <v>69</v>
      </c>
      <c r="G233" s="134" t="s">
        <v>21</v>
      </c>
      <c r="H233" s="644" t="s">
        <v>62</v>
      </c>
      <c r="Q233" s="52"/>
      <c r="R233" s="44"/>
    </row>
    <row r="234" spans="1:18" s="29" customFormat="1" ht="15.6">
      <c r="A234" s="105" t="s">
        <v>257</v>
      </c>
      <c r="B234" s="105" t="s">
        <v>258</v>
      </c>
      <c r="C234" s="106"/>
      <c r="D234" s="106"/>
      <c r="E234" s="106"/>
      <c r="F234" s="57"/>
      <c r="G234" s="135"/>
      <c r="H234" s="645"/>
      <c r="I234" s="130"/>
      <c r="Q234" s="52"/>
      <c r="R234" s="44"/>
    </row>
    <row r="235" spans="1:18" s="29" customFormat="1" ht="15.6">
      <c r="A235" s="591">
        <v>1.1000000000000001</v>
      </c>
      <c r="B235" s="816" t="s">
        <v>122</v>
      </c>
      <c r="C235" s="817"/>
      <c r="D235" s="818"/>
      <c r="E235" s="155"/>
      <c r="F235" s="136"/>
      <c r="G235" s="137"/>
      <c r="H235" s="547">
        <f t="shared" ref="H235:H240" si="5">F235*G235</f>
        <v>0</v>
      </c>
      <c r="Q235" s="52"/>
      <c r="R235" s="44"/>
    </row>
    <row r="236" spans="1:18" s="29" customFormat="1" ht="15.6">
      <c r="A236" s="589">
        <v>1.2</v>
      </c>
      <c r="B236" s="844" t="s">
        <v>123</v>
      </c>
      <c r="C236" s="845"/>
      <c r="D236" s="846"/>
      <c r="E236" s="155"/>
      <c r="F236" s="136"/>
      <c r="G236" s="137"/>
      <c r="H236" s="547">
        <f t="shared" si="5"/>
        <v>0</v>
      </c>
      <c r="Q236" s="52"/>
      <c r="R236" s="44"/>
    </row>
    <row r="237" spans="1:18" s="29" customFormat="1" ht="15.6">
      <c r="A237" s="591">
        <v>1.3</v>
      </c>
      <c r="B237" s="816" t="s">
        <v>114</v>
      </c>
      <c r="C237" s="817"/>
      <c r="D237" s="818"/>
      <c r="E237" s="155"/>
      <c r="F237" s="136"/>
      <c r="G237" s="137"/>
      <c r="H237" s="547">
        <f t="shared" si="5"/>
        <v>0</v>
      </c>
      <c r="Q237" s="52"/>
      <c r="R237" s="44"/>
    </row>
    <row r="238" spans="1:18" s="29" customFormat="1" ht="15.6">
      <c r="A238" s="591">
        <v>1.4</v>
      </c>
      <c r="B238" s="816" t="s">
        <v>282</v>
      </c>
      <c r="C238" s="817"/>
      <c r="D238" s="818"/>
      <c r="E238" s="155"/>
      <c r="F238" s="136"/>
      <c r="G238" s="137"/>
      <c r="H238" s="547">
        <f t="shared" si="5"/>
        <v>0</v>
      </c>
      <c r="Q238" s="52"/>
      <c r="R238" s="44"/>
    </row>
    <row r="239" spans="1:18" s="29" customFormat="1" ht="15.6">
      <c r="A239" s="591">
        <v>1.5</v>
      </c>
      <c r="B239" s="816"/>
      <c r="C239" s="817"/>
      <c r="D239" s="818"/>
      <c r="E239" s="155"/>
      <c r="F239" s="136"/>
      <c r="G239" s="137"/>
      <c r="H239" s="547">
        <f t="shared" si="5"/>
        <v>0</v>
      </c>
      <c r="Q239" s="52"/>
      <c r="R239" s="44"/>
    </row>
    <row r="240" spans="1:18" s="29" customFormat="1" ht="15.6">
      <c r="A240" s="591">
        <v>1.6</v>
      </c>
      <c r="B240" s="816"/>
      <c r="C240" s="817"/>
      <c r="D240" s="818"/>
      <c r="E240" s="155"/>
      <c r="F240" s="136"/>
      <c r="G240" s="137"/>
      <c r="H240" s="547">
        <f t="shared" si="5"/>
        <v>0</v>
      </c>
      <c r="Q240" s="52"/>
      <c r="R240" s="44"/>
    </row>
    <row r="241" spans="1:18" s="29" customFormat="1" ht="15.6">
      <c r="A241" s="105" t="s">
        <v>260</v>
      </c>
      <c r="B241" s="105" t="s">
        <v>259</v>
      </c>
      <c r="C241" s="106"/>
      <c r="D241" s="106"/>
      <c r="E241" s="106"/>
      <c r="F241" s="57"/>
      <c r="G241" s="135"/>
      <c r="H241" s="645"/>
      <c r="Q241" s="52"/>
      <c r="R241" s="44"/>
    </row>
    <row r="242" spans="1:18" s="29" customFormat="1" ht="30.6" customHeight="1">
      <c r="A242" s="620">
        <v>2.1</v>
      </c>
      <c r="B242" s="825" t="s">
        <v>620</v>
      </c>
      <c r="C242" s="842"/>
      <c r="D242" s="843"/>
      <c r="E242" s="148" t="s">
        <v>367</v>
      </c>
      <c r="F242" s="389">
        <v>2</v>
      </c>
      <c r="G242" s="390"/>
      <c r="H242" s="547">
        <f>IFERROR(VLOOKUP(E242,J243:K246,2,FALSE),0)</f>
        <v>0</v>
      </c>
      <c r="J242" s="29" t="s">
        <v>367</v>
      </c>
      <c r="K242" s="29">
        <v>0</v>
      </c>
      <c r="Q242" s="52"/>
      <c r="R242" s="44"/>
    </row>
    <row r="243" spans="1:18" s="29" customFormat="1" ht="15.6">
      <c r="A243" s="592"/>
      <c r="B243" s="304"/>
      <c r="C243" s="305"/>
      <c r="D243" s="305"/>
      <c r="E243" s="305"/>
      <c r="F243" s="305"/>
      <c r="G243" s="312" t="s">
        <v>130</v>
      </c>
      <c r="H243" s="138">
        <f>IFERROR(MIN(SUM(H235:H242),G231),0)</f>
        <v>0</v>
      </c>
      <c r="J243" s="29" t="s">
        <v>363</v>
      </c>
      <c r="K243" s="29">
        <v>2</v>
      </c>
      <c r="Q243" s="44"/>
      <c r="R243" s="44"/>
    </row>
    <row r="244" spans="1:18" s="29" customFormat="1">
      <c r="A244" s="592"/>
      <c r="B244" s="307"/>
      <c r="C244" s="305"/>
      <c r="D244" s="305"/>
      <c r="E244" s="305"/>
      <c r="F244" s="305"/>
      <c r="G244" s="314"/>
      <c r="H244" s="571"/>
      <c r="J244" s="29" t="s">
        <v>364</v>
      </c>
      <c r="K244" s="29">
        <v>2</v>
      </c>
      <c r="Q244" s="44"/>
      <c r="R244" s="44"/>
    </row>
    <row r="245" spans="1:18" s="29" customFormat="1" ht="15.6">
      <c r="A245" s="592"/>
      <c r="B245" s="307"/>
      <c r="C245" s="305"/>
      <c r="D245" s="305"/>
      <c r="E245" s="305"/>
      <c r="F245" s="305"/>
      <c r="G245" s="312" t="s">
        <v>68</v>
      </c>
      <c r="H245" s="617">
        <f>IFERROR(H89+H192+H229+H243,0)</f>
        <v>0</v>
      </c>
      <c r="J245" s="29" t="s">
        <v>365</v>
      </c>
      <c r="K245" s="29">
        <v>2</v>
      </c>
      <c r="Q245" s="44"/>
      <c r="R245" s="44"/>
    </row>
    <row r="246" spans="1:18" s="29" customFormat="1">
      <c r="A246" s="592"/>
      <c r="B246" s="307"/>
      <c r="C246" s="305"/>
      <c r="D246" s="305"/>
      <c r="E246" s="305"/>
      <c r="F246" s="305"/>
      <c r="G246" s="314"/>
      <c r="H246" s="571"/>
      <c r="J246" s="29" t="s">
        <v>366</v>
      </c>
      <c r="K246" s="29">
        <v>2</v>
      </c>
      <c r="Q246" s="52"/>
      <c r="R246" s="44"/>
    </row>
    <row r="247" spans="1:18" s="29" customFormat="1" ht="15.75" customHeight="1">
      <c r="A247" s="592"/>
      <c r="B247" s="327" t="s">
        <v>37</v>
      </c>
      <c r="C247" s="314"/>
      <c r="D247" s="809" t="s">
        <v>372</v>
      </c>
      <c r="E247" s="809"/>
      <c r="F247" s="809"/>
      <c r="G247" s="314"/>
      <c r="H247" s="646"/>
      <c r="Q247" s="52"/>
      <c r="R247" s="44"/>
    </row>
    <row r="248" spans="1:18" s="29" customFormat="1" ht="15.6">
      <c r="A248" s="592"/>
      <c r="B248" s="328"/>
      <c r="C248" s="314"/>
      <c r="D248" s="809"/>
      <c r="E248" s="809"/>
      <c r="F248" s="809"/>
      <c r="G248" s="314"/>
      <c r="H248" s="646"/>
      <c r="Q248" s="52"/>
      <c r="R248" s="44"/>
    </row>
    <row r="249" spans="1:18" s="29" customFormat="1" ht="15.6">
      <c r="A249" s="647" t="s">
        <v>261</v>
      </c>
      <c r="B249" s="328" t="s">
        <v>99</v>
      </c>
      <c r="C249" s="347">
        <f>IFERROR(SUM(G32+G35+G37+G38+G47+G50),0)</f>
        <v>0</v>
      </c>
      <c r="D249" s="314" t="s">
        <v>265</v>
      </c>
      <c r="E249" s="137"/>
      <c r="F249" s="314" t="s">
        <v>266</v>
      </c>
      <c r="G249" s="139">
        <f>MIN(IFERROR(SUM(C249+E249),0),100%)</f>
        <v>0</v>
      </c>
      <c r="H249" s="571"/>
      <c r="L249" s="52"/>
      <c r="M249" s="44"/>
    </row>
    <row r="250" spans="1:18" s="29" customFormat="1" ht="15.6">
      <c r="A250" s="647" t="s">
        <v>262</v>
      </c>
      <c r="B250" s="328" t="s">
        <v>100</v>
      </c>
      <c r="C250" s="347">
        <f>IFERROR(SUM(F19+G96+G98+G100+G103+G106+G107+G108+G109+G110),0)</f>
        <v>0</v>
      </c>
      <c r="D250" s="314" t="s">
        <v>265</v>
      </c>
      <c r="E250" s="137"/>
      <c r="F250" s="314" t="s">
        <v>266</v>
      </c>
      <c r="G250" s="139">
        <f>MIN(IFERROR(SUM(C250+E250),0),100%)</f>
        <v>0</v>
      </c>
      <c r="H250" s="571"/>
      <c r="L250" s="52"/>
      <c r="M250" s="44"/>
    </row>
    <row r="251" spans="1:18" s="29" customFormat="1" ht="15.6">
      <c r="A251" s="647" t="s">
        <v>263</v>
      </c>
      <c r="B251" s="328" t="s">
        <v>101</v>
      </c>
      <c r="C251" s="347">
        <f>IFERROR(G206,0)</f>
        <v>0</v>
      </c>
      <c r="D251" s="314" t="s">
        <v>265</v>
      </c>
      <c r="E251" s="137"/>
      <c r="F251" s="286" t="s">
        <v>266</v>
      </c>
      <c r="G251" s="139">
        <f>MIN(IFERROR(SUM(C251+E251),0),100%)</f>
        <v>0</v>
      </c>
      <c r="H251" s="562"/>
      <c r="I251" s="3"/>
      <c r="J251" s="3"/>
      <c r="K251" s="3"/>
      <c r="L251" s="52"/>
      <c r="M251" s="44"/>
    </row>
    <row r="252" spans="1:18" s="29" customFormat="1">
      <c r="A252" s="622"/>
      <c r="B252" s="320"/>
      <c r="C252" s="323"/>
      <c r="D252" s="323"/>
      <c r="E252" s="323"/>
      <c r="F252" s="323"/>
      <c r="G252" s="648"/>
      <c r="H252" s="649"/>
      <c r="J252" s="3"/>
      <c r="K252" s="3"/>
      <c r="L252" s="3"/>
      <c r="M252" s="3"/>
      <c r="N252" s="3"/>
      <c r="O252" s="3"/>
      <c r="P252" s="3"/>
      <c r="Q252" s="52"/>
      <c r="R252" s="44"/>
    </row>
    <row r="253" spans="1:18" s="29" customFormat="1">
      <c r="A253" s="161"/>
      <c r="B253" s="3"/>
      <c r="C253" s="3"/>
      <c r="D253" s="3"/>
      <c r="E253" s="3"/>
      <c r="F253" s="3"/>
      <c r="G253" s="10"/>
      <c r="H253" s="3"/>
      <c r="J253" s="3"/>
      <c r="K253" s="3"/>
      <c r="L253" s="3"/>
      <c r="M253" s="3"/>
      <c r="N253" s="3"/>
      <c r="O253" s="3"/>
      <c r="P253" s="3"/>
      <c r="Q253" s="52"/>
      <c r="R253" s="44"/>
    </row>
    <row r="254" spans="1:18" s="29" customFormat="1">
      <c r="A254" s="161"/>
      <c r="B254" s="3"/>
      <c r="C254" s="3"/>
      <c r="D254" s="3"/>
      <c r="E254" s="3"/>
      <c r="F254" s="3"/>
      <c r="G254" s="10"/>
      <c r="H254" s="3"/>
      <c r="J254" s="3"/>
      <c r="K254" s="3"/>
      <c r="L254" s="3"/>
      <c r="M254" s="3"/>
      <c r="N254" s="3"/>
      <c r="O254" s="3"/>
      <c r="P254" s="3"/>
      <c r="Q254" s="52"/>
      <c r="R254" s="44"/>
    </row>
    <row r="255" spans="1:18" s="29" customFormat="1">
      <c r="A255" s="161"/>
      <c r="B255" s="3"/>
      <c r="C255" s="3"/>
      <c r="D255" s="3"/>
      <c r="E255" s="3"/>
      <c r="F255" s="3"/>
      <c r="G255" s="10"/>
      <c r="H255" s="3"/>
      <c r="J255" s="3"/>
      <c r="K255" s="3"/>
      <c r="L255" s="3"/>
      <c r="M255" s="3"/>
      <c r="N255" s="3"/>
      <c r="O255" s="3"/>
      <c r="P255" s="3"/>
      <c r="Q255" s="52"/>
      <c r="R255" s="44"/>
    </row>
    <row r="256" spans="1:18" s="29" customFormat="1">
      <c r="A256" s="161"/>
      <c r="B256" s="3"/>
      <c r="C256" s="3"/>
      <c r="D256" s="3"/>
      <c r="E256" s="3"/>
      <c r="F256" s="3"/>
      <c r="G256" s="10"/>
      <c r="H256" s="3"/>
      <c r="J256" s="3"/>
      <c r="K256" s="3"/>
      <c r="L256" s="3"/>
      <c r="M256" s="3"/>
      <c r="N256" s="3"/>
      <c r="O256" s="3"/>
      <c r="P256" s="3"/>
      <c r="Q256" s="44"/>
      <c r="R256" s="44"/>
    </row>
    <row r="257" spans="1:18" s="29" customFormat="1">
      <c r="A257" s="161"/>
      <c r="B257" s="3"/>
      <c r="C257" s="3"/>
      <c r="D257" s="3"/>
      <c r="E257" s="3"/>
      <c r="F257" s="3"/>
      <c r="G257" s="10"/>
      <c r="H257" s="3"/>
      <c r="J257" s="3"/>
      <c r="K257" s="3"/>
      <c r="L257" s="3"/>
      <c r="M257" s="3"/>
      <c r="N257" s="3"/>
      <c r="O257" s="3"/>
      <c r="P257" s="3"/>
      <c r="Q257" s="44"/>
      <c r="R257" s="44"/>
    </row>
    <row r="258" spans="1:18" s="29" customFormat="1">
      <c r="A258" s="161"/>
      <c r="B258" s="3"/>
      <c r="C258" s="3"/>
      <c r="D258" s="3"/>
      <c r="E258" s="3"/>
      <c r="F258" s="3"/>
      <c r="G258" s="10"/>
      <c r="H258" s="3"/>
      <c r="J258" s="3"/>
      <c r="K258" s="3"/>
      <c r="L258" s="3"/>
      <c r="M258" s="3"/>
      <c r="N258" s="3"/>
      <c r="O258" s="3"/>
      <c r="P258" s="3"/>
      <c r="Q258" s="44"/>
      <c r="R258" s="44"/>
    </row>
    <row r="259" spans="1:18" s="29" customFormat="1">
      <c r="A259" s="161"/>
      <c r="B259" s="3"/>
      <c r="C259" s="3"/>
      <c r="D259" s="3"/>
      <c r="E259" s="3"/>
      <c r="F259" s="3"/>
      <c r="G259" s="10"/>
      <c r="H259" s="3"/>
      <c r="J259" s="3"/>
      <c r="K259" s="3"/>
      <c r="L259" s="3"/>
      <c r="M259" s="3"/>
      <c r="N259" s="3"/>
      <c r="O259" s="3"/>
      <c r="P259" s="3"/>
      <c r="Q259" s="44"/>
      <c r="R259" s="44"/>
    </row>
  </sheetData>
  <sheetProtection algorithmName="SHA-512" hashValue="Md7lhNr2FD64sY5d3B+Ncpii4qJNpn+BESySHSAatE1SnoPFxvJtHq02gINHxxSqTAHHJ1SjJjxufWlbZVQmZA==" saltValue="Ck6O08V1O2j8etwgTtMTsQ==" spinCount="100000" sheet="1" selectLockedCells="1"/>
  <mergeCells count="236">
    <mergeCell ref="A38:A39"/>
    <mergeCell ref="B38:D39"/>
    <mergeCell ref="B22:C22"/>
    <mergeCell ref="A4:B4"/>
    <mergeCell ref="A7:B7"/>
    <mergeCell ref="D7:G7"/>
    <mergeCell ref="D11:D12"/>
    <mergeCell ref="E11:E12"/>
    <mergeCell ref="F11:F12"/>
    <mergeCell ref="B14:C14"/>
    <mergeCell ref="B15:C15"/>
    <mergeCell ref="B16:C16"/>
    <mergeCell ref="A11:B12"/>
    <mergeCell ref="B17:C17"/>
    <mergeCell ref="B19:C19"/>
    <mergeCell ref="B20:C20"/>
    <mergeCell ref="B21:C21"/>
    <mergeCell ref="E38:E39"/>
    <mergeCell ref="B23:C23"/>
    <mergeCell ref="B24:C24"/>
    <mergeCell ref="B25:C25"/>
    <mergeCell ref="A32:A33"/>
    <mergeCell ref="E32:E33"/>
    <mergeCell ref="F32:F33"/>
    <mergeCell ref="B53:D53"/>
    <mergeCell ref="B37:D37"/>
    <mergeCell ref="B41:D41"/>
    <mergeCell ref="B67:C67"/>
    <mergeCell ref="B69:C69"/>
    <mergeCell ref="B66:C66"/>
    <mergeCell ref="B54:D54"/>
    <mergeCell ref="B56:D56"/>
    <mergeCell ref="B57:D57"/>
    <mergeCell ref="B44:D44"/>
    <mergeCell ref="B179:C179"/>
    <mergeCell ref="B180:C180"/>
    <mergeCell ref="B32:D32"/>
    <mergeCell ref="B50:D50"/>
    <mergeCell ref="B40:D40"/>
    <mergeCell ref="B35:D35"/>
    <mergeCell ref="B65:C65"/>
    <mergeCell ref="B103:D103"/>
    <mergeCell ref="B104:D104"/>
    <mergeCell ref="B64:C64"/>
    <mergeCell ref="B96:D96"/>
    <mergeCell ref="B99:D99"/>
    <mergeCell ref="B68:C68"/>
    <mergeCell ref="B81:C81"/>
    <mergeCell ref="B70:C70"/>
    <mergeCell ref="B71:C71"/>
    <mergeCell ref="B73:C73"/>
    <mergeCell ref="B77:C77"/>
    <mergeCell ref="B79:C79"/>
    <mergeCell ref="B74:C74"/>
    <mergeCell ref="B85:C85"/>
    <mergeCell ref="B86:C86"/>
    <mergeCell ref="B58:D58"/>
    <mergeCell ref="A61:B62"/>
    <mergeCell ref="H151:H152"/>
    <mergeCell ref="B155:C155"/>
    <mergeCell ref="B156:C156"/>
    <mergeCell ref="B157:C157"/>
    <mergeCell ref="B158:C158"/>
    <mergeCell ref="A160:A161"/>
    <mergeCell ref="A98:A99"/>
    <mergeCell ref="B98:D98"/>
    <mergeCell ref="E98:E99"/>
    <mergeCell ref="F98:F99"/>
    <mergeCell ref="B101:D101"/>
    <mergeCell ref="B108:D108"/>
    <mergeCell ref="G98:G99"/>
    <mergeCell ref="H98:H99"/>
    <mergeCell ref="B134:C134"/>
    <mergeCell ref="B135:C135"/>
    <mergeCell ref="B110:D110"/>
    <mergeCell ref="B114:D114"/>
    <mergeCell ref="B113:D113"/>
    <mergeCell ref="B109:D109"/>
    <mergeCell ref="B127:C127"/>
    <mergeCell ref="A100:A101"/>
    <mergeCell ref="B100:D100"/>
    <mergeCell ref="E100:E101"/>
    <mergeCell ref="A176:A177"/>
    <mergeCell ref="B176:C176"/>
    <mergeCell ref="D176:D177"/>
    <mergeCell ref="E176:E177"/>
    <mergeCell ref="F176:F177"/>
    <mergeCell ref="G176:G177"/>
    <mergeCell ref="H176:H177"/>
    <mergeCell ref="B177:C177"/>
    <mergeCell ref="B129:C129"/>
    <mergeCell ref="A131:A132"/>
    <mergeCell ref="B131:C131"/>
    <mergeCell ref="D131:D132"/>
    <mergeCell ref="E131:E132"/>
    <mergeCell ref="F131:F132"/>
    <mergeCell ref="G131:G132"/>
    <mergeCell ref="D147:D148"/>
    <mergeCell ref="E147:E148"/>
    <mergeCell ref="F147:G147"/>
    <mergeCell ref="F148:G148"/>
    <mergeCell ref="A151:B152"/>
    <mergeCell ref="C151:C152"/>
    <mergeCell ref="D151:D152"/>
    <mergeCell ref="E151:F151"/>
    <mergeCell ref="G151:G152"/>
    <mergeCell ref="G208:G209"/>
    <mergeCell ref="H208:H209"/>
    <mergeCell ref="B212:C212"/>
    <mergeCell ref="B213:C213"/>
    <mergeCell ref="B214:C214"/>
    <mergeCell ref="B215:C215"/>
    <mergeCell ref="B218:C218"/>
    <mergeCell ref="B219:C219"/>
    <mergeCell ref="A222:B223"/>
    <mergeCell ref="C222:C223"/>
    <mergeCell ref="D222:D223"/>
    <mergeCell ref="E222:F222"/>
    <mergeCell ref="G222:G223"/>
    <mergeCell ref="H222:H223"/>
    <mergeCell ref="B217:C217"/>
    <mergeCell ref="H100:H101"/>
    <mergeCell ref="A103:A104"/>
    <mergeCell ref="E103:E104"/>
    <mergeCell ref="F103:F104"/>
    <mergeCell ref="G103:G104"/>
    <mergeCell ref="H103:H104"/>
    <mergeCell ref="G32:G33"/>
    <mergeCell ref="H32:H33"/>
    <mergeCell ref="B33:D33"/>
    <mergeCell ref="G61:G62"/>
    <mergeCell ref="H61:H62"/>
    <mergeCell ref="D69:D72"/>
    <mergeCell ref="B72:C72"/>
    <mergeCell ref="E74:F74"/>
    <mergeCell ref="B76:C76"/>
    <mergeCell ref="H38:H39"/>
    <mergeCell ref="E40:E45"/>
    <mergeCell ref="H40:H45"/>
    <mergeCell ref="B43:D43"/>
    <mergeCell ref="B48:D48"/>
    <mergeCell ref="B49:D49"/>
    <mergeCell ref="B42:D42"/>
    <mergeCell ref="B47:D47"/>
    <mergeCell ref="B45:D45"/>
    <mergeCell ref="A127:A128"/>
    <mergeCell ref="D127:D128"/>
    <mergeCell ref="B78:C78"/>
    <mergeCell ref="B82:C82"/>
    <mergeCell ref="B84:C84"/>
    <mergeCell ref="E61:F61"/>
    <mergeCell ref="D61:D62"/>
    <mergeCell ref="F100:F101"/>
    <mergeCell ref="G100:G101"/>
    <mergeCell ref="E127:E128"/>
    <mergeCell ref="F127:F128"/>
    <mergeCell ref="G127:G128"/>
    <mergeCell ref="H127:H128"/>
    <mergeCell ref="B128:C128"/>
    <mergeCell ref="Q106:Q107"/>
    <mergeCell ref="H131:H132"/>
    <mergeCell ref="B132:C132"/>
    <mergeCell ref="B138:C138"/>
    <mergeCell ref="B106:D106"/>
    <mergeCell ref="B107:D107"/>
    <mergeCell ref="B115:D115"/>
    <mergeCell ref="B117:D117"/>
    <mergeCell ref="B118:D118"/>
    <mergeCell ref="B119:D119"/>
    <mergeCell ref="B125:C125"/>
    <mergeCell ref="B139:C139"/>
    <mergeCell ref="B140:C140"/>
    <mergeCell ref="B141:C141"/>
    <mergeCell ref="B142:C142"/>
    <mergeCell ref="A145:B145"/>
    <mergeCell ref="F145:G145"/>
    <mergeCell ref="B160:C161"/>
    <mergeCell ref="E160:F160"/>
    <mergeCell ref="G160:G161"/>
    <mergeCell ref="B159:C159"/>
    <mergeCell ref="H160:H161"/>
    <mergeCell ref="E161:F161"/>
    <mergeCell ref="A162:A165"/>
    <mergeCell ref="B162:C165"/>
    <mergeCell ref="E162:F162"/>
    <mergeCell ref="G162:G165"/>
    <mergeCell ref="H162:H165"/>
    <mergeCell ref="E163:F163"/>
    <mergeCell ref="E164:F164"/>
    <mergeCell ref="E165:F165"/>
    <mergeCell ref="B166:C167"/>
    <mergeCell ref="B170:C170"/>
    <mergeCell ref="A174:A175"/>
    <mergeCell ref="B174:C174"/>
    <mergeCell ref="D174:D175"/>
    <mergeCell ref="E174:E175"/>
    <mergeCell ref="F174:F175"/>
    <mergeCell ref="G174:G175"/>
    <mergeCell ref="H174:H175"/>
    <mergeCell ref="B175:C175"/>
    <mergeCell ref="B172:C172"/>
    <mergeCell ref="B171:C171"/>
    <mergeCell ref="A166:A167"/>
    <mergeCell ref="B169:C169"/>
    <mergeCell ref="B181:C181"/>
    <mergeCell ref="A184:B185"/>
    <mergeCell ref="C184:C185"/>
    <mergeCell ref="D184:D185"/>
    <mergeCell ref="E184:F184"/>
    <mergeCell ref="G184:G185"/>
    <mergeCell ref="H184:H185"/>
    <mergeCell ref="B187:C187"/>
    <mergeCell ref="B188:C188"/>
    <mergeCell ref="B189:C189"/>
    <mergeCell ref="E189:F189"/>
    <mergeCell ref="A196:B196"/>
    <mergeCell ref="B199:C199"/>
    <mergeCell ref="B201:C201"/>
    <mergeCell ref="A208:B209"/>
    <mergeCell ref="C208:C209"/>
    <mergeCell ref="D208:D209"/>
    <mergeCell ref="E208:F208"/>
    <mergeCell ref="B204:C204"/>
    <mergeCell ref="B205:C205"/>
    <mergeCell ref="B203:C203"/>
    <mergeCell ref="B242:D242"/>
    <mergeCell ref="D247:F248"/>
    <mergeCell ref="B225:C225"/>
    <mergeCell ref="B226:C226"/>
    <mergeCell ref="A233:B233"/>
    <mergeCell ref="B235:D235"/>
    <mergeCell ref="B236:D236"/>
    <mergeCell ref="B237:D237"/>
    <mergeCell ref="B238:D238"/>
    <mergeCell ref="B239:D239"/>
    <mergeCell ref="B240:D240"/>
  </mergeCells>
  <dataValidations count="3">
    <dataValidation type="list" allowBlank="1" showInputMessage="1" showErrorMessage="1" sqref="E242" xr:uid="{F5EC9AF3-F74A-45BC-B6A8-FC7890D50DD2}">
      <formula1>$J$242:$J$246</formula1>
    </dataValidation>
    <dataValidation type="list" allowBlank="1" showInputMessage="1" showErrorMessage="1" sqref="F148:G148" xr:uid="{A870D653-6965-4C31-81FA-D2267230A9BF}">
      <formula1>$K$145:$P$145</formula1>
    </dataValidation>
    <dataValidation type="list" allowBlank="1" showInputMessage="1" showErrorMessage="1" sqref="A7:B7" xr:uid="{3A438DFC-ECE7-4043-8009-1DA70B726359}">
      <formula1>$J$1:$J$6</formula1>
    </dataValidation>
  </dataValidations>
  <pageMargins left="0.25" right="0.25" top="0.75" bottom="0.75" header="0.3" footer="0.3"/>
  <pageSetup paperSize="9" scale="55" fitToHeight="4" orientation="portrait" r:id="rId1"/>
  <headerFooter>
    <oddFooter>&amp;F</oddFooter>
  </headerFooter>
  <rowBreaks count="3" manualBreakCount="3">
    <brk id="60" max="7" man="1"/>
    <brk id="121" max="7" man="1"/>
    <brk id="183"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A85F7-BD4F-499E-AE72-F73811ACA8E8}">
  <dimension ref="A1:C12"/>
  <sheetViews>
    <sheetView zoomScale="115" zoomScaleNormal="115" zoomScaleSheetLayoutView="115" workbookViewId="0">
      <selection activeCell="B18" sqref="B18"/>
    </sheetView>
  </sheetViews>
  <sheetFormatPr defaultRowHeight="14.4"/>
  <cols>
    <col min="1" max="1" width="34" customWidth="1"/>
    <col min="2" max="3" width="33.6640625" customWidth="1"/>
  </cols>
  <sheetData>
    <row r="1" spans="1:3" ht="15.6">
      <c r="A1" s="388" t="s">
        <v>385</v>
      </c>
      <c r="B1" s="698" t="s">
        <v>574</v>
      </c>
      <c r="C1" s="698"/>
    </row>
    <row r="2" spans="1:3" ht="15.6">
      <c r="A2" s="699" t="s">
        <v>386</v>
      </c>
      <c r="B2" s="700" t="s">
        <v>387</v>
      </c>
      <c r="C2" s="700"/>
    </row>
    <row r="3" spans="1:3" ht="18">
      <c r="A3" s="699"/>
      <c r="B3" s="492" t="s">
        <v>391</v>
      </c>
      <c r="C3" s="492" t="s">
        <v>392</v>
      </c>
    </row>
    <row r="4" spans="1:3" ht="15">
      <c r="A4" s="387" t="s">
        <v>389</v>
      </c>
      <c r="B4" s="469">
        <v>68</v>
      </c>
      <c r="C4" s="469">
        <v>80</v>
      </c>
    </row>
    <row r="5" spans="1:3" ht="15">
      <c r="A5" s="387" t="s">
        <v>388</v>
      </c>
      <c r="B5" s="469">
        <v>68</v>
      </c>
      <c r="C5" s="469">
        <v>80</v>
      </c>
    </row>
    <row r="6" spans="1:3" ht="15">
      <c r="A6" s="387" t="s">
        <v>16</v>
      </c>
      <c r="B6" s="469">
        <v>60</v>
      </c>
      <c r="C6" s="469">
        <v>70</v>
      </c>
    </row>
    <row r="7" spans="1:3" ht="15">
      <c r="A7" s="387" t="s">
        <v>15</v>
      </c>
      <c r="B7" s="469">
        <v>65</v>
      </c>
      <c r="C7" s="469">
        <v>70</v>
      </c>
    </row>
    <row r="8" spans="1:3" ht="15">
      <c r="A8" s="387" t="s">
        <v>383</v>
      </c>
      <c r="B8" s="469">
        <v>60</v>
      </c>
      <c r="C8" s="469">
        <v>66</v>
      </c>
    </row>
    <row r="9" spans="1:3" ht="15">
      <c r="A9" s="387" t="s">
        <v>382</v>
      </c>
      <c r="B9" s="469">
        <v>60</v>
      </c>
      <c r="C9" s="469">
        <v>60</v>
      </c>
    </row>
    <row r="10" spans="1:3" ht="15.75" customHeight="1">
      <c r="A10" s="387" t="s">
        <v>399</v>
      </c>
      <c r="B10" s="469">
        <v>42</v>
      </c>
      <c r="C10" s="469">
        <v>42</v>
      </c>
    </row>
    <row r="11" spans="1:3" ht="15">
      <c r="A11" s="387" t="s">
        <v>390</v>
      </c>
      <c r="B11" s="469">
        <v>42</v>
      </c>
      <c r="C11" s="469">
        <v>42</v>
      </c>
    </row>
    <row r="12" spans="1:3" ht="15" hidden="1">
      <c r="A12" s="450" t="s">
        <v>40</v>
      </c>
      <c r="B12" s="402">
        <v>0</v>
      </c>
      <c r="C12" s="402">
        <v>0</v>
      </c>
    </row>
  </sheetData>
  <sheetProtection algorithmName="SHA-512" hashValue="huEyia5CsFBN4S+CQi+ahUQ6gx2/Im3uUqSgN1w27VXtiCOzS7WdS/ElMuwJKYuLdWF3lWC5uGt2hGEMaIy3MQ==" saltValue="7Kzlxr8pnJGesVCCozadtg==" spinCount="100000" sheet="1" objects="1" scenarios="1" selectLockedCells="1" selectUnlockedCells="1"/>
  <mergeCells count="3">
    <mergeCell ref="B1:C1"/>
    <mergeCell ref="A2:A3"/>
    <mergeCell ref="B2:C2"/>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4F005-4591-4855-9859-1EE3030854E1}">
  <sheetPr>
    <pageSetUpPr fitToPage="1"/>
  </sheetPr>
  <dimension ref="A1:J169"/>
  <sheetViews>
    <sheetView zoomScaleNormal="100" zoomScaleSheetLayoutView="100" workbookViewId="0">
      <selection activeCell="C165" sqref="C165:E165"/>
    </sheetView>
  </sheetViews>
  <sheetFormatPr defaultColWidth="9.109375" defaultRowHeight="15"/>
  <cols>
    <col min="1" max="1" width="5.109375" style="505" customWidth="1"/>
    <col min="2" max="2" width="9.109375" style="412"/>
    <col min="3" max="3" width="53.88671875" style="412" customWidth="1"/>
    <col min="4" max="4" width="24.33203125" style="412" customWidth="1"/>
    <col min="5" max="9" width="22.33203125" style="412" customWidth="1"/>
    <col min="10" max="10" width="5.6640625" style="412" customWidth="1"/>
    <col min="11" max="16384" width="9.109375" style="412"/>
  </cols>
  <sheetData>
    <row r="1" spans="1:9" ht="17.399999999999999">
      <c r="A1" s="506" t="s">
        <v>508</v>
      </c>
      <c r="D1" s="397"/>
      <c r="E1" s="397"/>
      <c r="F1" s="397"/>
      <c r="G1" s="397"/>
      <c r="H1" s="397"/>
      <c r="I1" s="397"/>
    </row>
    <row r="2" spans="1:9" ht="17.399999999999999">
      <c r="A2" s="398"/>
      <c r="B2" s="397"/>
      <c r="C2" s="397"/>
      <c r="D2" s="397"/>
      <c r="E2" s="397"/>
      <c r="F2" s="397"/>
      <c r="G2" s="397"/>
      <c r="H2" s="397"/>
      <c r="I2" s="397"/>
    </row>
    <row r="3" spans="1:9" ht="17.399999999999999">
      <c r="A3" s="398" t="s">
        <v>403</v>
      </c>
      <c r="B3" s="397"/>
      <c r="C3" s="397"/>
      <c r="D3" s="397"/>
      <c r="E3" s="397"/>
      <c r="F3" s="397"/>
      <c r="G3" s="397"/>
      <c r="H3" s="397"/>
      <c r="I3" s="397"/>
    </row>
    <row r="4" spans="1:9">
      <c r="A4" s="309"/>
      <c r="B4" s="397"/>
      <c r="C4" s="397"/>
      <c r="D4" s="397"/>
      <c r="E4" s="397"/>
      <c r="F4" s="397"/>
      <c r="G4" s="397"/>
      <c r="H4" s="397"/>
      <c r="I4" s="397"/>
    </row>
    <row r="5" spans="1:9" ht="15.6">
      <c r="A5" s="399" t="s">
        <v>404</v>
      </c>
      <c r="B5" s="397"/>
      <c r="C5" s="397"/>
      <c r="D5" s="397"/>
      <c r="E5" s="397"/>
      <c r="F5" s="397"/>
      <c r="G5" s="397"/>
      <c r="H5" s="397"/>
      <c r="I5" s="397"/>
    </row>
    <row r="6" spans="1:9">
      <c r="A6" s="400" t="s">
        <v>405</v>
      </c>
      <c r="B6" s="715" t="s">
        <v>406</v>
      </c>
      <c r="C6" s="715"/>
      <c r="D6" s="715"/>
      <c r="E6" s="715"/>
      <c r="F6" s="715"/>
      <c r="G6" s="715"/>
      <c r="H6" s="715"/>
      <c r="I6" s="715"/>
    </row>
    <row r="7" spans="1:9">
      <c r="A7" s="400"/>
      <c r="B7" s="491"/>
      <c r="C7" s="491"/>
      <c r="D7" s="397"/>
      <c r="E7" s="397"/>
      <c r="F7" s="397"/>
      <c r="G7" s="397"/>
      <c r="H7" s="397"/>
      <c r="I7" s="397"/>
    </row>
    <row r="8" spans="1:9" ht="32.25" customHeight="1">
      <c r="A8" s="400" t="s">
        <v>407</v>
      </c>
      <c r="B8" s="715" t="s">
        <v>408</v>
      </c>
      <c r="C8" s="715"/>
      <c r="D8" s="715"/>
      <c r="E8" s="715"/>
      <c r="F8" s="715"/>
      <c r="G8" s="715"/>
      <c r="H8" s="715"/>
      <c r="I8" s="715"/>
    </row>
    <row r="9" spans="1:9">
      <c r="A9" s="400"/>
      <c r="B9" s="491"/>
      <c r="C9" s="491"/>
      <c r="D9" s="397"/>
      <c r="E9" s="397"/>
      <c r="F9" s="397"/>
      <c r="G9" s="397"/>
      <c r="H9" s="397"/>
      <c r="I9" s="397"/>
    </row>
    <row r="10" spans="1:9" ht="30" customHeight="1">
      <c r="A10" s="400" t="s">
        <v>409</v>
      </c>
      <c r="B10" s="716" t="s">
        <v>410</v>
      </c>
      <c r="C10" s="717"/>
      <c r="D10" s="717"/>
      <c r="E10" s="717"/>
      <c r="F10" s="717"/>
      <c r="G10" s="717"/>
      <c r="H10" s="717"/>
      <c r="I10" s="717"/>
    </row>
    <row r="11" spans="1:9">
      <c r="A11" s="400"/>
      <c r="B11" s="491"/>
      <c r="C11" s="491"/>
      <c r="D11" s="397"/>
      <c r="E11" s="397"/>
      <c r="F11" s="397"/>
      <c r="G11" s="397"/>
      <c r="H11" s="397"/>
      <c r="I11" s="397"/>
    </row>
    <row r="12" spans="1:9" ht="30.75" customHeight="1">
      <c r="A12" s="400" t="s">
        <v>411</v>
      </c>
      <c r="B12" s="718" t="s">
        <v>575</v>
      </c>
      <c r="C12" s="718"/>
      <c r="D12" s="718"/>
      <c r="E12" s="718"/>
      <c r="F12" s="718"/>
      <c r="G12" s="718"/>
      <c r="H12" s="718"/>
      <c r="I12" s="718"/>
    </row>
    <row r="13" spans="1:9">
      <c r="A13" s="400"/>
      <c r="B13" s="491"/>
      <c r="C13" s="491"/>
      <c r="D13" s="491"/>
      <c r="E13" s="491"/>
      <c r="F13" s="491"/>
      <c r="G13" s="491"/>
      <c r="H13" s="491"/>
      <c r="I13" s="491"/>
    </row>
    <row r="14" spans="1:9" ht="47.25" customHeight="1">
      <c r="A14" s="401"/>
      <c r="B14" s="719" t="s">
        <v>412</v>
      </c>
      <c r="C14" s="719"/>
      <c r="D14" s="493" t="s">
        <v>413</v>
      </c>
      <c r="E14" s="493" t="s">
        <v>576</v>
      </c>
      <c r="F14" s="493" t="s">
        <v>414</v>
      </c>
      <c r="G14" s="491"/>
      <c r="H14" s="491"/>
      <c r="I14" s="491"/>
    </row>
    <row r="15" spans="1:9">
      <c r="A15" s="401"/>
      <c r="B15" s="720" t="s">
        <v>577</v>
      </c>
      <c r="C15" s="721"/>
      <c r="D15" s="483">
        <v>1.44</v>
      </c>
      <c r="E15" s="483" t="s">
        <v>335</v>
      </c>
      <c r="F15" s="509" t="s">
        <v>415</v>
      </c>
      <c r="G15" s="491"/>
      <c r="H15" s="491"/>
      <c r="I15" s="491"/>
    </row>
    <row r="16" spans="1:9">
      <c r="A16" s="400"/>
      <c r="B16" s="711" t="s">
        <v>416</v>
      </c>
      <c r="C16" s="711"/>
      <c r="D16" s="711">
        <v>2.2000000000000002</v>
      </c>
      <c r="E16" s="483" t="s">
        <v>284</v>
      </c>
      <c r="F16" s="712" t="s">
        <v>415</v>
      </c>
      <c r="G16" s="491"/>
      <c r="H16" s="491"/>
      <c r="I16" s="491"/>
    </row>
    <row r="17" spans="1:9">
      <c r="A17" s="400"/>
      <c r="B17" s="711"/>
      <c r="C17" s="711"/>
      <c r="D17" s="711"/>
      <c r="E17" s="483" t="s">
        <v>546</v>
      </c>
      <c r="F17" s="713"/>
      <c r="G17" s="491"/>
      <c r="H17" s="491"/>
      <c r="I17" s="491"/>
    </row>
    <row r="18" spans="1:9">
      <c r="A18" s="400"/>
      <c r="B18" s="711"/>
      <c r="C18" s="711"/>
      <c r="D18" s="711"/>
      <c r="E18" s="483" t="s">
        <v>522</v>
      </c>
      <c r="F18" s="713"/>
      <c r="G18" s="491"/>
      <c r="H18" s="491"/>
      <c r="I18" s="491"/>
    </row>
    <row r="19" spans="1:9">
      <c r="A19" s="400"/>
      <c r="B19" s="711"/>
      <c r="C19" s="711"/>
      <c r="D19" s="711"/>
      <c r="E19" s="483" t="s">
        <v>285</v>
      </c>
      <c r="F19" s="714"/>
      <c r="G19" s="491"/>
      <c r="H19" s="491"/>
      <c r="I19" s="491"/>
    </row>
    <row r="20" spans="1:9" ht="15" customHeight="1">
      <c r="A20" s="400"/>
      <c r="B20" s="748" t="s">
        <v>417</v>
      </c>
      <c r="C20" s="749"/>
      <c r="D20" s="712">
        <v>2.8</v>
      </c>
      <c r="E20" s="483" t="s">
        <v>532</v>
      </c>
      <c r="F20" s="712" t="s">
        <v>415</v>
      </c>
      <c r="G20" s="491"/>
      <c r="H20" s="491"/>
      <c r="I20" s="491"/>
    </row>
    <row r="21" spans="1:9" ht="15" customHeight="1">
      <c r="A21" s="400"/>
      <c r="B21" s="750"/>
      <c r="C21" s="751"/>
      <c r="D21" s="713"/>
      <c r="E21" s="483" t="s">
        <v>547</v>
      </c>
      <c r="F21" s="713"/>
      <c r="G21" s="491"/>
      <c r="H21" s="491"/>
      <c r="I21" s="491"/>
    </row>
    <row r="22" spans="1:9">
      <c r="A22" s="400"/>
      <c r="B22" s="750"/>
      <c r="C22" s="751"/>
      <c r="D22" s="713"/>
      <c r="E22" s="483" t="s">
        <v>286</v>
      </c>
      <c r="F22" s="713"/>
      <c r="G22" s="491"/>
      <c r="H22" s="491"/>
      <c r="I22" s="491"/>
    </row>
    <row r="23" spans="1:9">
      <c r="A23" s="400"/>
      <c r="B23" s="750"/>
      <c r="C23" s="751"/>
      <c r="D23" s="713"/>
      <c r="E23" s="483" t="s">
        <v>524</v>
      </c>
      <c r="F23" s="713"/>
      <c r="G23" s="491"/>
      <c r="H23" s="491"/>
      <c r="I23" s="491"/>
    </row>
    <row r="24" spans="1:9">
      <c r="A24" s="400"/>
      <c r="B24" s="750"/>
      <c r="C24" s="751"/>
      <c r="D24" s="713"/>
      <c r="E24" s="483" t="s">
        <v>287</v>
      </c>
      <c r="F24" s="713"/>
      <c r="G24" s="491"/>
      <c r="H24" s="491"/>
      <c r="I24" s="491"/>
    </row>
    <row r="25" spans="1:9">
      <c r="A25" s="400"/>
      <c r="B25" s="750"/>
      <c r="C25" s="751"/>
      <c r="D25" s="713"/>
      <c r="E25" s="483" t="s">
        <v>288</v>
      </c>
      <c r="F25" s="713"/>
      <c r="G25" s="491"/>
      <c r="H25" s="491"/>
      <c r="I25" s="491"/>
    </row>
    <row r="26" spans="1:9">
      <c r="A26" s="400"/>
      <c r="B26" s="750"/>
      <c r="C26" s="751"/>
      <c r="D26" s="713"/>
      <c r="E26" s="483" t="s">
        <v>289</v>
      </c>
      <c r="F26" s="713"/>
      <c r="G26" s="491"/>
      <c r="H26" s="491"/>
      <c r="I26" s="491"/>
    </row>
    <row r="27" spans="1:9">
      <c r="A27" s="400"/>
      <c r="B27" s="750"/>
      <c r="C27" s="751"/>
      <c r="D27" s="713"/>
      <c r="E27" s="483" t="s">
        <v>523</v>
      </c>
      <c r="F27" s="714"/>
      <c r="G27" s="491"/>
      <c r="H27" s="491"/>
      <c r="I27" s="491"/>
    </row>
    <row r="28" spans="1:9" ht="15.6" customHeight="1">
      <c r="A28" s="400"/>
      <c r="B28" s="711" t="s">
        <v>418</v>
      </c>
      <c r="C28" s="711"/>
      <c r="D28" s="711">
        <v>3.4</v>
      </c>
      <c r="E28" s="483" t="s">
        <v>550</v>
      </c>
      <c r="F28" s="712" t="s">
        <v>415</v>
      </c>
      <c r="G28" s="491"/>
      <c r="H28" s="491"/>
      <c r="I28" s="491"/>
    </row>
    <row r="29" spans="1:9" ht="15" customHeight="1">
      <c r="A29" s="400"/>
      <c r="B29" s="711"/>
      <c r="C29" s="711"/>
      <c r="D29" s="711"/>
      <c r="E29" s="483" t="s">
        <v>533</v>
      </c>
      <c r="F29" s="713"/>
      <c r="G29" s="491"/>
      <c r="H29" s="491"/>
      <c r="I29" s="491"/>
    </row>
    <row r="30" spans="1:9">
      <c r="A30" s="400"/>
      <c r="B30" s="711"/>
      <c r="C30" s="711"/>
      <c r="D30" s="711"/>
      <c r="E30" s="483" t="s">
        <v>525</v>
      </c>
      <c r="F30" s="713"/>
      <c r="G30" s="397"/>
      <c r="H30" s="397"/>
      <c r="I30" s="397"/>
    </row>
    <row r="31" spans="1:9">
      <c r="A31" s="400"/>
      <c r="B31" s="711"/>
      <c r="C31" s="711"/>
      <c r="D31" s="711"/>
      <c r="E31" s="483" t="s">
        <v>551</v>
      </c>
      <c r="F31" s="714"/>
      <c r="G31" s="397"/>
      <c r="H31" s="397"/>
      <c r="I31" s="397"/>
    </row>
    <row r="32" spans="1:9" ht="37.950000000000003" customHeight="1">
      <c r="A32" s="400"/>
      <c r="B32" s="701" t="s">
        <v>560</v>
      </c>
      <c r="C32" s="701"/>
      <c r="D32" s="701"/>
      <c r="E32" s="701"/>
      <c r="F32" s="701"/>
      <c r="G32" s="701"/>
      <c r="H32" s="701"/>
      <c r="I32" s="701"/>
    </row>
    <row r="33" spans="1:9">
      <c r="A33" s="400"/>
      <c r="B33" s="494"/>
      <c r="C33" s="494"/>
      <c r="D33" s="494"/>
      <c r="E33" s="494"/>
      <c r="F33" s="397"/>
      <c r="G33" s="397"/>
      <c r="H33" s="397"/>
      <c r="I33" s="397"/>
    </row>
    <row r="34" spans="1:9" ht="34.200000000000003" customHeight="1">
      <c r="A34" s="401" t="s">
        <v>419</v>
      </c>
      <c r="B34" s="724" t="s">
        <v>644</v>
      </c>
      <c r="C34" s="724"/>
      <c r="D34" s="724"/>
      <c r="E34" s="724"/>
      <c r="F34" s="724"/>
      <c r="G34" s="724"/>
      <c r="H34" s="724"/>
      <c r="I34" s="724"/>
    </row>
    <row r="35" spans="1:9">
      <c r="A35" s="309"/>
      <c r="B35" s="397"/>
      <c r="C35" s="397"/>
      <c r="D35" s="397"/>
      <c r="E35" s="397"/>
      <c r="F35" s="397"/>
      <c r="G35" s="397"/>
      <c r="H35" s="397"/>
      <c r="I35" s="397"/>
    </row>
    <row r="36" spans="1:9" ht="15.6" customHeight="1">
      <c r="A36" s="309"/>
      <c r="B36" s="752" t="s">
        <v>578</v>
      </c>
      <c r="C36" s="752"/>
      <c r="D36" s="752"/>
      <c r="E36" s="752"/>
      <c r="F36" s="397"/>
      <c r="G36" s="397"/>
      <c r="H36" s="397"/>
      <c r="I36" s="397"/>
    </row>
    <row r="37" spans="1:9" ht="15.6" customHeight="1">
      <c r="A37" s="309"/>
      <c r="B37" s="752" t="s">
        <v>466</v>
      </c>
      <c r="C37" s="752"/>
      <c r="D37" s="431" t="s">
        <v>467</v>
      </c>
      <c r="E37" s="431" t="s">
        <v>468</v>
      </c>
      <c r="F37" s="397"/>
      <c r="G37" s="397"/>
      <c r="H37" s="397"/>
      <c r="I37" s="397"/>
    </row>
    <row r="38" spans="1:9" ht="15.6" customHeight="1">
      <c r="A38" s="309"/>
      <c r="B38" s="730" t="s">
        <v>370</v>
      </c>
      <c r="C38" s="730"/>
      <c r="D38" s="507" t="s">
        <v>527</v>
      </c>
      <c r="E38" s="483" t="s">
        <v>292</v>
      </c>
      <c r="F38" s="397"/>
      <c r="G38" s="397"/>
      <c r="H38" s="397"/>
      <c r="I38" s="397"/>
    </row>
    <row r="39" spans="1:9" ht="15.6" customHeight="1">
      <c r="A39" s="309"/>
      <c r="B39" s="711" t="s">
        <v>327</v>
      </c>
      <c r="C39" s="711"/>
      <c r="D39" s="483" t="s">
        <v>329</v>
      </c>
      <c r="E39" s="507" t="s">
        <v>531</v>
      </c>
      <c r="F39" s="397"/>
      <c r="G39" s="397"/>
      <c r="H39" s="397"/>
      <c r="I39" s="397"/>
    </row>
    <row r="40" spans="1:9" ht="15.6" customHeight="1">
      <c r="A40" s="309"/>
      <c r="B40" s="730" t="s">
        <v>526</v>
      </c>
      <c r="C40" s="730"/>
      <c r="D40" s="507" t="s">
        <v>528</v>
      </c>
      <c r="E40" s="483" t="s">
        <v>293</v>
      </c>
      <c r="F40" s="397"/>
      <c r="G40" s="397"/>
      <c r="H40" s="397"/>
      <c r="I40" s="397"/>
    </row>
    <row r="41" spans="1:9" ht="15.6" customHeight="1">
      <c r="A41" s="309"/>
      <c r="B41" s="720" t="s">
        <v>328</v>
      </c>
      <c r="C41" s="721"/>
      <c r="D41" s="507" t="s">
        <v>529</v>
      </c>
      <c r="E41" s="483" t="s">
        <v>294</v>
      </c>
      <c r="F41" s="397"/>
      <c r="G41" s="397"/>
      <c r="H41" s="397"/>
      <c r="I41" s="397"/>
    </row>
    <row r="42" spans="1:9" ht="15.6" customHeight="1">
      <c r="A42" s="309"/>
      <c r="B42" s="720" t="s">
        <v>290</v>
      </c>
      <c r="C42" s="721"/>
      <c r="D42" s="507" t="s">
        <v>530</v>
      </c>
      <c r="E42" s="508"/>
      <c r="F42" s="397"/>
      <c r="G42" s="397"/>
      <c r="H42" s="397"/>
      <c r="I42" s="397"/>
    </row>
    <row r="43" spans="1:9" ht="15.6" customHeight="1">
      <c r="A43" s="309"/>
      <c r="B43" s="720" t="s">
        <v>291</v>
      </c>
      <c r="C43" s="721"/>
      <c r="D43" s="483" t="s">
        <v>330</v>
      </c>
      <c r="E43" s="508"/>
      <c r="F43" s="397"/>
      <c r="G43" s="397"/>
      <c r="H43" s="397"/>
      <c r="I43" s="397"/>
    </row>
    <row r="44" spans="1:9" ht="15.6" customHeight="1">
      <c r="A44" s="309"/>
      <c r="B44" s="720"/>
      <c r="C44" s="721"/>
      <c r="D44" s="483" t="s">
        <v>331</v>
      </c>
      <c r="E44" s="495"/>
      <c r="F44" s="397"/>
      <c r="G44" s="397"/>
      <c r="H44" s="397"/>
      <c r="I44" s="397"/>
    </row>
    <row r="45" spans="1:9" ht="15.6" customHeight="1">
      <c r="A45" s="309"/>
      <c r="B45" s="720"/>
      <c r="C45" s="721"/>
      <c r="D45" s="483" t="s">
        <v>332</v>
      </c>
      <c r="E45" s="495"/>
      <c r="F45" s="397"/>
      <c r="G45" s="397"/>
      <c r="H45" s="397"/>
      <c r="I45" s="397"/>
    </row>
    <row r="46" spans="1:9" ht="15.6" customHeight="1">
      <c r="A46" s="309"/>
      <c r="B46" s="482"/>
      <c r="C46" s="479"/>
      <c r="D46" s="483" t="s">
        <v>548</v>
      </c>
      <c r="E46" s="495"/>
      <c r="F46" s="397"/>
      <c r="G46" s="397"/>
      <c r="H46" s="397"/>
      <c r="I46" s="397"/>
    </row>
    <row r="47" spans="1:9" ht="15.6" customHeight="1">
      <c r="A47" s="309"/>
      <c r="B47" s="477"/>
      <c r="C47" s="478"/>
      <c r="D47" s="483" t="s">
        <v>549</v>
      </c>
      <c r="E47" s="495"/>
      <c r="F47" s="397"/>
      <c r="G47" s="397"/>
      <c r="H47" s="397"/>
      <c r="I47" s="397"/>
    </row>
    <row r="48" spans="1:9" ht="15.6" customHeight="1">
      <c r="A48" s="309"/>
      <c r="B48" s="701" t="s">
        <v>559</v>
      </c>
      <c r="C48" s="701"/>
      <c r="D48" s="701"/>
      <c r="E48" s="701"/>
      <c r="F48" s="701"/>
      <c r="G48" s="701"/>
      <c r="H48" s="701"/>
      <c r="I48" s="701"/>
    </row>
    <row r="49" spans="1:9" ht="15.6" customHeight="1">
      <c r="A49" s="309"/>
      <c r="B49" s="496"/>
      <c r="C49" s="496"/>
      <c r="D49" s="494"/>
      <c r="E49" s="496"/>
      <c r="F49" s="397"/>
      <c r="G49" s="397"/>
      <c r="H49" s="397"/>
      <c r="I49" s="397"/>
    </row>
    <row r="50" spans="1:9" ht="30" customHeight="1">
      <c r="A50" s="400" t="s">
        <v>421</v>
      </c>
      <c r="B50" s="705" t="s">
        <v>649</v>
      </c>
      <c r="C50" s="706"/>
      <c r="D50" s="706"/>
      <c r="E50" s="706"/>
      <c r="F50" s="706"/>
      <c r="G50" s="706"/>
      <c r="H50" s="706"/>
      <c r="I50" s="706"/>
    </row>
    <row r="51" spans="1:9">
      <c r="A51" s="400"/>
      <c r="B51" s="486"/>
      <c r="C51" s="487"/>
      <c r="D51" s="487"/>
      <c r="E51" s="487"/>
      <c r="F51" s="487"/>
      <c r="G51" s="487"/>
      <c r="H51" s="487"/>
      <c r="I51" s="487"/>
    </row>
    <row r="52" spans="1:9" ht="15.6">
      <c r="A52" s="403"/>
      <c r="B52" s="404" t="s">
        <v>420</v>
      </c>
      <c r="C52" s="707" t="s">
        <v>650</v>
      </c>
      <c r="D52" s="708"/>
      <c r="E52" s="405"/>
      <c r="F52" s="405"/>
      <c r="G52" s="405"/>
      <c r="H52" s="405"/>
      <c r="I52" s="405"/>
    </row>
    <row r="53" spans="1:9">
      <c r="A53" s="403"/>
      <c r="B53" s="406">
        <v>1</v>
      </c>
      <c r="C53" s="702">
        <v>900</v>
      </c>
      <c r="D53" s="702"/>
      <c r="E53" s="405"/>
      <c r="F53" s="405"/>
      <c r="G53" s="405"/>
      <c r="H53" s="405"/>
      <c r="I53" s="405"/>
    </row>
    <row r="54" spans="1:9">
      <c r="A54" s="403"/>
      <c r="B54" s="406">
        <v>2</v>
      </c>
      <c r="C54" s="702">
        <v>1000</v>
      </c>
      <c r="D54" s="702"/>
      <c r="E54" s="405"/>
      <c r="F54" s="405"/>
      <c r="G54" s="405"/>
      <c r="H54" s="405"/>
      <c r="I54" s="405"/>
    </row>
    <row r="55" spans="1:9">
      <c r="A55" s="403"/>
      <c r="B55" s="406">
        <v>3</v>
      </c>
      <c r="C55" s="702">
        <v>1100</v>
      </c>
      <c r="D55" s="702"/>
      <c r="E55" s="405"/>
      <c r="F55" s="405"/>
      <c r="G55" s="405"/>
      <c r="H55" s="405"/>
      <c r="I55" s="405"/>
    </row>
    <row r="56" spans="1:9">
      <c r="A56" s="403"/>
      <c r="B56" s="406">
        <v>4</v>
      </c>
      <c r="C56" s="702">
        <v>1200</v>
      </c>
      <c r="D56" s="702"/>
      <c r="E56" s="405"/>
      <c r="F56" s="405"/>
      <c r="G56" s="405"/>
      <c r="H56" s="405"/>
      <c r="I56" s="405"/>
    </row>
    <row r="57" spans="1:9">
      <c r="A57" s="403"/>
      <c r="B57" s="406">
        <v>5</v>
      </c>
      <c r="C57" s="703">
        <v>1250</v>
      </c>
      <c r="D57" s="704"/>
      <c r="E57" s="405"/>
      <c r="F57" s="405"/>
      <c r="G57" s="405"/>
      <c r="H57" s="405"/>
      <c r="I57" s="405"/>
    </row>
    <row r="58" spans="1:9">
      <c r="A58" s="403"/>
      <c r="B58" s="406">
        <v>6</v>
      </c>
      <c r="C58" s="702">
        <v>1500</v>
      </c>
      <c r="D58" s="702"/>
      <c r="E58" s="405"/>
      <c r="F58" s="405"/>
      <c r="G58" s="405"/>
      <c r="H58" s="405"/>
      <c r="I58" s="405"/>
    </row>
    <row r="59" spans="1:9">
      <c r="A59" s="403"/>
      <c r="B59" s="406">
        <v>7</v>
      </c>
      <c r="C59" s="702">
        <v>2000</v>
      </c>
      <c r="D59" s="702"/>
      <c r="E59" s="405"/>
      <c r="F59" s="405"/>
      <c r="G59" s="405"/>
      <c r="H59" s="405"/>
      <c r="I59" s="405"/>
    </row>
    <row r="60" spans="1:9">
      <c r="A60" s="403"/>
      <c r="B60" s="407"/>
      <c r="C60" s="408"/>
      <c r="D60" s="408"/>
      <c r="E60" s="405"/>
      <c r="F60" s="405"/>
      <c r="G60" s="405"/>
      <c r="H60" s="405"/>
      <c r="I60" s="405"/>
    </row>
    <row r="61" spans="1:9" ht="32.25" customHeight="1">
      <c r="A61" s="400" t="s">
        <v>465</v>
      </c>
      <c r="B61" s="705" t="s">
        <v>579</v>
      </c>
      <c r="C61" s="706"/>
      <c r="D61" s="706"/>
      <c r="E61" s="706"/>
      <c r="F61" s="706"/>
      <c r="G61" s="706"/>
      <c r="H61" s="706"/>
      <c r="I61" s="706"/>
    </row>
    <row r="62" spans="1:9">
      <c r="A62" s="403"/>
      <c r="B62" s="407"/>
      <c r="C62" s="408"/>
      <c r="D62" s="408"/>
      <c r="E62" s="405"/>
      <c r="F62" s="405"/>
      <c r="G62" s="405"/>
      <c r="H62" s="405"/>
      <c r="I62" s="405"/>
    </row>
    <row r="63" spans="1:9" ht="15.6">
      <c r="A63" s="403"/>
      <c r="B63" s="404" t="s">
        <v>420</v>
      </c>
      <c r="C63" s="409" t="s">
        <v>422</v>
      </c>
      <c r="D63" s="710" t="s">
        <v>423</v>
      </c>
      <c r="E63" s="710"/>
      <c r="F63" s="710" t="s">
        <v>424</v>
      </c>
      <c r="G63" s="710"/>
      <c r="H63" s="405"/>
      <c r="I63" s="405"/>
    </row>
    <row r="64" spans="1:9">
      <c r="A64" s="403"/>
      <c r="B64" s="406">
        <v>1</v>
      </c>
      <c r="C64" s="489" t="s">
        <v>425</v>
      </c>
      <c r="D64" s="702" t="s">
        <v>635</v>
      </c>
      <c r="E64" s="702"/>
      <c r="F64" s="722">
        <v>150</v>
      </c>
      <c r="G64" s="722"/>
      <c r="H64" s="405"/>
      <c r="I64" s="405"/>
    </row>
    <row r="65" spans="1:9">
      <c r="A65" s="403"/>
      <c r="B65" s="406">
        <v>2</v>
      </c>
      <c r="C65" s="489" t="s">
        <v>426</v>
      </c>
      <c r="D65" s="723" t="s">
        <v>636</v>
      </c>
      <c r="E65" s="702"/>
      <c r="F65" s="722" t="s">
        <v>427</v>
      </c>
      <c r="G65" s="722"/>
      <c r="H65" s="405"/>
      <c r="I65" s="405"/>
    </row>
    <row r="66" spans="1:9">
      <c r="A66" s="403"/>
      <c r="B66" s="406">
        <v>3</v>
      </c>
      <c r="C66" s="489" t="s">
        <v>580</v>
      </c>
      <c r="D66" s="723" t="s">
        <v>637</v>
      </c>
      <c r="E66" s="702"/>
      <c r="F66" s="722" t="s">
        <v>427</v>
      </c>
      <c r="G66" s="722"/>
      <c r="H66" s="405"/>
      <c r="I66" s="405"/>
    </row>
    <row r="67" spans="1:9" ht="31.95" customHeight="1">
      <c r="A67" s="403"/>
      <c r="B67" s="406">
        <v>4</v>
      </c>
      <c r="C67" s="489" t="s">
        <v>581</v>
      </c>
      <c r="D67" s="723" t="s">
        <v>638</v>
      </c>
      <c r="E67" s="702"/>
      <c r="F67" s="722" t="s">
        <v>427</v>
      </c>
      <c r="G67" s="722"/>
      <c r="H67" s="405"/>
      <c r="I67" s="405"/>
    </row>
    <row r="68" spans="1:9">
      <c r="A68" s="309"/>
      <c r="B68" s="397" t="s">
        <v>639</v>
      </c>
      <c r="C68" s="397"/>
      <c r="D68" s="397"/>
      <c r="E68" s="397"/>
      <c r="F68" s="397"/>
      <c r="G68" s="397"/>
      <c r="H68" s="397"/>
      <c r="I68" s="397"/>
    </row>
    <row r="69" spans="1:9">
      <c r="A69" s="309"/>
      <c r="B69" s="397"/>
      <c r="C69" s="397"/>
      <c r="D69" s="397"/>
      <c r="E69" s="397"/>
      <c r="F69" s="397"/>
      <c r="G69" s="397"/>
      <c r="H69" s="397"/>
      <c r="I69" s="397"/>
    </row>
    <row r="70" spans="1:9" ht="15.6">
      <c r="A70" s="410" t="s">
        <v>428</v>
      </c>
      <c r="B70" s="397"/>
      <c r="C70" s="397"/>
      <c r="D70" s="397"/>
      <c r="E70" s="397"/>
      <c r="F70" s="397"/>
      <c r="G70" s="397"/>
      <c r="H70" s="397"/>
      <c r="I70" s="397"/>
    </row>
    <row r="71" spans="1:9">
      <c r="A71" s="309"/>
      <c r="B71" s="397"/>
      <c r="C71" s="397"/>
      <c r="D71" s="397"/>
      <c r="E71" s="397"/>
      <c r="F71" s="397"/>
      <c r="G71" s="397"/>
      <c r="H71" s="397"/>
      <c r="I71" s="397"/>
    </row>
    <row r="72" spans="1:9">
      <c r="A72" s="400" t="s">
        <v>405</v>
      </c>
      <c r="B72" s="724" t="s">
        <v>645</v>
      </c>
      <c r="C72" s="724"/>
      <c r="D72" s="724"/>
      <c r="E72" s="724"/>
      <c r="F72" s="724"/>
      <c r="G72" s="724"/>
      <c r="H72" s="724"/>
      <c r="I72" s="724"/>
    </row>
    <row r="73" spans="1:9">
      <c r="A73" s="309"/>
      <c r="B73" s="397"/>
      <c r="C73" s="397"/>
      <c r="D73" s="397"/>
      <c r="E73" s="397"/>
      <c r="F73" s="397"/>
      <c r="G73" s="397"/>
      <c r="H73" s="397"/>
      <c r="I73" s="397"/>
    </row>
    <row r="74" spans="1:9">
      <c r="A74" s="400" t="s">
        <v>632</v>
      </c>
      <c r="B74" s="405" t="s">
        <v>429</v>
      </c>
      <c r="C74" s="397"/>
      <c r="D74" s="397"/>
      <c r="E74" s="397"/>
      <c r="F74" s="397"/>
      <c r="G74" s="397"/>
      <c r="H74" s="397"/>
      <c r="I74" s="397"/>
    </row>
    <row r="75" spans="1:9" ht="15.75" customHeight="1">
      <c r="A75" s="309"/>
      <c r="B75" s="397"/>
      <c r="C75" s="397"/>
      <c r="D75" s="397"/>
      <c r="E75" s="397"/>
      <c r="F75" s="397"/>
      <c r="G75" s="397"/>
      <c r="H75" s="397"/>
      <c r="I75" s="397"/>
    </row>
    <row r="76" spans="1:9" ht="31.2" customHeight="1">
      <c r="A76" s="400" t="s">
        <v>633</v>
      </c>
      <c r="B76" s="715" t="s">
        <v>634</v>
      </c>
      <c r="C76" s="715"/>
      <c r="D76" s="715"/>
      <c r="E76" s="715"/>
      <c r="F76" s="715"/>
      <c r="G76" s="715"/>
      <c r="H76" s="715"/>
      <c r="I76" s="715"/>
    </row>
    <row r="77" spans="1:9" ht="15.75" customHeight="1">
      <c r="A77" s="309"/>
      <c r="B77" s="397"/>
      <c r="C77" s="397"/>
      <c r="D77" s="397"/>
      <c r="E77" s="397"/>
      <c r="F77" s="397"/>
      <c r="G77" s="397"/>
      <c r="H77" s="397"/>
      <c r="I77" s="397"/>
    </row>
    <row r="78" spans="1:9">
      <c r="A78" s="411" t="s">
        <v>409</v>
      </c>
      <c r="B78" s="709" t="s">
        <v>430</v>
      </c>
      <c r="C78" s="709"/>
      <c r="D78" s="709"/>
      <c r="E78" s="709"/>
      <c r="F78" s="709"/>
      <c r="G78" s="709"/>
      <c r="H78" s="709"/>
      <c r="I78" s="709"/>
    </row>
    <row r="79" spans="1:9">
      <c r="A79" s="309"/>
      <c r="B79" s="397"/>
      <c r="C79" s="397"/>
      <c r="D79" s="397"/>
      <c r="E79" s="397"/>
      <c r="F79" s="397"/>
      <c r="G79" s="397"/>
      <c r="H79" s="397"/>
      <c r="I79" s="397"/>
    </row>
    <row r="80" spans="1:9">
      <c r="A80" s="411" t="s">
        <v>411</v>
      </c>
      <c r="B80" s="740" t="s">
        <v>431</v>
      </c>
      <c r="C80" s="740"/>
      <c r="D80" s="740"/>
      <c r="E80" s="740"/>
      <c r="F80" s="740"/>
      <c r="G80" s="740"/>
      <c r="H80" s="740"/>
      <c r="I80" s="740"/>
    </row>
    <row r="81" spans="1:9">
      <c r="A81" s="413"/>
      <c r="B81" s="405"/>
      <c r="C81" s="405"/>
      <c r="D81" s="405"/>
      <c r="E81" s="405"/>
      <c r="F81" s="405"/>
      <c r="G81" s="405"/>
      <c r="H81" s="405"/>
      <c r="I81" s="405"/>
    </row>
    <row r="82" spans="1:9">
      <c r="A82" s="411" t="s">
        <v>419</v>
      </c>
      <c r="B82" s="705" t="s">
        <v>432</v>
      </c>
      <c r="C82" s="706"/>
      <c r="D82" s="706"/>
      <c r="E82" s="706"/>
      <c r="F82" s="706"/>
      <c r="G82" s="706"/>
      <c r="H82" s="706"/>
      <c r="I82" s="706"/>
    </row>
    <row r="83" spans="1:9">
      <c r="A83" s="414"/>
      <c r="B83" s="486"/>
      <c r="C83" s="487"/>
      <c r="D83" s="487"/>
      <c r="E83" s="487"/>
      <c r="F83" s="487"/>
      <c r="G83" s="487"/>
      <c r="H83" s="487"/>
      <c r="I83" s="487"/>
    </row>
    <row r="84" spans="1:9">
      <c r="A84" s="415" t="s">
        <v>421</v>
      </c>
      <c r="B84" s="740" t="s">
        <v>433</v>
      </c>
      <c r="C84" s="740"/>
      <c r="D84" s="740"/>
      <c r="E84" s="740"/>
      <c r="F84" s="740"/>
      <c r="G84" s="740"/>
      <c r="H84" s="740"/>
      <c r="I84" s="740"/>
    </row>
    <row r="85" spans="1:9">
      <c r="A85" s="414"/>
      <c r="B85" s="486"/>
      <c r="C85" s="487"/>
      <c r="D85" s="487"/>
      <c r="E85" s="487"/>
      <c r="F85" s="487"/>
      <c r="G85" s="487"/>
      <c r="H85" s="487"/>
      <c r="I85" s="487"/>
    </row>
    <row r="86" spans="1:9" ht="15.6">
      <c r="A86" s="403"/>
      <c r="B86" s="416" t="s">
        <v>434</v>
      </c>
      <c r="C86" s="405"/>
      <c r="D86" s="405"/>
      <c r="E86" s="405"/>
      <c r="F86" s="405"/>
      <c r="G86" s="405"/>
      <c r="H86" s="405"/>
      <c r="I86" s="405"/>
    </row>
    <row r="87" spans="1:9">
      <c r="A87" s="417"/>
      <c r="B87" s="405"/>
      <c r="C87" s="405"/>
      <c r="D87" s="405"/>
      <c r="E87" s="405"/>
      <c r="F87" s="405"/>
      <c r="G87" s="405"/>
      <c r="H87" s="405"/>
      <c r="I87" s="405"/>
    </row>
    <row r="88" spans="1:9" ht="20.100000000000001" customHeight="1">
      <c r="A88" s="417"/>
      <c r="B88" s="741" t="s">
        <v>435</v>
      </c>
      <c r="C88" s="418" t="s">
        <v>436</v>
      </c>
      <c r="D88" s="742" t="s">
        <v>69</v>
      </c>
      <c r="E88" s="405"/>
      <c r="F88" s="405"/>
      <c r="G88" s="405"/>
      <c r="H88" s="405"/>
      <c r="I88" s="405"/>
    </row>
    <row r="89" spans="1:9" ht="20.100000000000001" customHeight="1">
      <c r="A89" s="417"/>
      <c r="B89" s="742"/>
      <c r="C89" s="419" t="s">
        <v>437</v>
      </c>
      <c r="D89" s="742"/>
      <c r="E89" s="405"/>
      <c r="F89" s="405"/>
      <c r="G89" s="405"/>
      <c r="H89" s="405"/>
      <c r="I89" s="405"/>
    </row>
    <row r="90" spans="1:9">
      <c r="A90" s="417"/>
      <c r="B90" s="420">
        <v>1</v>
      </c>
      <c r="C90" s="420" t="s">
        <v>438</v>
      </c>
      <c r="D90" s="421">
        <v>2</v>
      </c>
      <c r="E90" s="405"/>
      <c r="F90" s="405"/>
      <c r="G90" s="405"/>
      <c r="H90" s="405"/>
      <c r="I90" s="405"/>
    </row>
    <row r="91" spans="1:9">
      <c r="A91" s="417"/>
      <c r="B91" s="420">
        <v>2</v>
      </c>
      <c r="C91" s="497" t="s">
        <v>439</v>
      </c>
      <c r="D91" s="422">
        <v>1.5</v>
      </c>
      <c r="E91" s="405"/>
      <c r="F91" s="405"/>
      <c r="G91" s="405"/>
      <c r="H91" s="405"/>
      <c r="I91" s="405"/>
    </row>
    <row r="92" spans="1:9">
      <c r="A92" s="417"/>
      <c r="B92" s="420">
        <v>3</v>
      </c>
      <c r="C92" s="489" t="s">
        <v>440</v>
      </c>
      <c r="D92" s="421">
        <v>1</v>
      </c>
      <c r="E92" s="405"/>
      <c r="F92" s="405"/>
      <c r="G92" s="405"/>
      <c r="H92" s="405"/>
      <c r="I92" s="405"/>
    </row>
    <row r="93" spans="1:9">
      <c r="A93" s="417"/>
      <c r="B93" s="420">
        <v>4</v>
      </c>
      <c r="C93" s="489" t="s">
        <v>441</v>
      </c>
      <c r="D93" s="421">
        <v>0.5</v>
      </c>
      <c r="E93" s="405"/>
      <c r="F93" s="405"/>
      <c r="G93" s="405"/>
      <c r="H93" s="405"/>
      <c r="I93" s="405"/>
    </row>
    <row r="94" spans="1:9">
      <c r="A94" s="417"/>
      <c r="B94" s="420">
        <v>5</v>
      </c>
      <c r="C94" s="489" t="s">
        <v>442</v>
      </c>
      <c r="D94" s="422">
        <v>0</v>
      </c>
      <c r="E94" s="397"/>
      <c r="F94" s="405"/>
      <c r="G94" s="405"/>
      <c r="H94" s="405"/>
      <c r="I94" s="405"/>
    </row>
    <row r="95" spans="1:9">
      <c r="A95" s="417"/>
      <c r="B95" s="405" t="s">
        <v>443</v>
      </c>
      <c r="C95" s="405"/>
      <c r="D95" s="405"/>
      <c r="E95" s="405"/>
      <c r="F95" s="405"/>
      <c r="G95" s="405"/>
      <c r="H95" s="405"/>
      <c r="I95" s="405"/>
    </row>
    <row r="96" spans="1:9">
      <c r="A96" s="417"/>
      <c r="B96" s="405" t="s">
        <v>444</v>
      </c>
      <c r="C96" s="405"/>
      <c r="D96" s="405"/>
      <c r="E96" s="405"/>
      <c r="F96" s="405"/>
      <c r="G96" s="405"/>
      <c r="H96" s="405"/>
      <c r="I96" s="405"/>
    </row>
    <row r="97" spans="1:10">
      <c r="A97" s="417"/>
      <c r="B97" s="405"/>
      <c r="C97" s="405"/>
      <c r="D97" s="405"/>
      <c r="E97" s="405"/>
      <c r="F97" s="405"/>
      <c r="G97" s="405"/>
      <c r="H97" s="405"/>
      <c r="I97" s="405"/>
    </row>
    <row r="98" spans="1:10" ht="15.6">
      <c r="A98" s="417"/>
      <c r="B98" s="416" t="s">
        <v>445</v>
      </c>
      <c r="C98" s="405"/>
      <c r="D98" s="405"/>
      <c r="E98" s="405"/>
      <c r="F98" s="405"/>
      <c r="G98" s="405"/>
      <c r="H98" s="405"/>
      <c r="I98" s="405"/>
    </row>
    <row r="99" spans="1:10" ht="15.6">
      <c r="A99" s="417"/>
      <c r="B99" s="416"/>
      <c r="C99" s="405"/>
      <c r="D99" s="405"/>
      <c r="E99" s="405"/>
      <c r="F99" s="405"/>
      <c r="G99" s="405"/>
      <c r="H99" s="405"/>
      <c r="I99" s="405"/>
    </row>
    <row r="100" spans="1:10" ht="15.6">
      <c r="A100" s="417"/>
      <c r="B100" s="405"/>
      <c r="C100" s="423" t="s">
        <v>71</v>
      </c>
      <c r="D100" s="424">
        <v>1</v>
      </c>
      <c r="E100" s="424">
        <v>2</v>
      </c>
      <c r="F100" s="424">
        <v>3</v>
      </c>
      <c r="G100" s="424">
        <v>4</v>
      </c>
      <c r="H100" s="424">
        <v>5</v>
      </c>
      <c r="I100" s="424">
        <v>6</v>
      </c>
      <c r="J100" s="425"/>
    </row>
    <row r="101" spans="1:10" ht="21.75" customHeight="1">
      <c r="A101" s="426"/>
      <c r="B101" s="427"/>
      <c r="C101" s="428" t="s">
        <v>446</v>
      </c>
      <c r="D101" s="488" t="s">
        <v>447</v>
      </c>
      <c r="E101" s="488" t="s">
        <v>448</v>
      </c>
      <c r="F101" s="488" t="s">
        <v>449</v>
      </c>
      <c r="G101" s="488" t="s">
        <v>450</v>
      </c>
      <c r="H101" s="488" t="s">
        <v>451</v>
      </c>
      <c r="I101" s="488" t="s">
        <v>452</v>
      </c>
      <c r="J101" s="425"/>
    </row>
    <row r="102" spans="1:10" ht="15.6">
      <c r="A102" s="417"/>
      <c r="B102" s="429"/>
      <c r="C102" s="430"/>
      <c r="D102" s="742" t="s">
        <v>447</v>
      </c>
      <c r="E102" s="488" t="s">
        <v>453</v>
      </c>
      <c r="F102" s="488" t="s">
        <v>454</v>
      </c>
      <c r="G102" s="488" t="s">
        <v>455</v>
      </c>
      <c r="H102" s="431" t="s">
        <v>456</v>
      </c>
      <c r="I102" s="488" t="s">
        <v>457</v>
      </c>
      <c r="J102" s="425"/>
    </row>
    <row r="103" spans="1:10" ht="15.6">
      <c r="A103" s="417"/>
      <c r="B103" s="432" t="s">
        <v>458</v>
      </c>
      <c r="C103" s="433"/>
      <c r="D103" s="743"/>
      <c r="E103" s="488" t="s">
        <v>459</v>
      </c>
      <c r="F103" s="488" t="s">
        <v>459</v>
      </c>
      <c r="G103" s="488" t="s">
        <v>459</v>
      </c>
      <c r="H103" s="488" t="s">
        <v>459</v>
      </c>
      <c r="I103" s="488" t="s">
        <v>459</v>
      </c>
      <c r="J103" s="425"/>
    </row>
    <row r="104" spans="1:10">
      <c r="A104" s="417"/>
      <c r="B104" s="744" t="s">
        <v>460</v>
      </c>
      <c r="C104" s="704"/>
      <c r="D104" s="434">
        <v>3</v>
      </c>
      <c r="E104" s="434">
        <v>3</v>
      </c>
      <c r="F104" s="434">
        <v>3</v>
      </c>
      <c r="G104" s="434">
        <v>2.5</v>
      </c>
      <c r="H104" s="434">
        <v>1.5</v>
      </c>
      <c r="I104" s="434">
        <v>0</v>
      </c>
      <c r="J104" s="425"/>
    </row>
    <row r="105" spans="1:10">
      <c r="A105" s="417"/>
      <c r="B105" s="744" t="s">
        <v>461</v>
      </c>
      <c r="C105" s="704"/>
      <c r="D105" s="435">
        <v>3</v>
      </c>
      <c r="E105" s="435">
        <v>3</v>
      </c>
      <c r="F105" s="434">
        <v>2.5</v>
      </c>
      <c r="G105" s="434">
        <v>1.5</v>
      </c>
      <c r="H105" s="434">
        <v>1</v>
      </c>
      <c r="I105" s="434">
        <v>0</v>
      </c>
      <c r="J105" s="425"/>
    </row>
    <row r="106" spans="1:10">
      <c r="A106" s="417"/>
      <c r="B106" s="744" t="s">
        <v>462</v>
      </c>
      <c r="C106" s="704"/>
      <c r="D106" s="434">
        <v>3</v>
      </c>
      <c r="E106" s="434">
        <v>2.5</v>
      </c>
      <c r="F106" s="434">
        <v>1.5</v>
      </c>
      <c r="G106" s="434">
        <v>1</v>
      </c>
      <c r="H106" s="434">
        <v>0</v>
      </c>
      <c r="I106" s="434">
        <v>0</v>
      </c>
      <c r="J106" s="425"/>
    </row>
    <row r="107" spans="1:10">
      <c r="A107" s="417"/>
      <c r="B107" s="744" t="s">
        <v>463</v>
      </c>
      <c r="C107" s="704"/>
      <c r="D107" s="434">
        <v>3</v>
      </c>
      <c r="E107" s="434">
        <v>1.5</v>
      </c>
      <c r="F107" s="434">
        <v>1</v>
      </c>
      <c r="G107" s="434">
        <v>0</v>
      </c>
      <c r="H107" s="434">
        <v>0</v>
      </c>
      <c r="I107" s="434">
        <v>0</v>
      </c>
      <c r="J107" s="425"/>
    </row>
    <row r="108" spans="1:10">
      <c r="A108" s="417"/>
      <c r="B108" s="744" t="s">
        <v>464</v>
      </c>
      <c r="C108" s="704"/>
      <c r="D108" s="435">
        <v>3</v>
      </c>
      <c r="E108" s="435">
        <v>1</v>
      </c>
      <c r="F108" s="434">
        <v>0</v>
      </c>
      <c r="G108" s="434">
        <v>0</v>
      </c>
      <c r="H108" s="434">
        <v>0</v>
      </c>
      <c r="I108" s="434">
        <v>0</v>
      </c>
      <c r="J108" s="425"/>
    </row>
    <row r="109" spans="1:10" ht="15.6">
      <c r="A109" s="417"/>
      <c r="B109" s="498" t="s">
        <v>582</v>
      </c>
      <c r="C109" s="408"/>
      <c r="D109" s="436"/>
      <c r="E109" s="436"/>
      <c r="F109" s="436"/>
      <c r="G109" s="436"/>
      <c r="H109" s="436"/>
      <c r="I109" s="405"/>
    </row>
    <row r="110" spans="1:10">
      <c r="A110" s="417"/>
      <c r="B110" s="498"/>
      <c r="C110" s="408"/>
      <c r="D110" s="436"/>
      <c r="E110" s="436"/>
      <c r="F110" s="436"/>
      <c r="G110" s="436"/>
      <c r="H110" s="436"/>
      <c r="I110" s="405"/>
    </row>
    <row r="111" spans="1:10" ht="15" customHeight="1">
      <c r="A111" s="400" t="s">
        <v>465</v>
      </c>
      <c r="B111" s="705" t="s">
        <v>536</v>
      </c>
      <c r="C111" s="706"/>
      <c r="D111" s="706"/>
      <c r="E111" s="706"/>
      <c r="F111" s="706"/>
      <c r="G111" s="706"/>
      <c r="H111" s="706"/>
      <c r="I111" s="706"/>
    </row>
    <row r="112" spans="1:10" ht="15" customHeight="1">
      <c r="A112" s="400"/>
      <c r="B112" s="486"/>
      <c r="C112" s="487"/>
      <c r="D112" s="487"/>
      <c r="E112" s="487"/>
      <c r="F112" s="487"/>
      <c r="G112" s="487"/>
      <c r="H112" s="487"/>
      <c r="I112" s="487"/>
    </row>
    <row r="113" spans="1:9" ht="15" customHeight="1">
      <c r="A113" s="403"/>
      <c r="B113" s="404" t="s">
        <v>420</v>
      </c>
      <c r="C113" s="707" t="s">
        <v>561</v>
      </c>
      <c r="D113" s="708"/>
      <c r="E113" s="405"/>
      <c r="F113" s="405"/>
      <c r="G113" s="405"/>
      <c r="H113" s="405"/>
      <c r="I113" s="405"/>
    </row>
    <row r="114" spans="1:9" ht="15" customHeight="1">
      <c r="A114" s="403"/>
      <c r="B114" s="406">
        <v>1</v>
      </c>
      <c r="C114" s="702" t="s">
        <v>540</v>
      </c>
      <c r="D114" s="702"/>
      <c r="E114" s="405"/>
      <c r="F114" s="405"/>
      <c r="G114" s="405"/>
      <c r="H114" s="405"/>
      <c r="I114" s="405"/>
    </row>
    <row r="115" spans="1:9" ht="15" customHeight="1">
      <c r="A115" s="403"/>
      <c r="B115" s="406">
        <v>2</v>
      </c>
      <c r="C115" s="702" t="s">
        <v>541</v>
      </c>
      <c r="D115" s="702"/>
      <c r="E115" s="405"/>
      <c r="F115" s="405"/>
      <c r="G115" s="405"/>
      <c r="H115" s="405"/>
      <c r="I115" s="405"/>
    </row>
    <row r="116" spans="1:9" ht="15" customHeight="1">
      <c r="A116" s="403"/>
      <c r="B116" s="406">
        <v>3</v>
      </c>
      <c r="C116" s="702" t="s">
        <v>542</v>
      </c>
      <c r="D116" s="702"/>
      <c r="E116" s="405"/>
      <c r="F116" s="405"/>
      <c r="G116" s="405"/>
      <c r="H116" s="405"/>
      <c r="I116" s="405"/>
    </row>
    <row r="117" spans="1:9" ht="15" customHeight="1">
      <c r="A117" s="403"/>
      <c r="B117" s="406">
        <v>4</v>
      </c>
      <c r="C117" s="702" t="s">
        <v>543</v>
      </c>
      <c r="D117" s="702"/>
      <c r="E117" s="405"/>
      <c r="F117" s="405"/>
      <c r="G117" s="405"/>
      <c r="H117" s="405"/>
      <c r="I117" s="405"/>
    </row>
    <row r="118" spans="1:9" ht="15" customHeight="1">
      <c r="A118" s="403"/>
      <c r="B118" s="406">
        <v>5</v>
      </c>
      <c r="C118" s="703" t="s">
        <v>544</v>
      </c>
      <c r="D118" s="704"/>
      <c r="E118" s="405"/>
      <c r="F118" s="405"/>
      <c r="G118" s="405"/>
      <c r="H118" s="405"/>
      <c r="I118" s="405"/>
    </row>
    <row r="119" spans="1:9" ht="15" customHeight="1">
      <c r="A119" s="403"/>
      <c r="B119" s="406">
        <v>6</v>
      </c>
      <c r="C119" s="702" t="s">
        <v>545</v>
      </c>
      <c r="D119" s="702"/>
      <c r="E119" s="405"/>
      <c r="F119" s="405"/>
      <c r="G119" s="405"/>
      <c r="H119" s="405"/>
      <c r="I119" s="405"/>
    </row>
    <row r="120" spans="1:9" ht="15" customHeight="1">
      <c r="A120" s="417"/>
      <c r="B120" s="498"/>
      <c r="C120" s="408"/>
      <c r="D120" s="436"/>
      <c r="E120" s="436"/>
      <c r="F120" s="436"/>
      <c r="G120" s="436"/>
      <c r="H120" s="436"/>
      <c r="I120" s="405"/>
    </row>
    <row r="121" spans="1:9" ht="15" customHeight="1">
      <c r="A121" s="400" t="s">
        <v>469</v>
      </c>
      <c r="B121" s="705" t="s">
        <v>562</v>
      </c>
      <c r="C121" s="706"/>
      <c r="D121" s="706"/>
      <c r="E121" s="706"/>
      <c r="F121" s="706"/>
      <c r="G121" s="706"/>
      <c r="H121" s="706"/>
      <c r="I121" s="706"/>
    </row>
    <row r="122" spans="1:9" ht="15" customHeight="1">
      <c r="A122" s="400"/>
      <c r="B122" s="486"/>
      <c r="C122" s="487"/>
      <c r="D122" s="487"/>
      <c r="E122" s="487"/>
      <c r="F122" s="487"/>
      <c r="G122" s="487"/>
      <c r="H122" s="487"/>
      <c r="I122" s="487"/>
    </row>
    <row r="123" spans="1:9" ht="15" customHeight="1">
      <c r="A123" s="403"/>
      <c r="B123" s="404" t="s">
        <v>420</v>
      </c>
      <c r="C123" s="707" t="s">
        <v>627</v>
      </c>
      <c r="D123" s="708"/>
      <c r="E123" s="405"/>
      <c r="F123" s="405"/>
      <c r="G123" s="405"/>
      <c r="H123" s="405"/>
      <c r="I123" s="405"/>
    </row>
    <row r="124" spans="1:9" ht="15" customHeight="1">
      <c r="A124" s="403"/>
      <c r="B124" s="406">
        <v>1</v>
      </c>
      <c r="C124" s="702">
        <v>2600</v>
      </c>
      <c r="D124" s="702"/>
      <c r="E124" s="405"/>
      <c r="F124" s="405"/>
      <c r="G124" s="405"/>
      <c r="H124" s="405"/>
      <c r="I124" s="405"/>
    </row>
    <row r="125" spans="1:9" ht="15" customHeight="1">
      <c r="A125" s="403"/>
      <c r="B125" s="406">
        <v>2</v>
      </c>
      <c r="C125" s="702">
        <v>2700</v>
      </c>
      <c r="D125" s="702"/>
      <c r="E125" s="405"/>
      <c r="F125" s="405"/>
      <c r="G125" s="405"/>
      <c r="H125" s="405"/>
      <c r="I125" s="405"/>
    </row>
    <row r="126" spans="1:9" ht="15" customHeight="1">
      <c r="A126" s="403"/>
      <c r="B126" s="406">
        <v>3</v>
      </c>
      <c r="C126" s="702">
        <v>2800</v>
      </c>
      <c r="D126" s="702"/>
      <c r="E126" s="405"/>
      <c r="F126" s="405"/>
      <c r="G126" s="405"/>
      <c r="H126" s="405"/>
      <c r="I126" s="405"/>
    </row>
    <row r="127" spans="1:9" ht="15" customHeight="1">
      <c r="A127" s="403"/>
      <c r="B127" s="406">
        <v>4</v>
      </c>
      <c r="C127" s="702">
        <v>2900</v>
      </c>
      <c r="D127" s="702"/>
      <c r="E127" s="405"/>
      <c r="F127" s="405"/>
      <c r="G127" s="405"/>
      <c r="H127" s="405"/>
      <c r="I127" s="405"/>
    </row>
    <row r="128" spans="1:9" ht="15" customHeight="1">
      <c r="A128" s="403"/>
      <c r="B128" s="406">
        <v>5</v>
      </c>
      <c r="C128" s="702">
        <v>3000</v>
      </c>
      <c r="D128" s="702"/>
      <c r="E128" s="405"/>
      <c r="F128" s="405"/>
      <c r="G128" s="405"/>
      <c r="H128" s="405"/>
      <c r="I128" s="405"/>
    </row>
    <row r="129" spans="1:9" ht="15" customHeight="1">
      <c r="A129" s="403"/>
      <c r="B129" s="407"/>
      <c r="C129" s="408"/>
      <c r="D129" s="476"/>
      <c r="E129" s="405"/>
      <c r="F129" s="405"/>
      <c r="G129" s="405"/>
      <c r="H129" s="405"/>
      <c r="I129" s="405"/>
    </row>
    <row r="130" spans="1:9" ht="15" customHeight="1">
      <c r="A130" s="400" t="s">
        <v>537</v>
      </c>
      <c r="B130" s="705" t="s">
        <v>564</v>
      </c>
      <c r="C130" s="705"/>
      <c r="D130" s="705"/>
      <c r="E130" s="705"/>
      <c r="F130" s="705"/>
      <c r="G130" s="705"/>
      <c r="H130" s="705"/>
      <c r="I130" s="705"/>
    </row>
    <row r="131" spans="1:9" ht="15" customHeight="1">
      <c r="A131" s="400"/>
      <c r="B131" s="486"/>
      <c r="C131" s="487"/>
      <c r="D131" s="487"/>
      <c r="E131" s="487"/>
      <c r="F131" s="487"/>
      <c r="G131" s="487"/>
      <c r="H131" s="487"/>
      <c r="I131" s="487"/>
    </row>
    <row r="132" spans="1:9" ht="15" customHeight="1">
      <c r="A132" s="403"/>
      <c r="B132" s="404" t="s">
        <v>420</v>
      </c>
      <c r="C132" s="707" t="s">
        <v>565</v>
      </c>
      <c r="D132" s="729"/>
      <c r="E132" s="405"/>
      <c r="F132" s="405"/>
      <c r="G132" s="405"/>
      <c r="H132" s="405"/>
      <c r="I132" s="405"/>
    </row>
    <row r="133" spans="1:9" ht="15" customHeight="1">
      <c r="A133" s="403"/>
      <c r="B133" s="406">
        <v>1</v>
      </c>
      <c r="C133" s="702">
        <v>600</v>
      </c>
      <c r="D133" s="702"/>
      <c r="E133" s="405"/>
      <c r="F133" s="405"/>
      <c r="G133" s="405"/>
      <c r="H133" s="405"/>
      <c r="I133" s="405"/>
    </row>
    <row r="134" spans="1:9">
      <c r="A134" s="403"/>
      <c r="B134" s="406">
        <v>2</v>
      </c>
      <c r="C134" s="702">
        <v>750</v>
      </c>
      <c r="D134" s="702"/>
      <c r="E134" s="405"/>
      <c r="F134" s="405"/>
      <c r="G134" s="405"/>
      <c r="H134" s="405"/>
      <c r="I134" s="405"/>
    </row>
    <row r="135" spans="1:9">
      <c r="A135" s="403"/>
      <c r="B135" s="406">
        <v>3</v>
      </c>
      <c r="C135" s="730">
        <v>800</v>
      </c>
      <c r="D135" s="730"/>
      <c r="E135" s="405"/>
      <c r="F135" s="405"/>
      <c r="G135" s="405"/>
      <c r="H135" s="405"/>
      <c r="I135" s="405"/>
    </row>
    <row r="136" spans="1:9">
      <c r="A136" s="403"/>
      <c r="B136" s="406">
        <v>4</v>
      </c>
      <c r="C136" s="730">
        <v>850</v>
      </c>
      <c r="D136" s="730"/>
      <c r="E136" s="405"/>
      <c r="F136" s="405"/>
      <c r="G136" s="405"/>
      <c r="H136" s="405"/>
      <c r="I136" s="405"/>
    </row>
    <row r="137" spans="1:9">
      <c r="A137" s="403"/>
      <c r="B137" s="406">
        <v>5</v>
      </c>
      <c r="C137" s="702">
        <v>900</v>
      </c>
      <c r="D137" s="702"/>
      <c r="E137" s="405"/>
      <c r="F137" s="405"/>
      <c r="G137" s="405"/>
      <c r="H137" s="405"/>
      <c r="I137" s="405"/>
    </row>
    <row r="138" spans="1:9">
      <c r="A138" s="403"/>
      <c r="B138" s="406">
        <v>6</v>
      </c>
      <c r="C138" s="702">
        <v>1200</v>
      </c>
      <c r="D138" s="702"/>
      <c r="E138" s="405"/>
      <c r="F138" s="405"/>
      <c r="G138" s="405"/>
      <c r="H138" s="405"/>
      <c r="I138" s="405"/>
    </row>
    <row r="139" spans="1:9">
      <c r="A139" s="403"/>
      <c r="B139" s="406">
        <v>7</v>
      </c>
      <c r="C139" s="702">
        <v>1500</v>
      </c>
      <c r="D139" s="702"/>
      <c r="E139" s="405"/>
      <c r="F139" s="405"/>
      <c r="G139" s="405"/>
      <c r="H139" s="405"/>
      <c r="I139" s="405"/>
    </row>
    <row r="140" spans="1:9">
      <c r="A140" s="403"/>
      <c r="B140" s="406">
        <v>8</v>
      </c>
      <c r="C140" s="702">
        <v>1800</v>
      </c>
      <c r="D140" s="702"/>
      <c r="E140" s="405"/>
      <c r="F140" s="405"/>
      <c r="G140" s="405"/>
      <c r="H140" s="405"/>
      <c r="I140" s="405"/>
    </row>
    <row r="141" spans="1:9">
      <c r="A141" s="403"/>
      <c r="B141" s="406">
        <v>9</v>
      </c>
      <c r="C141" s="702">
        <v>2400</v>
      </c>
      <c r="D141" s="702"/>
      <c r="E141" s="405"/>
      <c r="F141" s="405"/>
      <c r="G141" s="405"/>
      <c r="H141" s="405"/>
      <c r="I141" s="405"/>
    </row>
    <row r="142" spans="1:9">
      <c r="A142" s="403"/>
      <c r="B142" s="407"/>
      <c r="C142" s="408"/>
      <c r="D142" s="408"/>
      <c r="E142" s="405"/>
      <c r="F142" s="405"/>
      <c r="G142" s="405"/>
      <c r="H142" s="405"/>
      <c r="I142" s="405"/>
    </row>
    <row r="143" spans="1:9" ht="15" customHeight="1">
      <c r="A143" s="411" t="s">
        <v>538</v>
      </c>
      <c r="B143" s="728" t="s">
        <v>470</v>
      </c>
      <c r="C143" s="728"/>
      <c r="D143" s="728"/>
      <c r="E143" s="728"/>
      <c r="F143" s="728"/>
      <c r="G143" s="728"/>
      <c r="H143" s="728"/>
      <c r="I143" s="728"/>
    </row>
    <row r="144" spans="1:9">
      <c r="A144" s="417"/>
      <c r="B144" s="484"/>
      <c r="C144" s="484"/>
      <c r="D144" s="484"/>
      <c r="E144" s="484"/>
      <c r="F144" s="484"/>
      <c r="G144" s="484"/>
      <c r="H144" s="484"/>
      <c r="I144" s="484"/>
    </row>
    <row r="145" spans="1:9" ht="33" customHeight="1">
      <c r="A145" s="426"/>
      <c r="B145" s="437" t="s">
        <v>420</v>
      </c>
      <c r="C145" s="736" t="s">
        <v>471</v>
      </c>
      <c r="D145" s="736"/>
      <c r="E145" s="737" t="s">
        <v>472</v>
      </c>
      <c r="F145" s="738"/>
      <c r="G145" s="739"/>
      <c r="H145" s="484"/>
      <c r="I145" s="397"/>
    </row>
    <row r="146" spans="1:9" ht="61.5" customHeight="1">
      <c r="A146" s="417"/>
      <c r="B146" s="333">
        <v>1</v>
      </c>
      <c r="C146" s="754" t="s">
        <v>473</v>
      </c>
      <c r="D146" s="754"/>
      <c r="E146" s="725" t="s">
        <v>490</v>
      </c>
      <c r="F146" s="726"/>
      <c r="G146" s="727"/>
      <c r="H146" s="484"/>
      <c r="I146" s="397"/>
    </row>
    <row r="147" spans="1:9" ht="356.25" customHeight="1">
      <c r="A147" s="417"/>
      <c r="B147" s="333">
        <v>2</v>
      </c>
      <c r="C147" s="754" t="s">
        <v>493</v>
      </c>
      <c r="D147" s="754"/>
      <c r="E147" s="725" t="s">
        <v>491</v>
      </c>
      <c r="F147" s="726"/>
      <c r="G147" s="727"/>
      <c r="H147" s="484"/>
      <c r="I147" s="397"/>
    </row>
    <row r="148" spans="1:9" ht="320.25" customHeight="1">
      <c r="A148" s="417"/>
      <c r="B148" s="333">
        <v>3</v>
      </c>
      <c r="C148" s="754" t="s">
        <v>583</v>
      </c>
      <c r="D148" s="754"/>
      <c r="E148" s="725" t="s">
        <v>492</v>
      </c>
      <c r="F148" s="726"/>
      <c r="G148" s="727"/>
      <c r="H148" s="484"/>
      <c r="I148" s="397"/>
    </row>
    <row r="149" spans="1:9" ht="408.75" customHeight="1">
      <c r="A149" s="417"/>
      <c r="B149" s="333">
        <v>4</v>
      </c>
      <c r="C149" s="731" t="s">
        <v>584</v>
      </c>
      <c r="D149" s="731"/>
      <c r="E149" s="732" t="s">
        <v>494</v>
      </c>
      <c r="F149" s="726"/>
      <c r="G149" s="727"/>
      <c r="H149" s="484"/>
      <c r="I149" s="397"/>
    </row>
    <row r="150" spans="1:9">
      <c r="A150" s="417"/>
      <c r="B150" s="733" t="s">
        <v>474</v>
      </c>
      <c r="C150" s="733"/>
      <c r="D150" s="733"/>
      <c r="E150" s="733"/>
      <c r="F150" s="733"/>
      <c r="G150" s="733"/>
      <c r="H150" s="484"/>
      <c r="I150" s="397"/>
    </row>
    <row r="151" spans="1:9">
      <c r="A151" s="417"/>
      <c r="B151" s="485"/>
      <c r="C151" s="485"/>
      <c r="D151" s="485"/>
      <c r="E151" s="485"/>
      <c r="F151" s="485"/>
      <c r="G151" s="485"/>
      <c r="H151" s="484"/>
      <c r="I151" s="397"/>
    </row>
    <row r="152" spans="1:9">
      <c r="A152" s="411" t="s">
        <v>539</v>
      </c>
      <c r="B152" s="734" t="s">
        <v>475</v>
      </c>
      <c r="C152" s="734"/>
      <c r="D152" s="734"/>
      <c r="E152" s="734"/>
      <c r="F152" s="734"/>
      <c r="G152" s="734"/>
      <c r="H152" s="734"/>
      <c r="I152" s="734"/>
    </row>
    <row r="153" spans="1:9">
      <c r="A153" s="417"/>
      <c r="B153" s="485"/>
      <c r="C153" s="485"/>
      <c r="D153" s="485"/>
      <c r="E153" s="485"/>
      <c r="F153" s="485"/>
      <c r="G153" s="485"/>
      <c r="H153" s="484"/>
      <c r="I153" s="397"/>
    </row>
    <row r="154" spans="1:9" ht="15.75" customHeight="1">
      <c r="A154" s="417"/>
      <c r="B154" s="499" t="s">
        <v>476</v>
      </c>
      <c r="C154" s="735" t="s">
        <v>477</v>
      </c>
      <c r="D154" s="735"/>
      <c r="E154" s="500"/>
      <c r="F154" s="485"/>
      <c r="G154" s="485"/>
      <c r="H154" s="484"/>
      <c r="I154" s="397"/>
    </row>
    <row r="155" spans="1:9">
      <c r="A155" s="417"/>
      <c r="B155" s="333">
        <v>1</v>
      </c>
      <c r="C155" s="753" t="s">
        <v>326</v>
      </c>
      <c r="D155" s="753"/>
      <c r="E155" s="485"/>
      <c r="F155" s="485"/>
      <c r="G155" s="485"/>
      <c r="H155" s="484"/>
      <c r="I155" s="397"/>
    </row>
    <row r="156" spans="1:9">
      <c r="A156" s="417"/>
      <c r="B156" s="333">
        <v>2</v>
      </c>
      <c r="C156" s="745" t="s">
        <v>324</v>
      </c>
      <c r="D156" s="745"/>
      <c r="E156" s="485"/>
      <c r="F156" s="485"/>
      <c r="G156" s="485"/>
      <c r="H156" s="484"/>
      <c r="I156" s="397"/>
    </row>
    <row r="157" spans="1:9">
      <c r="A157" s="417"/>
      <c r="B157" s="333">
        <v>3</v>
      </c>
      <c r="C157" s="745" t="s">
        <v>325</v>
      </c>
      <c r="D157" s="745"/>
      <c r="E157" s="485"/>
      <c r="F157" s="485"/>
      <c r="G157" s="485"/>
      <c r="H157" s="484"/>
      <c r="I157" s="397"/>
    </row>
    <row r="158" spans="1:9">
      <c r="A158" s="417"/>
      <c r="B158" s="485"/>
      <c r="C158" s="485"/>
      <c r="D158" s="485"/>
      <c r="E158" s="485"/>
      <c r="F158" s="485"/>
      <c r="G158" s="485"/>
      <c r="H158" s="484"/>
      <c r="I158" s="397"/>
    </row>
    <row r="159" spans="1:9">
      <c r="A159" s="417"/>
      <c r="B159" s="484"/>
      <c r="C159" s="484"/>
      <c r="D159" s="484"/>
      <c r="E159" s="484"/>
      <c r="F159" s="484"/>
      <c r="G159" s="484"/>
      <c r="H159" s="484"/>
      <c r="I159" s="484"/>
    </row>
    <row r="160" spans="1:9" ht="15.6">
      <c r="A160" s="410" t="s">
        <v>478</v>
      </c>
      <c r="B160" s="438"/>
      <c r="C160" s="439"/>
      <c r="D160" s="439"/>
      <c r="E160" s="439"/>
      <c r="F160" s="440"/>
      <c r="G160" s="440"/>
      <c r="H160" s="441"/>
      <c r="I160" s="405"/>
    </row>
    <row r="161" spans="1:9" ht="17.25" customHeight="1">
      <c r="A161" s="442" t="s">
        <v>405</v>
      </c>
      <c r="B161" s="746" t="s">
        <v>479</v>
      </c>
      <c r="C161" s="746"/>
      <c r="D161" s="746"/>
      <c r="E161" s="746"/>
      <c r="F161" s="746"/>
      <c r="G161" s="746"/>
      <c r="H161" s="746"/>
      <c r="I161" s="746"/>
    </row>
    <row r="162" spans="1:9" ht="16.5" customHeight="1">
      <c r="A162" s="411"/>
      <c r="B162" s="443" t="s">
        <v>480</v>
      </c>
      <c r="C162" s="501" t="s">
        <v>481</v>
      </c>
      <c r="D162" s="501"/>
      <c r="E162" s="481"/>
      <c r="F162" s="481"/>
      <c r="G162" s="481"/>
      <c r="H162" s="481"/>
      <c r="I162" s="481"/>
    </row>
    <row r="163" spans="1:9" ht="16.5" customHeight="1">
      <c r="A163" s="411"/>
      <c r="B163" s="502" t="s">
        <v>482</v>
      </c>
      <c r="C163" s="503" t="s">
        <v>483</v>
      </c>
      <c r="D163" s="503"/>
      <c r="E163" s="481"/>
      <c r="F163" s="481"/>
      <c r="G163" s="481"/>
      <c r="H163" s="481"/>
      <c r="I163" s="481"/>
    </row>
    <row r="164" spans="1:9">
      <c r="A164" s="413"/>
      <c r="B164" s="502" t="s">
        <v>484</v>
      </c>
      <c r="C164" s="501" t="s">
        <v>485</v>
      </c>
      <c r="D164" s="405"/>
      <c r="E164" s="405"/>
      <c r="F164" s="405"/>
      <c r="G164" s="405"/>
      <c r="H164" s="405"/>
      <c r="I164" s="405"/>
    </row>
    <row r="165" spans="1:9">
      <c r="A165" s="413"/>
      <c r="B165" s="502" t="s">
        <v>486</v>
      </c>
      <c r="C165" s="747" t="s">
        <v>487</v>
      </c>
      <c r="D165" s="747"/>
      <c r="E165" s="747"/>
      <c r="F165" s="405"/>
      <c r="G165" s="405"/>
      <c r="H165" s="405"/>
      <c r="I165" s="405"/>
    </row>
    <row r="166" spans="1:9">
      <c r="A166" s="413"/>
      <c r="B166" s="502" t="s">
        <v>488</v>
      </c>
      <c r="C166" s="701" t="s">
        <v>489</v>
      </c>
      <c r="D166" s="701"/>
      <c r="E166" s="701"/>
      <c r="F166" s="701"/>
      <c r="G166" s="701"/>
      <c r="H166" s="701"/>
      <c r="I166" s="701"/>
    </row>
    <row r="167" spans="1:9" ht="15.6">
      <c r="A167" s="413"/>
      <c r="B167" s="397"/>
      <c r="C167" s="504"/>
      <c r="D167" s="405"/>
      <c r="E167" s="405"/>
      <c r="F167" s="405"/>
      <c r="G167" s="405"/>
      <c r="H167" s="405"/>
      <c r="I167" s="405"/>
    </row>
    <row r="168" spans="1:9">
      <c r="A168" s="426"/>
      <c r="B168" s="444"/>
      <c r="C168" s="425"/>
      <c r="D168" s="425"/>
      <c r="E168" s="425"/>
      <c r="F168" s="425"/>
      <c r="G168" s="425"/>
      <c r="H168" s="425"/>
      <c r="I168" s="425"/>
    </row>
    <row r="169" spans="1:9">
      <c r="A169" s="445"/>
      <c r="B169" s="444"/>
      <c r="C169" s="425"/>
      <c r="D169" s="425"/>
      <c r="E169" s="425"/>
      <c r="F169" s="425"/>
      <c r="G169" s="425"/>
      <c r="H169" s="425"/>
      <c r="I169" s="425"/>
    </row>
  </sheetData>
  <sheetProtection algorithmName="SHA-512" hashValue="22Ctnn1oTt/IDs0eOzPab+jJZYGGHHcUpu7ick8rxcY1W74f/Qziui34dY8zMOQ3W8RMI7oEZtbxiLPbh8NnxQ==" saltValue="SQTKuGlTxHuL86BCd2YmAg==" spinCount="100000" sheet="1" selectLockedCells="1" selectUnlockedCells="1"/>
  <mergeCells count="108">
    <mergeCell ref="C156:D156"/>
    <mergeCell ref="C157:D157"/>
    <mergeCell ref="B161:I161"/>
    <mergeCell ref="C165:E165"/>
    <mergeCell ref="C166:I166"/>
    <mergeCell ref="B43:C43"/>
    <mergeCell ref="B44:C44"/>
    <mergeCell ref="B45:C45"/>
    <mergeCell ref="B20:C27"/>
    <mergeCell ref="D20:D27"/>
    <mergeCell ref="B42:C42"/>
    <mergeCell ref="B40:C40"/>
    <mergeCell ref="B38:C38"/>
    <mergeCell ref="B39:C39"/>
    <mergeCell ref="B41:C41"/>
    <mergeCell ref="B34:I34"/>
    <mergeCell ref="B36:E36"/>
    <mergeCell ref="B37:C37"/>
    <mergeCell ref="C155:D155"/>
    <mergeCell ref="C146:D146"/>
    <mergeCell ref="E146:G146"/>
    <mergeCell ref="C147:D147"/>
    <mergeCell ref="E147:G147"/>
    <mergeCell ref="C148:D148"/>
    <mergeCell ref="C149:D149"/>
    <mergeCell ref="E149:G149"/>
    <mergeCell ref="B150:G150"/>
    <mergeCell ref="B152:I152"/>
    <mergeCell ref="C154:D154"/>
    <mergeCell ref="C145:D145"/>
    <mergeCell ref="E145:G145"/>
    <mergeCell ref="B80:I80"/>
    <mergeCell ref="B82:I82"/>
    <mergeCell ref="B84:I84"/>
    <mergeCell ref="B88:B89"/>
    <mergeCell ref="D88:D89"/>
    <mergeCell ref="D102:D103"/>
    <mergeCell ref="B104:C104"/>
    <mergeCell ref="B105:C105"/>
    <mergeCell ref="B106:C106"/>
    <mergeCell ref="B107:C107"/>
    <mergeCell ref="B108:C108"/>
    <mergeCell ref="B111:I111"/>
    <mergeCell ref="C113:D113"/>
    <mergeCell ref="C119:D119"/>
    <mergeCell ref="B121:I121"/>
    <mergeCell ref="C123:D123"/>
    <mergeCell ref="F64:G64"/>
    <mergeCell ref="D65:E65"/>
    <mergeCell ref="F65:G65"/>
    <mergeCell ref="D66:E66"/>
    <mergeCell ref="F66:G66"/>
    <mergeCell ref="D67:E67"/>
    <mergeCell ref="F67:G67"/>
    <mergeCell ref="B72:I72"/>
    <mergeCell ref="E148:G148"/>
    <mergeCell ref="B143:I143"/>
    <mergeCell ref="C134:D134"/>
    <mergeCell ref="C137:D137"/>
    <mergeCell ref="C138:D138"/>
    <mergeCell ref="C127:D127"/>
    <mergeCell ref="C128:D128"/>
    <mergeCell ref="B130:I130"/>
    <mergeCell ref="C132:D132"/>
    <mergeCell ref="C133:D133"/>
    <mergeCell ref="C139:D139"/>
    <mergeCell ref="C140:D140"/>
    <mergeCell ref="C141:D141"/>
    <mergeCell ref="C135:D135"/>
    <mergeCell ref="C136:D136"/>
    <mergeCell ref="B76:I76"/>
    <mergeCell ref="B28:C31"/>
    <mergeCell ref="D28:D31"/>
    <mergeCell ref="F28:F31"/>
    <mergeCell ref="B6:I6"/>
    <mergeCell ref="B8:I8"/>
    <mergeCell ref="B10:I10"/>
    <mergeCell ref="B12:I12"/>
    <mergeCell ref="B14:C14"/>
    <mergeCell ref="B16:C19"/>
    <mergeCell ref="D16:D19"/>
    <mergeCell ref="F16:F19"/>
    <mergeCell ref="F20:F27"/>
    <mergeCell ref="B15:C15"/>
    <mergeCell ref="B48:I48"/>
    <mergeCell ref="B32:I32"/>
    <mergeCell ref="C124:D124"/>
    <mergeCell ref="C126:D126"/>
    <mergeCell ref="C114:D114"/>
    <mergeCell ref="C115:D115"/>
    <mergeCell ref="C116:D116"/>
    <mergeCell ref="C117:D117"/>
    <mergeCell ref="C118:D118"/>
    <mergeCell ref="C125:D125"/>
    <mergeCell ref="C59:D59"/>
    <mergeCell ref="B50:I50"/>
    <mergeCell ref="C52:D52"/>
    <mergeCell ref="C53:D53"/>
    <mergeCell ref="C54:D54"/>
    <mergeCell ref="C55:D55"/>
    <mergeCell ref="C56:D56"/>
    <mergeCell ref="C57:D57"/>
    <mergeCell ref="C58:D58"/>
    <mergeCell ref="B78:I78"/>
    <mergeCell ref="B61:I61"/>
    <mergeCell ref="D63:E63"/>
    <mergeCell ref="F63:G63"/>
    <mergeCell ref="D64:E64"/>
  </mergeCells>
  <pageMargins left="0.25" right="0.25" top="0.75" bottom="0.75" header="0.3" footer="0.3"/>
  <pageSetup paperSize="8" scale="69" fitToHeight="0" orientation="portrait" r:id="rId1"/>
  <headerFooter>
    <oddFooter>&amp;F</oddFooter>
  </headerFooter>
  <rowBreaks count="2" manualBreakCount="2">
    <brk id="69" max="8" man="1"/>
    <brk id="142"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M298"/>
  <sheetViews>
    <sheetView tabSelected="1" zoomScale="85" zoomScaleNormal="85" zoomScaleSheetLayoutView="100" zoomScalePageLayoutView="70" workbookViewId="0">
      <selection activeCell="A6" sqref="A6:G6"/>
    </sheetView>
  </sheetViews>
  <sheetFormatPr defaultColWidth="9.109375" defaultRowHeight="15"/>
  <cols>
    <col min="1" max="1" width="57.5546875" style="3" customWidth="1"/>
    <col min="2" max="2" width="15" style="3" customWidth="1"/>
    <col min="3" max="3" width="21" style="3" customWidth="1"/>
    <col min="4" max="5" width="15" style="3" customWidth="1"/>
    <col min="6" max="6" width="14.33203125" style="10" customWidth="1"/>
    <col min="7" max="7" width="15.6640625" style="3" customWidth="1"/>
    <col min="8" max="8" width="9.109375" style="3" hidden="1" customWidth="1"/>
    <col min="9" max="9" width="87.5546875" style="3" hidden="1" customWidth="1"/>
    <col min="10" max="10" width="19" style="3" hidden="1" customWidth="1"/>
    <col min="11" max="11" width="43.5546875" style="3" hidden="1" customWidth="1"/>
    <col min="12" max="12" width="43" style="3" hidden="1" customWidth="1"/>
    <col min="13" max="13" width="18.44140625" style="3" hidden="1" customWidth="1"/>
    <col min="14" max="16384" width="9.109375" style="3"/>
  </cols>
  <sheetData>
    <row r="1" spans="1:9" ht="15" customHeight="1">
      <c r="A1" s="785" t="s">
        <v>585</v>
      </c>
      <c r="B1" s="786"/>
      <c r="C1" s="786"/>
      <c r="D1" s="786"/>
      <c r="E1" s="786"/>
      <c r="F1" s="786"/>
      <c r="G1" s="787"/>
      <c r="I1" s="3" t="s">
        <v>40</v>
      </c>
    </row>
    <row r="2" spans="1:9" ht="15.75" customHeight="1" thickBot="1">
      <c r="A2" s="788"/>
      <c r="B2" s="789"/>
      <c r="C2" s="789"/>
      <c r="D2" s="789"/>
      <c r="E2" s="789"/>
      <c r="F2" s="789"/>
      <c r="G2" s="790"/>
      <c r="I2" s="6" t="s">
        <v>384</v>
      </c>
    </row>
    <row r="3" spans="1:9" s="4" customFormat="1" ht="21.75" customHeight="1" thickBot="1">
      <c r="A3" s="12" t="s">
        <v>32</v>
      </c>
      <c r="B3" s="13"/>
      <c r="C3" s="13"/>
      <c r="D3" s="13"/>
      <c r="E3" s="13"/>
      <c r="F3" s="13"/>
      <c r="G3" s="14"/>
      <c r="I3" s="6" t="s">
        <v>44</v>
      </c>
    </row>
    <row r="4" spans="1:9">
      <c r="A4" s="263"/>
      <c r="B4" s="264"/>
      <c r="C4" s="264"/>
      <c r="D4" s="264"/>
      <c r="E4" s="264"/>
      <c r="F4" s="265"/>
      <c r="G4" s="266"/>
      <c r="I4" s="6" t="s">
        <v>15</v>
      </c>
    </row>
    <row r="5" spans="1:9" ht="15.6">
      <c r="A5" s="267" t="s">
        <v>24</v>
      </c>
      <c r="B5" s="264"/>
      <c r="C5" s="264"/>
      <c r="D5" s="264"/>
      <c r="E5" s="264"/>
      <c r="F5" s="265"/>
      <c r="G5" s="266"/>
      <c r="I5" s="6" t="s">
        <v>16</v>
      </c>
    </row>
    <row r="6" spans="1:9">
      <c r="A6" s="791"/>
      <c r="B6" s="763"/>
      <c r="C6" s="763"/>
      <c r="D6" s="763"/>
      <c r="E6" s="763"/>
      <c r="F6" s="763"/>
      <c r="G6" s="764"/>
      <c r="I6" s="6" t="s">
        <v>383</v>
      </c>
    </row>
    <row r="7" spans="1:9">
      <c r="A7" s="268"/>
      <c r="B7" s="262"/>
      <c r="C7" s="262"/>
      <c r="D7" s="262"/>
      <c r="E7" s="262"/>
      <c r="F7" s="265"/>
      <c r="G7" s="266"/>
      <c r="I7" s="29" t="s">
        <v>382</v>
      </c>
    </row>
    <row r="8" spans="1:9" ht="15.6">
      <c r="A8" s="267" t="s">
        <v>25</v>
      </c>
      <c r="B8" s="264"/>
      <c r="C8" s="264"/>
      <c r="D8" s="264"/>
      <c r="E8" s="264"/>
      <c r="F8" s="265"/>
      <c r="G8" s="266"/>
    </row>
    <row r="9" spans="1:9" ht="58.2" customHeight="1">
      <c r="A9" s="792"/>
      <c r="B9" s="793"/>
      <c r="C9" s="793"/>
      <c r="D9" s="793"/>
      <c r="E9" s="793"/>
      <c r="F9" s="793"/>
      <c r="G9" s="794"/>
    </row>
    <row r="10" spans="1:9" ht="13.5" customHeight="1">
      <c r="A10" s="269"/>
      <c r="B10" s="384"/>
      <c r="C10" s="384"/>
      <c r="D10" s="384"/>
      <c r="E10" s="384"/>
      <c r="F10" s="261"/>
      <c r="G10" s="266"/>
    </row>
    <row r="11" spans="1:9" ht="15.6">
      <c r="A11" s="267" t="s">
        <v>26</v>
      </c>
      <c r="B11" s="264"/>
      <c r="C11" s="264"/>
      <c r="D11" s="264"/>
      <c r="E11" s="264"/>
      <c r="F11" s="265"/>
      <c r="G11" s="266"/>
    </row>
    <row r="12" spans="1:9" ht="29.25" customHeight="1">
      <c r="A12" s="795"/>
      <c r="B12" s="796"/>
      <c r="C12" s="796"/>
      <c r="D12" s="796"/>
      <c r="E12" s="796"/>
      <c r="F12" s="796"/>
      <c r="G12" s="797"/>
    </row>
    <row r="13" spans="1:9">
      <c r="A13" s="263"/>
      <c r="B13" s="264"/>
      <c r="C13" s="264"/>
      <c r="D13" s="264"/>
      <c r="E13" s="264"/>
      <c r="F13" s="265"/>
      <c r="G13" s="266"/>
    </row>
    <row r="14" spans="1:9" ht="15.6">
      <c r="A14" s="267" t="s">
        <v>91</v>
      </c>
      <c r="B14" s="264"/>
      <c r="C14" s="264"/>
      <c r="D14" s="264"/>
      <c r="E14" s="264"/>
      <c r="F14" s="265"/>
      <c r="G14" s="266"/>
    </row>
    <row r="15" spans="1:9">
      <c r="A15" s="263" t="s">
        <v>92</v>
      </c>
      <c r="B15" s="762"/>
      <c r="C15" s="763"/>
      <c r="D15" s="763"/>
      <c r="E15" s="763"/>
      <c r="F15" s="763"/>
      <c r="G15" s="764"/>
    </row>
    <row r="16" spans="1:9">
      <c r="A16" s="263" t="s">
        <v>105</v>
      </c>
      <c r="B16" s="762"/>
      <c r="C16" s="763"/>
      <c r="D16" s="763"/>
      <c r="E16" s="763"/>
      <c r="F16" s="763"/>
      <c r="G16" s="764"/>
    </row>
    <row r="17" spans="1:7">
      <c r="A17" s="263" t="s">
        <v>93</v>
      </c>
      <c r="B17" s="762"/>
      <c r="C17" s="763"/>
      <c r="D17" s="763"/>
      <c r="E17" s="763"/>
      <c r="F17" s="763"/>
      <c r="G17" s="764"/>
    </row>
    <row r="18" spans="1:7" s="29" customFormat="1" ht="51" customHeight="1">
      <c r="A18" s="270" t="s">
        <v>94</v>
      </c>
      <c r="B18" s="801"/>
      <c r="C18" s="766"/>
      <c r="D18" s="766"/>
      <c r="E18" s="766"/>
      <c r="F18" s="766"/>
      <c r="G18" s="767"/>
    </row>
    <row r="19" spans="1:7">
      <c r="A19" s="263" t="s">
        <v>95</v>
      </c>
      <c r="B19" s="802"/>
      <c r="C19" s="763"/>
      <c r="D19" s="763"/>
      <c r="E19" s="763"/>
      <c r="F19" s="763"/>
      <c r="G19" s="764"/>
    </row>
    <row r="20" spans="1:7">
      <c r="A20" s="263" t="s">
        <v>96</v>
      </c>
      <c r="B20" s="762"/>
      <c r="C20" s="763"/>
      <c r="D20" s="763"/>
      <c r="E20" s="763"/>
      <c r="F20" s="763"/>
      <c r="G20" s="764"/>
    </row>
    <row r="21" spans="1:7">
      <c r="A21" s="263" t="s">
        <v>97</v>
      </c>
      <c r="B21" s="762"/>
      <c r="C21" s="763"/>
      <c r="D21" s="763"/>
      <c r="E21" s="763"/>
      <c r="F21" s="763"/>
      <c r="G21" s="764"/>
    </row>
    <row r="22" spans="1:7">
      <c r="A22" s="263"/>
      <c r="B22" s="264"/>
      <c r="C22" s="264"/>
      <c r="D22" s="264"/>
      <c r="E22" s="264"/>
      <c r="F22" s="265"/>
      <c r="G22" s="266"/>
    </row>
    <row r="23" spans="1:7" ht="15.6">
      <c r="A23" s="267" t="s">
        <v>98</v>
      </c>
      <c r="B23" s="264"/>
      <c r="C23" s="264"/>
      <c r="D23" s="264"/>
      <c r="E23" s="264"/>
      <c r="F23" s="265"/>
      <c r="G23" s="266"/>
    </row>
    <row r="24" spans="1:7">
      <c r="A24" s="263" t="s">
        <v>92</v>
      </c>
      <c r="B24" s="762"/>
      <c r="C24" s="763"/>
      <c r="D24" s="763"/>
      <c r="E24" s="763"/>
      <c r="F24" s="763"/>
      <c r="G24" s="764"/>
    </row>
    <row r="25" spans="1:7">
      <c r="A25" s="263" t="s">
        <v>105</v>
      </c>
      <c r="B25" s="762"/>
      <c r="C25" s="763"/>
      <c r="D25" s="763"/>
      <c r="E25" s="763"/>
      <c r="F25" s="763"/>
      <c r="G25" s="764"/>
    </row>
    <row r="26" spans="1:7">
      <c r="A26" s="263" t="s">
        <v>93</v>
      </c>
      <c r="B26" s="762"/>
      <c r="C26" s="763"/>
      <c r="D26" s="763"/>
      <c r="E26" s="763"/>
      <c r="F26" s="763"/>
      <c r="G26" s="764"/>
    </row>
    <row r="27" spans="1:7" s="29" customFormat="1" ht="51" customHeight="1">
      <c r="A27" s="270" t="s">
        <v>94</v>
      </c>
      <c r="B27" s="765"/>
      <c r="C27" s="766"/>
      <c r="D27" s="766"/>
      <c r="E27" s="766"/>
      <c r="F27" s="766"/>
      <c r="G27" s="767"/>
    </row>
    <row r="28" spans="1:7">
      <c r="A28" s="263" t="s">
        <v>95</v>
      </c>
      <c r="B28" s="762"/>
      <c r="C28" s="763"/>
      <c r="D28" s="763"/>
      <c r="E28" s="763"/>
      <c r="F28" s="763"/>
      <c r="G28" s="764"/>
    </row>
    <row r="29" spans="1:7">
      <c r="A29" s="263" t="s">
        <v>96</v>
      </c>
      <c r="B29" s="762"/>
      <c r="C29" s="763"/>
      <c r="D29" s="763"/>
      <c r="E29" s="763"/>
      <c r="F29" s="763"/>
      <c r="G29" s="764"/>
    </row>
    <row r="30" spans="1:7">
      <c r="A30" s="263" t="s">
        <v>97</v>
      </c>
      <c r="B30" s="762"/>
      <c r="C30" s="763"/>
      <c r="D30" s="763"/>
      <c r="E30" s="763"/>
      <c r="F30" s="763"/>
      <c r="G30" s="764"/>
    </row>
    <row r="31" spans="1:7">
      <c r="A31" s="263"/>
      <c r="B31" s="264"/>
      <c r="C31" s="264"/>
      <c r="D31" s="264"/>
      <c r="E31" s="264"/>
      <c r="F31" s="265"/>
      <c r="G31" s="266"/>
    </row>
    <row r="32" spans="1:7" ht="15.6">
      <c r="A32" s="267" t="s">
        <v>495</v>
      </c>
      <c r="B32" s="264"/>
      <c r="C32" s="264"/>
      <c r="D32" s="264"/>
      <c r="E32" s="264"/>
      <c r="F32" s="265"/>
      <c r="G32" s="266"/>
    </row>
    <row r="33" spans="1:9">
      <c r="A33" s="263" t="s">
        <v>92</v>
      </c>
      <c r="B33" s="762"/>
      <c r="C33" s="763"/>
      <c r="D33" s="763"/>
      <c r="E33" s="763"/>
      <c r="F33" s="763"/>
      <c r="G33" s="764"/>
    </row>
    <row r="34" spans="1:9">
      <c r="A34" s="263" t="s">
        <v>105</v>
      </c>
      <c r="B34" s="762"/>
      <c r="C34" s="763"/>
      <c r="D34" s="763"/>
      <c r="E34" s="763"/>
      <c r="F34" s="763"/>
      <c r="G34" s="764"/>
    </row>
    <row r="35" spans="1:9">
      <c r="A35" s="263" t="s">
        <v>93</v>
      </c>
      <c r="B35" s="762"/>
      <c r="C35" s="763"/>
      <c r="D35" s="763"/>
      <c r="E35" s="763"/>
      <c r="F35" s="763"/>
      <c r="G35" s="764"/>
    </row>
    <row r="36" spans="1:9" s="29" customFormat="1" ht="51" customHeight="1">
      <c r="A36" s="270" t="s">
        <v>94</v>
      </c>
      <c r="B36" s="765"/>
      <c r="C36" s="766"/>
      <c r="D36" s="766"/>
      <c r="E36" s="766"/>
      <c r="F36" s="766"/>
      <c r="G36" s="767"/>
    </row>
    <row r="37" spans="1:9">
      <c r="A37" s="263" t="s">
        <v>95</v>
      </c>
      <c r="B37" s="762"/>
      <c r="C37" s="763"/>
      <c r="D37" s="763"/>
      <c r="E37" s="763"/>
      <c r="F37" s="763"/>
      <c r="G37" s="764"/>
    </row>
    <row r="38" spans="1:9">
      <c r="A38" s="263" t="s">
        <v>96</v>
      </c>
      <c r="B38" s="762"/>
      <c r="C38" s="763"/>
      <c r="D38" s="763"/>
      <c r="E38" s="763"/>
      <c r="F38" s="763"/>
      <c r="G38" s="764"/>
    </row>
    <row r="39" spans="1:9">
      <c r="A39" s="263" t="s">
        <v>97</v>
      </c>
      <c r="B39" s="762"/>
      <c r="C39" s="763"/>
      <c r="D39" s="763"/>
      <c r="E39" s="763"/>
      <c r="F39" s="763"/>
      <c r="G39" s="764"/>
    </row>
    <row r="40" spans="1:9">
      <c r="A40" s="263"/>
      <c r="B40" s="264"/>
      <c r="C40" s="264"/>
      <c r="D40" s="264"/>
      <c r="E40" s="264"/>
      <c r="F40" s="265"/>
      <c r="G40" s="266"/>
    </row>
    <row r="41" spans="1:9" ht="15.6">
      <c r="A41" s="267" t="s">
        <v>496</v>
      </c>
      <c r="B41" s="264"/>
      <c r="C41" s="264"/>
      <c r="D41" s="264"/>
      <c r="E41" s="264"/>
      <c r="F41" s="265"/>
      <c r="G41" s="266"/>
    </row>
    <row r="42" spans="1:9">
      <c r="A42" s="263" t="s">
        <v>92</v>
      </c>
      <c r="B42" s="762"/>
      <c r="C42" s="763"/>
      <c r="D42" s="763"/>
      <c r="E42" s="763"/>
      <c r="F42" s="763"/>
      <c r="G42" s="764"/>
    </row>
    <row r="43" spans="1:9">
      <c r="A43" s="263" t="s">
        <v>105</v>
      </c>
      <c r="B43" s="762"/>
      <c r="C43" s="763"/>
      <c r="D43" s="763"/>
      <c r="E43" s="763"/>
      <c r="F43" s="763"/>
      <c r="G43" s="764"/>
    </row>
    <row r="44" spans="1:9">
      <c r="A44" s="263" t="s">
        <v>93</v>
      </c>
      <c r="B44" s="762"/>
      <c r="C44" s="763"/>
      <c r="D44" s="763"/>
      <c r="E44" s="763"/>
      <c r="F44" s="763"/>
      <c r="G44" s="764"/>
    </row>
    <row r="45" spans="1:9" ht="51" customHeight="1">
      <c r="A45" s="270" t="s">
        <v>94</v>
      </c>
      <c r="B45" s="765"/>
      <c r="C45" s="766"/>
      <c r="D45" s="766"/>
      <c r="E45" s="766"/>
      <c r="F45" s="766"/>
      <c r="G45" s="767"/>
    </row>
    <row r="46" spans="1:9">
      <c r="A46" s="263" t="s">
        <v>95</v>
      </c>
      <c r="B46" s="762"/>
      <c r="C46" s="763"/>
      <c r="D46" s="763"/>
      <c r="E46" s="763"/>
      <c r="F46" s="763"/>
      <c r="G46" s="764"/>
    </row>
    <row r="47" spans="1:9">
      <c r="A47" s="263" t="s">
        <v>96</v>
      </c>
      <c r="B47" s="762"/>
      <c r="C47" s="763"/>
      <c r="D47" s="763"/>
      <c r="E47" s="763"/>
      <c r="F47" s="763"/>
      <c r="G47" s="764"/>
      <c r="I47" s="3" t="s">
        <v>502</v>
      </c>
    </row>
    <row r="48" spans="1:9">
      <c r="A48" s="263" t="s">
        <v>97</v>
      </c>
      <c r="B48" s="762"/>
      <c r="C48" s="763"/>
      <c r="D48" s="763"/>
      <c r="E48" s="763"/>
      <c r="F48" s="763"/>
      <c r="G48" s="764"/>
    </row>
    <row r="49" spans="1:10">
      <c r="A49" s="263"/>
      <c r="B49" s="264"/>
      <c r="C49" s="264"/>
      <c r="D49" s="264"/>
      <c r="E49" s="264"/>
      <c r="F49" s="265"/>
      <c r="G49" s="266"/>
      <c r="J49" s="4" t="s">
        <v>502</v>
      </c>
    </row>
    <row r="50" spans="1:10" ht="15.6">
      <c r="A50" s="267" t="s">
        <v>31</v>
      </c>
      <c r="B50" s="264"/>
      <c r="C50" s="264"/>
      <c r="D50" s="264"/>
      <c r="E50" s="264"/>
      <c r="F50" s="265"/>
      <c r="G50" s="446" t="s">
        <v>498</v>
      </c>
    </row>
    <row r="51" spans="1:10" ht="35.4" customHeight="1">
      <c r="A51" s="759" t="s">
        <v>497</v>
      </c>
      <c r="B51" s="760"/>
      <c r="C51" s="760"/>
      <c r="D51" s="760"/>
      <c r="E51" s="760"/>
      <c r="F51" s="760"/>
      <c r="G51" s="535"/>
    </row>
    <row r="52" spans="1:10" ht="64.8" customHeight="1">
      <c r="A52" s="759" t="s">
        <v>506</v>
      </c>
      <c r="B52" s="760"/>
      <c r="C52" s="760"/>
      <c r="D52" s="760"/>
      <c r="E52" s="760"/>
      <c r="F52" s="760"/>
      <c r="G52" s="535"/>
    </row>
    <row r="53" spans="1:10" ht="34.950000000000003" customHeight="1">
      <c r="A53" s="759" t="s">
        <v>507</v>
      </c>
      <c r="B53" s="760"/>
      <c r="C53" s="760"/>
      <c r="D53" s="760"/>
      <c r="E53" s="760"/>
      <c r="F53" s="761"/>
      <c r="G53" s="755"/>
    </row>
    <row r="54" spans="1:10" ht="50.4" customHeight="1" thickBot="1">
      <c r="A54" s="757" t="s">
        <v>552</v>
      </c>
      <c r="B54" s="758"/>
      <c r="C54" s="758"/>
      <c r="D54" s="758"/>
      <c r="E54" s="758"/>
      <c r="F54" s="510">
        <f>VLOOKUP(A54,I55:J67,2,FALSE)</f>
        <v>0</v>
      </c>
      <c r="G54" s="756"/>
      <c r="I54" s="3" t="s">
        <v>505</v>
      </c>
    </row>
    <row r="55" spans="1:10" ht="16.2" customHeight="1">
      <c r="A55" s="462"/>
      <c r="B55" s="299"/>
      <c r="C55" s="299"/>
      <c r="D55" s="299"/>
      <c r="E55" s="299"/>
      <c r="F55" s="463"/>
      <c r="G55" s="464"/>
      <c r="I55" s="4" t="s">
        <v>552</v>
      </c>
    </row>
    <row r="56" spans="1:10" ht="16.2" customHeight="1">
      <c r="A56" s="798" t="s">
        <v>70</v>
      </c>
      <c r="B56" s="799"/>
      <c r="C56" s="799"/>
      <c r="D56" s="799"/>
      <c r="E56" s="799"/>
      <c r="F56" s="799"/>
      <c r="G56" s="800"/>
      <c r="I56" s="251" t="s">
        <v>568</v>
      </c>
      <c r="J56" s="392" t="s">
        <v>499</v>
      </c>
    </row>
    <row r="57" spans="1:10" ht="18" customHeight="1">
      <c r="A57" s="394"/>
      <c r="B57" s="395"/>
      <c r="C57" s="395"/>
      <c r="D57" s="395"/>
      <c r="E57" s="395"/>
      <c r="F57" s="271"/>
      <c r="G57" s="266"/>
      <c r="I57" s="251" t="s">
        <v>569</v>
      </c>
      <c r="J57" s="392" t="s">
        <v>500</v>
      </c>
    </row>
    <row r="58" spans="1:10" ht="18" customHeight="1">
      <c r="A58" s="781" t="s">
        <v>106</v>
      </c>
      <c r="B58" s="264"/>
      <c r="C58" s="272" t="s">
        <v>27</v>
      </c>
      <c r="D58" s="264"/>
      <c r="E58" s="272" t="s">
        <v>28</v>
      </c>
      <c r="F58" s="265"/>
      <c r="G58" s="266"/>
      <c r="I58" s="251" t="s">
        <v>570</v>
      </c>
      <c r="J58" s="392" t="s">
        <v>500</v>
      </c>
    </row>
    <row r="59" spans="1:10" ht="18" customHeight="1">
      <c r="A59" s="781"/>
      <c r="B59" s="264"/>
      <c r="C59" s="272"/>
      <c r="D59" s="264"/>
      <c r="E59" s="272"/>
      <c r="F59" s="265"/>
      <c r="G59" s="266"/>
      <c r="I59" s="252" t="s">
        <v>586</v>
      </c>
      <c r="J59" s="392" t="s">
        <v>534</v>
      </c>
    </row>
    <row r="60" spans="1:10" ht="17.399999999999999" customHeight="1">
      <c r="A60" s="454" t="s">
        <v>40</v>
      </c>
      <c r="B60" s="264"/>
      <c r="C60" s="453"/>
      <c r="D60" s="264" t="s">
        <v>33</v>
      </c>
      <c r="E60" s="453"/>
      <c r="F60" s="262" t="s">
        <v>33</v>
      </c>
      <c r="G60" s="266"/>
      <c r="I60" s="252" t="s">
        <v>571</v>
      </c>
      <c r="J60" s="392" t="s">
        <v>534</v>
      </c>
    </row>
    <row r="61" spans="1:10" ht="17.399999999999999" customHeight="1">
      <c r="A61" s="454" t="s">
        <v>40</v>
      </c>
      <c r="B61" s="264"/>
      <c r="C61" s="453"/>
      <c r="D61" s="264" t="s">
        <v>33</v>
      </c>
      <c r="E61" s="453"/>
      <c r="F61" s="262" t="s">
        <v>33</v>
      </c>
      <c r="G61" s="266"/>
      <c r="I61" s="252" t="s">
        <v>587</v>
      </c>
      <c r="J61" s="392" t="s">
        <v>534</v>
      </c>
    </row>
    <row r="62" spans="1:10" ht="17.399999999999999" customHeight="1">
      <c r="A62" s="454" t="s">
        <v>40</v>
      </c>
      <c r="B62" s="264"/>
      <c r="C62" s="453"/>
      <c r="D62" s="264" t="s">
        <v>33</v>
      </c>
      <c r="E62" s="453"/>
      <c r="F62" s="262" t="s">
        <v>33</v>
      </c>
      <c r="G62" s="266"/>
      <c r="I62" s="252" t="s">
        <v>572</v>
      </c>
      <c r="J62" s="392" t="s">
        <v>534</v>
      </c>
    </row>
    <row r="63" spans="1:10" ht="17.399999999999999" customHeight="1">
      <c r="A63" s="454" t="s">
        <v>40</v>
      </c>
      <c r="B63" s="264"/>
      <c r="C63" s="453"/>
      <c r="D63" s="264" t="s">
        <v>33</v>
      </c>
      <c r="E63" s="453"/>
      <c r="F63" s="262" t="s">
        <v>33</v>
      </c>
      <c r="G63" s="266"/>
      <c r="I63" s="252" t="s">
        <v>588</v>
      </c>
      <c r="J63" s="392" t="s">
        <v>535</v>
      </c>
    </row>
    <row r="64" spans="1:10" ht="16.2" customHeight="1">
      <c r="A64" s="267" t="s">
        <v>29</v>
      </c>
      <c r="B64" s="264"/>
      <c r="C64" s="273">
        <f>SUM(C60:C63)</f>
        <v>0</v>
      </c>
      <c r="D64" s="264" t="s">
        <v>33</v>
      </c>
      <c r="E64" s="273">
        <f>SUM(E60:E63)</f>
        <v>0</v>
      </c>
      <c r="F64" s="262" t="s">
        <v>33</v>
      </c>
      <c r="G64" s="266"/>
      <c r="I64" s="252" t="s">
        <v>624</v>
      </c>
      <c r="J64" s="392" t="s">
        <v>566</v>
      </c>
    </row>
    <row r="65" spans="1:10" ht="16.2" customHeight="1">
      <c r="A65" s="267" t="s">
        <v>30</v>
      </c>
      <c r="B65" s="264"/>
      <c r="C65" s="273">
        <f>SUM(C64+E64)</f>
        <v>0</v>
      </c>
      <c r="D65" s="264" t="s">
        <v>33</v>
      </c>
      <c r="E65" s="264"/>
      <c r="F65" s="265"/>
      <c r="G65" s="266"/>
      <c r="I65" s="252" t="s">
        <v>625</v>
      </c>
      <c r="J65" s="392" t="s">
        <v>566</v>
      </c>
    </row>
    <row r="66" spans="1:10" ht="16.2" customHeight="1">
      <c r="A66" s="263"/>
      <c r="B66" s="264"/>
      <c r="C66" s="264"/>
      <c r="D66" s="264"/>
      <c r="E66" s="264"/>
      <c r="F66" s="265"/>
      <c r="G66" s="266"/>
      <c r="I66" s="252" t="s">
        <v>626</v>
      </c>
      <c r="J66" s="392" t="s">
        <v>567</v>
      </c>
    </row>
    <row r="67" spans="1:10" ht="16.2" customHeight="1">
      <c r="A67" s="274" t="s">
        <v>107</v>
      </c>
      <c r="B67" s="264"/>
      <c r="C67" s="264"/>
      <c r="D67" s="264"/>
      <c r="E67" s="264"/>
      <c r="F67" s="265"/>
      <c r="G67" s="266"/>
      <c r="I67" s="251" t="s">
        <v>573</v>
      </c>
      <c r="J67" s="392" t="s">
        <v>501</v>
      </c>
    </row>
    <row r="68" spans="1:10" ht="16.2" customHeight="1">
      <c r="A68" s="263"/>
      <c r="B68" s="264"/>
      <c r="C68" s="264"/>
      <c r="D68" s="264"/>
      <c r="E68" s="264"/>
      <c r="F68" s="265"/>
      <c r="G68" s="266"/>
    </row>
    <row r="69" spans="1:10" ht="15.6">
      <c r="A69" s="267" t="s">
        <v>31</v>
      </c>
      <c r="B69" s="264"/>
      <c r="C69" s="264"/>
      <c r="D69" s="264"/>
      <c r="E69" s="264"/>
      <c r="F69" s="265"/>
      <c r="G69" s="275" t="s">
        <v>498</v>
      </c>
    </row>
    <row r="70" spans="1:10" s="251" customFormat="1" ht="30.75" customHeight="1">
      <c r="A70" s="783" t="s">
        <v>651</v>
      </c>
      <c r="B70" s="784"/>
      <c r="C70" s="784"/>
      <c r="D70" s="784"/>
      <c r="E70" s="784"/>
      <c r="F70" s="784"/>
      <c r="G70" s="452"/>
    </row>
    <row r="71" spans="1:10" s="251" customFormat="1" ht="34.5" customHeight="1">
      <c r="A71" s="778" t="s">
        <v>337</v>
      </c>
      <c r="B71" s="779"/>
      <c r="C71" s="779"/>
      <c r="D71" s="779"/>
      <c r="E71" s="779"/>
      <c r="F71" s="780"/>
      <c r="G71" s="452"/>
    </row>
    <row r="72" spans="1:10" s="251" customFormat="1" ht="29.25" customHeight="1">
      <c r="A72" s="778" t="s">
        <v>338</v>
      </c>
      <c r="B72" s="779"/>
      <c r="C72" s="779"/>
      <c r="D72" s="779"/>
      <c r="E72" s="779"/>
      <c r="F72" s="780"/>
      <c r="G72" s="452"/>
    </row>
    <row r="73" spans="1:10" s="252" customFormat="1" ht="15.6" thickBot="1">
      <c r="A73" s="276"/>
      <c r="B73" s="277"/>
      <c r="C73" s="277"/>
      <c r="D73" s="277"/>
      <c r="E73" s="277"/>
      <c r="F73" s="261"/>
      <c r="G73" s="278"/>
    </row>
    <row r="74" spans="1:10" s="4" customFormat="1" ht="21.75" customHeight="1" thickBot="1">
      <c r="A74" s="15" t="s">
        <v>34</v>
      </c>
      <c r="B74" s="16"/>
      <c r="C74" s="16"/>
      <c r="D74" s="16"/>
      <c r="E74" s="16"/>
      <c r="F74" s="16"/>
      <c r="G74" s="17"/>
      <c r="I74" s="3"/>
      <c r="J74" s="3"/>
    </row>
    <row r="75" spans="1:10">
      <c r="A75" s="263"/>
      <c r="B75" s="264"/>
      <c r="C75" s="264"/>
      <c r="D75" s="264"/>
      <c r="E75" s="264"/>
      <c r="F75" s="265"/>
      <c r="G75" s="266"/>
    </row>
    <row r="76" spans="1:10" ht="87.75" customHeight="1">
      <c r="A76" s="341" t="s">
        <v>35</v>
      </c>
      <c r="B76" s="342" t="s">
        <v>39</v>
      </c>
      <c r="C76" s="342" t="s">
        <v>54</v>
      </c>
      <c r="D76" s="342" t="s">
        <v>80</v>
      </c>
      <c r="E76" s="342" t="s">
        <v>81</v>
      </c>
      <c r="F76" s="342" t="s">
        <v>53</v>
      </c>
      <c r="G76" s="343" t="s">
        <v>82</v>
      </c>
    </row>
    <row r="77" spans="1:10">
      <c r="A77" s="393"/>
      <c r="B77" s="279">
        <f>'Block 1'!F59</f>
        <v>0</v>
      </c>
      <c r="C77" s="280">
        <f>IFERROR(B77/$B$87,0)</f>
        <v>0</v>
      </c>
      <c r="D77" s="279">
        <f>'Block 1'!F120</f>
        <v>0</v>
      </c>
      <c r="E77" s="280">
        <f>IFERROR(D77/$D$87,0)</f>
        <v>0</v>
      </c>
      <c r="F77" s="279">
        <f>IFERROR('Block 1'!H245,0)</f>
        <v>0</v>
      </c>
      <c r="G77" s="281">
        <f>IFERROR(C77*F77,0)</f>
        <v>0</v>
      </c>
    </row>
    <row r="78" spans="1:10">
      <c r="A78" s="393"/>
      <c r="B78" s="279">
        <f>'Block 2'!F59</f>
        <v>0</v>
      </c>
      <c r="C78" s="280">
        <f>IFERROR(B78/$B$87,0)</f>
        <v>0</v>
      </c>
      <c r="D78" s="279">
        <f>'Block 2'!F120</f>
        <v>0</v>
      </c>
      <c r="E78" s="280">
        <f t="shared" ref="E78:E86" si="0">IFERROR(D78/$D$87,0)</f>
        <v>0</v>
      </c>
      <c r="F78" s="279">
        <f>IFERROR('Block 2'!H245,0)</f>
        <v>0</v>
      </c>
      <c r="G78" s="281">
        <f>IFERROR(C78*F78,0)</f>
        <v>0</v>
      </c>
    </row>
    <row r="79" spans="1:10">
      <c r="A79" s="393"/>
      <c r="B79" s="279">
        <f>'Block 3'!F59</f>
        <v>0</v>
      </c>
      <c r="C79" s="280">
        <f>IFERROR(B79/$B$87,0)</f>
        <v>0</v>
      </c>
      <c r="D79" s="279">
        <f>'Block 3'!F120</f>
        <v>0</v>
      </c>
      <c r="E79" s="280">
        <f t="shared" si="0"/>
        <v>0</v>
      </c>
      <c r="F79" s="279">
        <f>IFERROR('Block 3'!H245,0)</f>
        <v>0</v>
      </c>
      <c r="G79" s="281">
        <f>IFERROR(C79*F79,0)</f>
        <v>0</v>
      </c>
    </row>
    <row r="80" spans="1:10">
      <c r="A80" s="393"/>
      <c r="B80" s="279">
        <f>'Block 4'!F59</f>
        <v>0</v>
      </c>
      <c r="C80" s="280">
        <f>IFERROR(B80/$B$87,0)</f>
        <v>0</v>
      </c>
      <c r="D80" s="279">
        <f>'Block 4'!F120</f>
        <v>0</v>
      </c>
      <c r="E80" s="280">
        <f t="shared" si="0"/>
        <v>0</v>
      </c>
      <c r="F80" s="279">
        <f>IFERROR('Block 4'!H245,0)</f>
        <v>0</v>
      </c>
      <c r="G80" s="281">
        <f t="shared" ref="G80" si="1">IFERROR(C80*F80,0)</f>
        <v>0</v>
      </c>
    </row>
    <row r="81" spans="1:10">
      <c r="A81" s="393"/>
      <c r="B81" s="279">
        <f>'Block 5'!F59</f>
        <v>0</v>
      </c>
      <c r="C81" s="280">
        <f t="shared" ref="C81:C82" si="2">IFERROR(B81/$B$87,0)</f>
        <v>0</v>
      </c>
      <c r="D81" s="279">
        <f>'Block 5'!F120</f>
        <v>0</v>
      </c>
      <c r="E81" s="280">
        <f>IFERROR(D81/$D$87,0)</f>
        <v>0</v>
      </c>
      <c r="F81" s="279">
        <f>IFERROR('Block 5'!H245,0)</f>
        <v>0</v>
      </c>
      <c r="G81" s="281">
        <f t="shared" ref="G81:G86" si="3">IFERROR(C81*F81,0)</f>
        <v>0</v>
      </c>
    </row>
    <row r="82" spans="1:10">
      <c r="A82" s="393"/>
      <c r="B82" s="279">
        <f>'Block 6'!F59</f>
        <v>0</v>
      </c>
      <c r="C82" s="280">
        <f t="shared" si="2"/>
        <v>0</v>
      </c>
      <c r="D82" s="279">
        <f>'Block 6'!F120</f>
        <v>0</v>
      </c>
      <c r="E82" s="280">
        <f t="shared" si="0"/>
        <v>0</v>
      </c>
      <c r="F82" s="279">
        <f>IFERROR('Block 6'!H245,0)</f>
        <v>0</v>
      </c>
      <c r="G82" s="281">
        <f>IFERROR(C82*F82,0)</f>
        <v>0</v>
      </c>
    </row>
    <row r="83" spans="1:10">
      <c r="A83" s="393"/>
      <c r="B83" s="279">
        <f>'Block 7'!F59</f>
        <v>0</v>
      </c>
      <c r="C83" s="280">
        <f t="shared" ref="C83:C85" si="4">IFERROR(B83/$B$87,0)</f>
        <v>0</v>
      </c>
      <c r="D83" s="279">
        <f>'Block 7'!F120</f>
        <v>0</v>
      </c>
      <c r="E83" s="280">
        <f t="shared" si="0"/>
        <v>0</v>
      </c>
      <c r="F83" s="279">
        <f>IFERROR('Block 7'!H245,0)</f>
        <v>0</v>
      </c>
      <c r="G83" s="281">
        <f t="shared" si="3"/>
        <v>0</v>
      </c>
    </row>
    <row r="84" spans="1:10">
      <c r="A84" s="393"/>
      <c r="B84" s="279">
        <f>'Block 8'!F59</f>
        <v>0</v>
      </c>
      <c r="C84" s="280">
        <f>IFERROR(B84/$B$87,0)</f>
        <v>0</v>
      </c>
      <c r="D84" s="279">
        <f>'Block 8'!F120</f>
        <v>0</v>
      </c>
      <c r="E84" s="280">
        <f t="shared" si="0"/>
        <v>0</v>
      </c>
      <c r="F84" s="279">
        <f>IFERROR('Block 8'!H245,0)</f>
        <v>0</v>
      </c>
      <c r="G84" s="281">
        <f t="shared" si="3"/>
        <v>0</v>
      </c>
    </row>
    <row r="85" spans="1:10">
      <c r="A85" s="393"/>
      <c r="B85" s="279">
        <f>'Block 9'!F59</f>
        <v>0</v>
      </c>
      <c r="C85" s="280">
        <f t="shared" si="4"/>
        <v>0</v>
      </c>
      <c r="D85" s="279">
        <f>'Block 9'!F120</f>
        <v>0</v>
      </c>
      <c r="E85" s="280">
        <f t="shared" si="0"/>
        <v>0</v>
      </c>
      <c r="F85" s="279">
        <f>IFERROR('Block 9'!H245,0)</f>
        <v>0</v>
      </c>
      <c r="G85" s="281">
        <f t="shared" si="3"/>
        <v>0</v>
      </c>
    </row>
    <row r="86" spans="1:10">
      <c r="A86" s="393"/>
      <c r="B86" s="279">
        <f>'Block 10'!F59</f>
        <v>0</v>
      </c>
      <c r="C86" s="280">
        <f>IFERROR(B86/$B$87,0)</f>
        <v>0</v>
      </c>
      <c r="D86" s="279">
        <f>'Block 10'!F120</f>
        <v>0</v>
      </c>
      <c r="E86" s="280">
        <f t="shared" si="0"/>
        <v>0</v>
      </c>
      <c r="F86" s="279">
        <f>IFERROR('Block 10'!H245,0)</f>
        <v>0</v>
      </c>
      <c r="G86" s="281">
        <f t="shared" si="3"/>
        <v>0</v>
      </c>
    </row>
    <row r="87" spans="1:10" ht="15.6">
      <c r="A87" s="282" t="s">
        <v>36</v>
      </c>
      <c r="B87" s="283">
        <f>SUM(B77:B86)</f>
        <v>0</v>
      </c>
      <c r="C87" s="284">
        <f>SUM(C77:C86)</f>
        <v>0</v>
      </c>
      <c r="D87" s="283">
        <f>SUM(D77:D86)</f>
        <v>0</v>
      </c>
      <c r="E87" s="284">
        <f>SUM(E77:E86)</f>
        <v>0</v>
      </c>
      <c r="F87" s="273"/>
      <c r="G87" s="19">
        <f>ROUND(SUM(G77:G86),0)</f>
        <v>0</v>
      </c>
    </row>
    <row r="88" spans="1:10" ht="15.6">
      <c r="A88" s="447"/>
      <c r="B88" s="448"/>
      <c r="C88" s="449"/>
      <c r="D88" s="448"/>
      <c r="E88" s="449"/>
      <c r="F88" s="306" t="s">
        <v>503</v>
      </c>
      <c r="G88" s="19">
        <f>IFERROR(SUM((C60/C65*IF(C65&gt;=25000,VLOOKUP(A60,'Min B-Score'!A4:C12,3,FALSE),VLOOKUP(A60,'Min B-Score'!A4:C12,2,FALSE)))+(C61/C65*IF(C65&gt;=25000,VLOOKUP(A61,'Min B-Score'!A4:C12,3,FALSE),VLOOKUP(A61,'Min B-Score'!A4:C12,2,FALSE)))+(C62/C65*IF(C65&gt;=25000,VLOOKUP(A62,'Min B-Score'!A4:C12,3,FALSE),VLOOKUP(A62,'Min B-Score'!A4:C12,2,FALSE)))+(C63/C65*IF(C65&gt;=25000,VLOOKUP(A63,'Min B-Score'!A4:C12,3,FALSE),VLOOKUP(A63,'Min B-Score'!A4:C12,2,FALSE)))+(E64/C65)*'Min B-Score'!B11),0)</f>
        <v>0</v>
      </c>
    </row>
    <row r="89" spans="1:10" ht="15.6" thickBot="1">
      <c r="A89" s="285"/>
      <c r="B89" s="286"/>
      <c r="C89" s="264"/>
      <c r="D89" s="264"/>
      <c r="E89" s="264"/>
      <c r="F89" s="265"/>
      <c r="G89" s="287"/>
    </row>
    <row r="90" spans="1:10" ht="15.6" hidden="1">
      <c r="A90" s="288" t="s">
        <v>103</v>
      </c>
      <c r="B90" s="331" t="s">
        <v>111</v>
      </c>
      <c r="C90" s="804" t="s">
        <v>115</v>
      </c>
      <c r="D90" s="804"/>
      <c r="E90" s="331" t="s">
        <v>19</v>
      </c>
      <c r="F90" s="289" t="s">
        <v>112</v>
      </c>
      <c r="G90" s="287"/>
    </row>
    <row r="91" spans="1:10" hidden="1">
      <c r="A91" s="290" t="s">
        <v>99</v>
      </c>
      <c r="B91" s="291">
        <f>IFERROR('Block 1'!H59*C77+'Block 2'!H59*C78+'Block 3'!H59*C79+'Block 4'!H59*C80+'Block 5'!H59*C81+'Block 6'!H59*C82+'Block 7'!H59*C83+'Block 8'!H59*C84+'Block 9'!H59*C85+'Block 10'!H59*C86,0)</f>
        <v>0</v>
      </c>
      <c r="C91" s="805">
        <f>IFERROR('Block 1'!H87*C77+'Block 2'!H87*C78+'Block 3'!H87*C79+'Block 4'!H87*C80+'Block 5'!H87*C81+'Block 6'!H87*C82+'Block 7'!H87*C83+'Block 8'!H87*C84+'Block 9'!H87*C85+'Block 10'!H87*C86,0)</f>
        <v>0</v>
      </c>
      <c r="D91" s="806"/>
      <c r="E91" s="291">
        <f>SUM(B91:D91)</f>
        <v>0</v>
      </c>
      <c r="F91" s="291">
        <f>IFERROR('Block 1'!H89*C77+'Block 2'!H89*C78+'Block 3'!H89*C79+'Block 4'!H89*C80+'Block 5'!H89*C81+'Block 6'!H89*C82+'Block 7'!H89*C83+'Block 8'!H89*C84+'Block 9'!H89*C85+'Block 10'!H89*C86,0)</f>
        <v>0</v>
      </c>
      <c r="G91" s="287"/>
    </row>
    <row r="92" spans="1:10" hidden="1">
      <c r="A92" s="290" t="s">
        <v>100</v>
      </c>
      <c r="B92" s="291">
        <f>IFERROR((('Block 1'!H120+'Block 1'!H143)*C77+('Block 2'!H120+'Block 2'!H143)*C78+('Block 3'!H120+'Block 3'!H143)*C79+('Block 4'!H120+'Block 4'!H143)*C80+('Block 5'!H120+'Block 5'!H143)*C81+('Block 6'!H120+'Block 6'!H143)*C82+('Block 7'!H120+'Block 7'!H143)*C83+('Block 8'!H120+'Block 8'!H143)*C84+('Block 9'!H120+'Block 9'!H143)*C85+('Block 10'!H120+'Block 10'!H143)*C86),0)</f>
        <v>0</v>
      </c>
      <c r="C92" s="805">
        <f>IFERROR((('Block 1'!H182+'Block 1'!H190)*C77+('Block 2'!H182+'Block 2'!H190)*C78+('Block 3'!H182+'Block 3'!H190)*C79+('Block 4'!H182+'Block 4'!H190)*C80+('Block 5'!H182+'Block 5'!H190)*C81+('Block 6'!H182+'Block 6'!H190)*C82+('Block 7'!H182+'Block 7'!H190)*C83+('Block 8'!H182+'Block 8'!H190)*C84+('Block 9'!H182+'Block 9'!H190)*C85+('Block 10'!H182+'Block 10'!H190)*C86),0)</f>
        <v>0</v>
      </c>
      <c r="D92" s="806"/>
      <c r="E92" s="291">
        <f>SUM(B92:D92)</f>
        <v>0</v>
      </c>
      <c r="F92" s="291">
        <f>IFERROR('Block 1'!H192*C77+'Block 2'!H192*C78+'Block 3'!H192*C79+'Block 4'!H192*C80+'Block 5'!H192*C81+'Block 6'!H192*C82+'Block 7'!H192*C83+'Block 8'!H192*C84+'Block 9'!H192*C85+'Block 10'!H192*C86,0)</f>
        <v>0</v>
      </c>
      <c r="G92" s="287"/>
    </row>
    <row r="93" spans="1:10" hidden="1">
      <c r="A93" s="290" t="s">
        <v>101</v>
      </c>
      <c r="B93" s="291">
        <f>IFERROR(('Block 1'!H206+'Block 1'!H220)*C77+('Block 2'!H206+'Block 2'!H220)*C78+('Block 3'!H206+'Block 3'!H220)*C79+('Block 4'!H206+'Block 4'!H220)*C80+('Block 5'!H206+'Block 5'!H220)*C81+('Block 6'!H206+'Block 6'!H220)*C82+('Block 7'!H206+'Block 7'!H220)*C83+('Block 8'!H206+'Block 8'!H220)*C84+('Block 9'!H206+'Block 9'!H220)*C85+('Block 10'!H206+'Block 10'!H220)*C86,0)</f>
        <v>0</v>
      </c>
      <c r="C93" s="805">
        <f>IFERROR('Block 1'!H227*C77+'Block 2'!H227*C78+'Block 3'!H227*C79+'Block 4'!H227*C80+'Block 5'!H227*C81+'Block 6'!H227*C82+'Block 7'!H227*C83+'Block 8'!H227*C84+'Block 9'!H227*C85+'Block 10'!H227*C86,0)</f>
        <v>0</v>
      </c>
      <c r="D93" s="806"/>
      <c r="E93" s="291">
        <f>SUM(B93:D93)</f>
        <v>0</v>
      </c>
      <c r="F93" s="291">
        <f>IFERROR('Block 1'!H229*C77+'Block 2'!H229*C78+'Block 3'!H229*C79+'Block 4'!H229*C80+'Block 5'!H229*C81+'Block 6'!H229*C82+'Block 7'!H229*C83+'Block 8'!H229*C84+'Block 9'!H229*C85+'Block 10'!H229*C86,0)</f>
        <v>0</v>
      </c>
      <c r="G93" s="287"/>
    </row>
    <row r="94" spans="1:10" hidden="1">
      <c r="A94" s="290" t="s">
        <v>104</v>
      </c>
      <c r="B94" s="291">
        <f>IFERROR('Block 1'!H243*C77+'Block 2'!H243*C78+'Block 3'!H243*C79+'Block 4'!H243*C80+'Block 5'!H243*C81+'Block 6'!H243*C82+'Block 7'!H243*C83+'Block 8'!H243*C84+'Block 9'!H243*C85+'Block 10'!H243*C86,0)</f>
        <v>0</v>
      </c>
      <c r="C94" s="805"/>
      <c r="D94" s="806"/>
      <c r="E94" s="291">
        <f>SUM(B94:D94)</f>
        <v>0</v>
      </c>
      <c r="F94" s="291">
        <f>IFERROR('Block 1'!H245*C77+'Block 2'!H245*C78+'Block 3'!H245*C79+'Block 4'!H245*C80+'Block 5'!H245*C81+'Block 6'!H245*C82+'Block 7'!H245*C83+'Block 8'!H245*C84+'Block 9'!H245*C85+'Block 10'!H245*C86,0)</f>
        <v>0</v>
      </c>
      <c r="G94" s="287"/>
    </row>
    <row r="95" spans="1:10" ht="15.6" hidden="1" thickBot="1">
      <c r="A95" s="285"/>
      <c r="B95" s="286"/>
      <c r="C95" s="264"/>
      <c r="D95" s="264"/>
      <c r="E95" s="264"/>
      <c r="F95" s="265"/>
      <c r="G95" s="287"/>
      <c r="I95" s="4"/>
      <c r="J95" s="4"/>
    </row>
    <row r="96" spans="1:10" s="4" customFormat="1" ht="21.75" customHeight="1" thickBot="1">
      <c r="A96" s="15" t="s">
        <v>88</v>
      </c>
      <c r="B96" s="16"/>
      <c r="C96" s="16"/>
      <c r="D96" s="16"/>
      <c r="E96" s="16"/>
      <c r="F96" s="16"/>
      <c r="G96" s="17"/>
      <c r="I96" s="3"/>
      <c r="J96" s="3"/>
    </row>
    <row r="97" spans="1:10">
      <c r="A97" s="263"/>
      <c r="B97" s="264"/>
      <c r="C97" s="264"/>
      <c r="D97" s="264"/>
      <c r="E97" s="264"/>
      <c r="F97" s="265"/>
      <c r="G97" s="266"/>
    </row>
    <row r="98" spans="1:10" ht="87.75" customHeight="1">
      <c r="A98" s="341" t="s">
        <v>35</v>
      </c>
      <c r="B98" s="342" t="s">
        <v>39</v>
      </c>
      <c r="C98" s="342" t="s">
        <v>54</v>
      </c>
      <c r="D98" s="342" t="s">
        <v>80</v>
      </c>
      <c r="E98" s="342" t="s">
        <v>81</v>
      </c>
      <c r="F98" s="342" t="s">
        <v>53</v>
      </c>
      <c r="G98" s="343" t="s">
        <v>82</v>
      </c>
    </row>
    <row r="99" spans="1:10">
      <c r="A99" s="393"/>
      <c r="B99" s="279">
        <f>'Basement Block 1'!F59</f>
        <v>0</v>
      </c>
      <c r="C99" s="280">
        <f>IFERROR(B99/$B$104,0)</f>
        <v>0</v>
      </c>
      <c r="D99" s="279">
        <f>'Basement Block 1'!F120</f>
        <v>0</v>
      </c>
      <c r="E99" s="280">
        <f>IFERROR(D99/$D$104,0)</f>
        <v>0</v>
      </c>
      <c r="F99" s="279">
        <f>IFERROR('Basement Block 1'!H245,0)</f>
        <v>0</v>
      </c>
      <c r="G99" s="281">
        <f>IFERROR(C99*F99,0)</f>
        <v>0</v>
      </c>
    </row>
    <row r="100" spans="1:10">
      <c r="A100" s="393"/>
      <c r="B100" s="279">
        <f>'Basement Block 2'!F59</f>
        <v>0</v>
      </c>
      <c r="C100" s="280">
        <f>IFERROR(B100/$B$104,0)</f>
        <v>0</v>
      </c>
      <c r="D100" s="279">
        <f>'Basement Block 2'!F120</f>
        <v>0</v>
      </c>
      <c r="E100" s="280">
        <f>IFERROR(D100/$D$104,0)</f>
        <v>0</v>
      </c>
      <c r="F100" s="279">
        <f>IFERROR('Basement Block 2'!H245,0)</f>
        <v>0</v>
      </c>
      <c r="G100" s="281">
        <f>IFERROR(C100*F100,0)</f>
        <v>0</v>
      </c>
    </row>
    <row r="101" spans="1:10">
      <c r="A101" s="393"/>
      <c r="B101" s="279">
        <f>'Basement Block 3'!F59</f>
        <v>0</v>
      </c>
      <c r="C101" s="280">
        <f>IFERROR(B101/$B$104,0)</f>
        <v>0</v>
      </c>
      <c r="D101" s="279">
        <f>'Basement Block 3'!F120</f>
        <v>0</v>
      </c>
      <c r="E101" s="280">
        <f>IFERROR(D101/$D$104,0)</f>
        <v>0</v>
      </c>
      <c r="F101" s="279">
        <f>IFERROR('Basement Block 3'!H245,0)</f>
        <v>0</v>
      </c>
      <c r="G101" s="281">
        <f>IFERROR(C101*F101,0)</f>
        <v>0</v>
      </c>
    </row>
    <row r="102" spans="1:10">
      <c r="A102" s="393"/>
      <c r="B102" s="279">
        <f>'Basement Block 4'!F59</f>
        <v>0</v>
      </c>
      <c r="C102" s="280">
        <f>IFERROR(B102/$B$104,0)</f>
        <v>0</v>
      </c>
      <c r="D102" s="279">
        <f>'Basement Block 4'!F120</f>
        <v>0</v>
      </c>
      <c r="E102" s="280">
        <f>IFERROR(D102/$D$104,0)</f>
        <v>0</v>
      </c>
      <c r="F102" s="279">
        <f>IFERROR('Basement Block 4'!H245,0)</f>
        <v>0</v>
      </c>
      <c r="G102" s="281">
        <f>IFERROR(C102*F102,0)</f>
        <v>0</v>
      </c>
    </row>
    <row r="103" spans="1:10">
      <c r="A103" s="393"/>
      <c r="B103" s="279">
        <f>'Basement Block 5'!F59</f>
        <v>0</v>
      </c>
      <c r="C103" s="280">
        <f>IFERROR(B103/$B$104,0)</f>
        <v>0</v>
      </c>
      <c r="D103" s="279">
        <f>'Basement Block 5'!F120</f>
        <v>0</v>
      </c>
      <c r="E103" s="280">
        <f>IFERROR(D103/$D$104,0)</f>
        <v>0</v>
      </c>
      <c r="F103" s="279">
        <f>IFERROR('Basement Block 5'!H245,0)</f>
        <v>0</v>
      </c>
      <c r="G103" s="281">
        <f>IFERROR(C103*F103,0)</f>
        <v>0</v>
      </c>
    </row>
    <row r="104" spans="1:10" ht="15.6">
      <c r="A104" s="18" t="s">
        <v>36</v>
      </c>
      <c r="B104" s="283">
        <f>SUM(B99:B103)</f>
        <v>0</v>
      </c>
      <c r="C104" s="284">
        <f>SUM(C99:C103)</f>
        <v>0</v>
      </c>
      <c r="D104" s="283">
        <f>SUM(D99:D103)</f>
        <v>0</v>
      </c>
      <c r="E104" s="284">
        <f>SUM(E99:E103)</f>
        <v>0</v>
      </c>
      <c r="F104" s="273"/>
      <c r="G104" s="19">
        <f>ROUND(SUM(G99:G103),0)</f>
        <v>0</v>
      </c>
    </row>
    <row r="105" spans="1:10" ht="15.6">
      <c r="A105" s="285"/>
      <c r="B105" s="286"/>
      <c r="C105" s="264"/>
      <c r="D105" s="264"/>
      <c r="E105" s="264"/>
      <c r="F105" s="306" t="s">
        <v>504</v>
      </c>
      <c r="G105" s="451">
        <f>IF(G104&gt;0,'Min B-Score'!B10,0)</f>
        <v>0</v>
      </c>
    </row>
    <row r="106" spans="1:10" ht="15.6" thickBot="1">
      <c r="A106" s="465"/>
      <c r="B106" s="466"/>
      <c r="C106" s="298"/>
      <c r="D106" s="298"/>
      <c r="E106" s="298"/>
      <c r="F106" s="467"/>
      <c r="G106" s="468"/>
    </row>
    <row r="107" spans="1:10" ht="15.6" hidden="1">
      <c r="A107" s="288" t="s">
        <v>102</v>
      </c>
      <c r="B107" s="331" t="s">
        <v>111</v>
      </c>
      <c r="C107" s="804" t="s">
        <v>115</v>
      </c>
      <c r="D107" s="804"/>
      <c r="E107" s="331" t="s">
        <v>19</v>
      </c>
      <c r="F107" s="289" t="s">
        <v>112</v>
      </c>
      <c r="G107" s="287"/>
    </row>
    <row r="108" spans="1:10" hidden="1">
      <c r="A108" s="290" t="s">
        <v>99</v>
      </c>
      <c r="B108" s="291">
        <f>IFERROR('Basement Block 1'!H59*C99+'Basement Block 2'!H59*C100+'Basement Block 3'!H59*C101+'Basement Block 4'!H59*C102+'Basement Block 5'!H59*C103,0)</f>
        <v>0</v>
      </c>
      <c r="C108" s="805">
        <f>IFERROR('Basement Block 1'!H87*C99+'Basement Block 2'!H87*C100+'Basement Block 3'!H87*C101+'Basement Block 4'!H87*C102+'Basement Block 5'!H87*C103,0)</f>
        <v>0</v>
      </c>
      <c r="D108" s="806"/>
      <c r="E108" s="291">
        <f>SUM(B108:D108)</f>
        <v>0</v>
      </c>
      <c r="F108" s="291">
        <f>IFERROR('Basement Block 1'!H89*C99+'Basement Block 2'!H89*C100+'Basement Block 3'!H89*C101+'Basement Block 4'!H89*C102+'Basement Block 5'!H89*C103,0)</f>
        <v>0</v>
      </c>
      <c r="G108" s="287"/>
    </row>
    <row r="109" spans="1:10" hidden="1">
      <c r="A109" s="290" t="s">
        <v>100</v>
      </c>
      <c r="B109" s="291">
        <f>IFERROR((('Basement Block 1'!H120+'Basement Block 1'!H143)*C99+('Basement Block 2'!H120+'Basement Block 2'!H143)*C100+('Basement Block 3'!H120+'Basement Block 3'!H143)*C101+('Basement Block 4'!H120+'Basement Block 4'!H143)*C102+('Basement Block 5'!H120+'Basement Block 5'!H143)*C103),0)</f>
        <v>0</v>
      </c>
      <c r="C109" s="805">
        <f>IFERROR((('Basement Block 1'!H182+'Basement Block 1'!H190)*C99+('Basement Block 2'!H182+'Basement Block 2'!H190)*C100+('Basement Block 3'!H182+'Basement Block 3'!H190)*C101+('Basement Block 4'!H182+'Basement Block 4'!H190)*C102+('Basement Block 5'!H182+'Basement Block 5'!H190)*C103),0)</f>
        <v>0</v>
      </c>
      <c r="D109" s="806"/>
      <c r="E109" s="291">
        <f>SUM(B109:D109)</f>
        <v>0</v>
      </c>
      <c r="F109" s="291">
        <f>IFERROR('Basement Block 1'!H192*C99+'Basement Block 2'!H192*C100+'Basement Block 3'!H192*C101+'Basement Block 4'!H192*C102+'Basement Block 5'!H192*C103,0)</f>
        <v>0</v>
      </c>
      <c r="G109" s="287"/>
    </row>
    <row r="110" spans="1:10" hidden="1">
      <c r="A110" s="290" t="s">
        <v>101</v>
      </c>
      <c r="B110" s="291">
        <f>IFERROR(('Basement Block 1'!H206+'Basement Block 1'!H220)*C99+('Basement Block 2'!H206+'Basement Block 2'!H220)*C100+('Basement Block 3'!H206+'Basement Block 3'!H220)*C101+('Basement Block 4'!H206+'Basement Block 4'!H220)*C102+('Basement Block 5'!H206+'Basement Block 5'!H220)*C103,0)</f>
        <v>0</v>
      </c>
      <c r="C110" s="805">
        <f>IFERROR('Basement Block 1'!H227*C99+'Basement Block 2'!H227*C100+'Basement Block 3'!H227*C101+'Basement Block 4'!H227*C102+'Basement Block 5'!H227*C103,0)</f>
        <v>0</v>
      </c>
      <c r="D110" s="806"/>
      <c r="E110" s="291">
        <f>SUM(B110:D110)</f>
        <v>0</v>
      </c>
      <c r="F110" s="291">
        <f>IFERROR('Basement Block 1'!H229*C99+'Basement Block 2'!H229*C100+'Basement Block 3'!H229*C101+'Basement Block 4'!H229*C102+'Basement Block 5'!H229*C103,0)</f>
        <v>0</v>
      </c>
      <c r="G110" s="287"/>
    </row>
    <row r="111" spans="1:10" hidden="1">
      <c r="A111" s="290" t="s">
        <v>104</v>
      </c>
      <c r="B111" s="291">
        <f>IFERROR('Basement Block 1'!H243*C99+'Basement Block 2'!H243*C100+'Basement Block 3'!H243*C101+'Basement Block 4'!H243*C102+'Basement Block 5'!H243*C103,0)</f>
        <v>0</v>
      </c>
      <c r="C111" s="805"/>
      <c r="D111" s="806"/>
      <c r="E111" s="291">
        <f>SUM(B111:D111)</f>
        <v>0</v>
      </c>
      <c r="F111" s="291">
        <f>IFERROR('Basement Block 1'!H245*C99+'Basement Block 2'!H245*C100+'Basement Block 3'!H245*C101+'Basement Block 4'!H245*C102+'Basement Block 5'!H245*C103,0)</f>
        <v>0</v>
      </c>
      <c r="G111" s="287"/>
    </row>
    <row r="112" spans="1:10" ht="15.6" hidden="1" thickBot="1">
      <c r="A112" s="285"/>
      <c r="B112" s="286"/>
      <c r="C112" s="264"/>
      <c r="D112" s="264"/>
      <c r="E112" s="264"/>
      <c r="F112" s="265"/>
      <c r="G112" s="287"/>
      <c r="I112" s="4"/>
      <c r="J112" s="4"/>
    </row>
    <row r="113" spans="1:12" s="4" customFormat="1" ht="21.75" customHeight="1" thickBot="1">
      <c r="A113" s="15" t="s">
        <v>356</v>
      </c>
      <c r="B113" s="16"/>
      <c r="C113" s="16"/>
      <c r="D113" s="16"/>
      <c r="E113" s="16"/>
      <c r="F113" s="16"/>
      <c r="G113" s="17"/>
      <c r="I113" s="3"/>
      <c r="J113" s="3"/>
    </row>
    <row r="114" spans="1:12">
      <c r="A114" s="285"/>
      <c r="B114" s="286"/>
      <c r="C114" s="264"/>
      <c r="D114" s="264"/>
      <c r="E114" s="264"/>
      <c r="F114" s="265"/>
      <c r="G114" s="287"/>
    </row>
    <row r="115" spans="1:12" ht="30.75" customHeight="1">
      <c r="A115" s="267" t="s">
        <v>343</v>
      </c>
      <c r="B115" s="331"/>
      <c r="C115" s="768" t="s">
        <v>373</v>
      </c>
      <c r="D115" s="768"/>
      <c r="E115" s="768"/>
      <c r="F115" s="265"/>
      <c r="G115" s="287"/>
    </row>
    <row r="116" spans="1:12" ht="15.75" customHeight="1">
      <c r="A116" s="263" t="s">
        <v>38</v>
      </c>
      <c r="B116" s="171">
        <f>IFERROR('Block 1'!G249*C77+'Block 2'!G249*C78+'Block 3'!G249*C79+'Block 4'!G249*C80+'Block 5'!G249*C81+'Block 6'!G249*C82+'Block 7'!G249*C83+'Block 8'!G249*C84+'Block 9'!G249*C85+'Block 10'!G249*C86,0)</f>
        <v>0</v>
      </c>
      <c r="C116" s="286" t="s">
        <v>265</v>
      </c>
      <c r="D116" s="172"/>
      <c r="E116" s="264" t="s">
        <v>266</v>
      </c>
      <c r="F116" s="21">
        <f>SUM(B116,D116)</f>
        <v>0</v>
      </c>
      <c r="G116" s="266"/>
      <c r="I116" s="336" t="s">
        <v>341</v>
      </c>
      <c r="J116" s="471" t="s">
        <v>347</v>
      </c>
    </row>
    <row r="117" spans="1:12" ht="15.6">
      <c r="A117" s="263" t="s">
        <v>621</v>
      </c>
      <c r="B117" s="171">
        <f>IFERROR('Block 1'!G250*E77+'Block 2'!G250*E78+'Block 3'!G250*E79+'Block 4'!G250*E80+'Block 5'!G250*E81+'Block 6'!G250*E82+'Block 7'!G250*E83+'Block 8'!G250*E84+'Block 9'!G250*E85+'Block 10'!G250*E86,0)</f>
        <v>0</v>
      </c>
      <c r="C117" s="286" t="s">
        <v>265</v>
      </c>
      <c r="D117" s="172"/>
      <c r="E117" s="264" t="s">
        <v>266</v>
      </c>
      <c r="F117" s="21">
        <f>SUM(B117,D117)</f>
        <v>0</v>
      </c>
      <c r="G117" s="266"/>
      <c r="I117" s="336" t="s">
        <v>348</v>
      </c>
      <c r="J117" s="336" t="s">
        <v>622</v>
      </c>
      <c r="K117" s="336" t="s">
        <v>351</v>
      </c>
      <c r="L117" s="336" t="s">
        <v>353</v>
      </c>
    </row>
    <row r="118" spans="1:12" ht="15.6">
      <c r="A118" s="285"/>
      <c r="B118" s="265"/>
      <c r="C118" s="286"/>
      <c r="D118" s="264"/>
      <c r="E118" s="264"/>
      <c r="F118" s="265"/>
      <c r="G118" s="287"/>
      <c r="I118" s="473" t="s">
        <v>292</v>
      </c>
      <c r="J118" s="330" t="s">
        <v>335</v>
      </c>
      <c r="K118" s="480" t="s">
        <v>355</v>
      </c>
      <c r="L118" s="336" t="s">
        <v>354</v>
      </c>
    </row>
    <row r="119" spans="1:12" ht="15.6">
      <c r="A119" s="267" t="s">
        <v>344</v>
      </c>
      <c r="B119" s="289"/>
      <c r="C119" s="264"/>
      <c r="D119" s="264"/>
      <c r="E119" s="292"/>
      <c r="F119" s="265"/>
      <c r="G119" s="266"/>
      <c r="I119" s="474" t="s">
        <v>531</v>
      </c>
      <c r="J119" s="332" t="s">
        <v>284</v>
      </c>
      <c r="K119" s="475" t="s">
        <v>553</v>
      </c>
      <c r="L119" s="334" t="s">
        <v>326</v>
      </c>
    </row>
    <row r="120" spans="1:12" ht="15.6">
      <c r="A120" s="263" t="s">
        <v>83</v>
      </c>
      <c r="B120" s="335">
        <f>IFERROR('Block 1'!G32*C77+'Block 2'!G32*C78+'Block 3'!G32*C79+'Block 4'!G32*C80+'Block 5'!G32*C81+'Block 6'!G32*C82+'Block 7'!G32*C83+'Block 8'!G32*C84+'Block 9'!G32*C85+'Block 10'!G32*C86,0)</f>
        <v>0</v>
      </c>
      <c r="C120" s="264"/>
      <c r="D120" s="264"/>
      <c r="E120" s="264"/>
      <c r="F120" s="265"/>
      <c r="G120" s="266"/>
      <c r="I120" s="473" t="s">
        <v>293</v>
      </c>
      <c r="J120" s="332" t="s">
        <v>532</v>
      </c>
      <c r="K120" s="475" t="s">
        <v>554</v>
      </c>
      <c r="L120" s="333" t="s">
        <v>324</v>
      </c>
    </row>
    <row r="121" spans="1:12" ht="15.6">
      <c r="A121" s="263" t="s">
        <v>84</v>
      </c>
      <c r="B121" s="335">
        <f>IFERROR('Block 1'!G35*C77+'Block 2'!G35*C78+'Block 3'!G35*C79+'Block 4'!G35*C80+'Block 5'!G35*C81+'Block 6'!G35*C82+'Block 7'!G35*C83+'Block 8'!G35*C84+'Block 9'!G35*C85+'Block 10'!G35*C86,0)</f>
        <v>0</v>
      </c>
      <c r="C121" s="264"/>
      <c r="D121" s="264"/>
      <c r="E121" s="264"/>
      <c r="F121" s="265"/>
      <c r="G121" s="266"/>
      <c r="I121" s="473" t="s">
        <v>294</v>
      </c>
      <c r="J121" s="346" t="s">
        <v>547</v>
      </c>
      <c r="K121" s="475" t="s">
        <v>555</v>
      </c>
      <c r="L121" s="333" t="s">
        <v>325</v>
      </c>
    </row>
    <row r="122" spans="1:12" ht="15.6">
      <c r="A122" s="295" t="s">
        <v>87</v>
      </c>
      <c r="B122" s="335">
        <f>IFERROR('Block 1'!G37*C77+'Block 2'!G37*C78+'Block 3'!G37*C79+'Block 4'!G37*C80+'Block 5'!G37*C81+'Block 6'!G37*C82+'Block 7'!G37*C83+'Block 8'!G37*C84+'Block 9'!G37*C85+'Block 10'!G37*C86,0)</f>
        <v>0</v>
      </c>
      <c r="C122" s="264"/>
      <c r="D122" s="264"/>
      <c r="E122" s="264"/>
      <c r="F122" s="265"/>
      <c r="G122" s="266"/>
      <c r="I122" s="474" t="s">
        <v>527</v>
      </c>
      <c r="J122" s="332" t="s">
        <v>286</v>
      </c>
      <c r="K122" s="475" t="s">
        <v>556</v>
      </c>
      <c r="L122" s="346" t="s">
        <v>352</v>
      </c>
    </row>
    <row r="123" spans="1:12" ht="15.6">
      <c r="A123" s="263" t="s">
        <v>85</v>
      </c>
      <c r="B123" s="335">
        <f>IFERROR('Block 1'!G38*C77+'Block 2'!G38*C78+'Block 3'!G38*C79+'Block 4'!G38*C80+'Block 5'!G38*C81+'Block 6'!G38*C82+'Block 7'!G38*C83+'Block 8'!G38*C84+'Block 9'!G38*C85+'Block 10'!G38*C86,0)</f>
        <v>0</v>
      </c>
      <c r="C123" s="264"/>
      <c r="D123" s="264"/>
      <c r="E123" s="264"/>
      <c r="F123" s="265"/>
      <c r="G123" s="266"/>
      <c r="I123" s="473" t="s">
        <v>329</v>
      </c>
      <c r="J123" s="346" t="s">
        <v>524</v>
      </c>
      <c r="K123" s="475" t="s">
        <v>557</v>
      </c>
      <c r="L123" s="345"/>
    </row>
    <row r="124" spans="1:12" ht="15.6">
      <c r="A124" s="263" t="s">
        <v>86</v>
      </c>
      <c r="B124" s="335">
        <f>IFERROR('Block 1'!G251*C77+'Block 2'!G251*C78+'Block 3'!G251*C79+'Block 4'!G251*C80+'Block 5'!G251*C81+'Block 6'!G251*C82+'Block 7'!G251*C83+'Block 8'!G251*C84+'Block 9'!G251*C85+'Block 10'!G251*C86,0)</f>
        <v>0</v>
      </c>
      <c r="C124" s="264"/>
      <c r="D124" s="294"/>
      <c r="E124" s="264"/>
      <c r="F124" s="294"/>
      <c r="G124" s="293"/>
      <c r="I124" s="474" t="s">
        <v>528</v>
      </c>
      <c r="J124" s="346" t="s">
        <v>546</v>
      </c>
      <c r="K124" s="475" t="s">
        <v>558</v>
      </c>
      <c r="L124" s="345"/>
    </row>
    <row r="125" spans="1:12">
      <c r="A125" s="263"/>
      <c r="B125" s="264"/>
      <c r="C125" s="264"/>
      <c r="D125" s="264"/>
      <c r="E125" s="264"/>
      <c r="F125" s="264"/>
      <c r="G125" s="266"/>
      <c r="I125" s="474" t="s">
        <v>529</v>
      </c>
      <c r="J125" s="332" t="s">
        <v>522</v>
      </c>
      <c r="K125" s="472" t="s">
        <v>352</v>
      </c>
    </row>
    <row r="126" spans="1:12" ht="15.6">
      <c r="A126" s="267" t="s">
        <v>345</v>
      </c>
      <c r="B126" s="264"/>
      <c r="C126" s="264"/>
      <c r="D126" s="264"/>
      <c r="E126" s="264"/>
      <c r="F126" s="264"/>
      <c r="G126" s="266"/>
      <c r="I126" s="474" t="s">
        <v>530</v>
      </c>
      <c r="J126" s="332" t="s">
        <v>287</v>
      </c>
    </row>
    <row r="127" spans="1:12" ht="15.6">
      <c r="A127" s="344" t="s">
        <v>0</v>
      </c>
      <c r="B127" s="777" t="s">
        <v>357</v>
      </c>
      <c r="C127" s="777"/>
      <c r="D127" s="396" t="s">
        <v>342</v>
      </c>
      <c r="E127" s="396" t="s">
        <v>116</v>
      </c>
      <c r="F127" s="807" t="s">
        <v>346</v>
      </c>
      <c r="G127" s="808"/>
      <c r="I127" s="473" t="s">
        <v>330</v>
      </c>
      <c r="J127" s="332" t="s">
        <v>288</v>
      </c>
    </row>
    <row r="128" spans="1:12">
      <c r="A128" s="769" t="s">
        <v>350</v>
      </c>
      <c r="B128" s="776" t="s">
        <v>348</v>
      </c>
      <c r="C128" s="776"/>
      <c r="D128" s="391"/>
      <c r="E128" s="391"/>
      <c r="F128" s="774"/>
      <c r="G128" s="775"/>
      <c r="I128" s="473" t="s">
        <v>331</v>
      </c>
      <c r="J128" s="332" t="s">
        <v>285</v>
      </c>
    </row>
    <row r="129" spans="1:10">
      <c r="A129" s="770"/>
      <c r="B129" s="776" t="s">
        <v>348</v>
      </c>
      <c r="C129" s="776"/>
      <c r="D129" s="391"/>
      <c r="E129" s="391"/>
      <c r="F129" s="774"/>
      <c r="G129" s="775"/>
      <c r="I129" s="473" t="s">
        <v>332</v>
      </c>
      <c r="J129" s="332" t="s">
        <v>289</v>
      </c>
    </row>
    <row r="130" spans="1:10">
      <c r="A130" s="770"/>
      <c r="B130" s="776" t="s">
        <v>348</v>
      </c>
      <c r="C130" s="776"/>
      <c r="D130" s="391"/>
      <c r="E130" s="391"/>
      <c r="F130" s="774"/>
      <c r="G130" s="775"/>
      <c r="I130" s="5" t="s">
        <v>548</v>
      </c>
      <c r="J130" s="346" t="s">
        <v>550</v>
      </c>
    </row>
    <row r="131" spans="1:10">
      <c r="A131" s="770"/>
      <c r="B131" s="776" t="s">
        <v>348</v>
      </c>
      <c r="C131" s="776"/>
      <c r="D131" s="391"/>
      <c r="E131" s="391"/>
      <c r="F131" s="774"/>
      <c r="G131" s="775"/>
      <c r="I131" s="5" t="s">
        <v>549</v>
      </c>
      <c r="J131" s="346" t="s">
        <v>533</v>
      </c>
    </row>
    <row r="132" spans="1:10">
      <c r="A132" s="771"/>
      <c r="B132" s="776" t="s">
        <v>348</v>
      </c>
      <c r="C132" s="776"/>
      <c r="D132" s="391"/>
      <c r="E132" s="391"/>
      <c r="F132" s="774"/>
      <c r="G132" s="775"/>
      <c r="I132" s="474" t="s">
        <v>370</v>
      </c>
      <c r="J132" s="346" t="s">
        <v>525</v>
      </c>
    </row>
    <row r="133" spans="1:10">
      <c r="A133" s="769" t="s">
        <v>349</v>
      </c>
      <c r="B133" s="776" t="s">
        <v>622</v>
      </c>
      <c r="C133" s="776"/>
      <c r="D133" s="391"/>
      <c r="E133" s="391"/>
      <c r="F133" s="772"/>
      <c r="G133" s="773"/>
      <c r="I133" s="473" t="s">
        <v>327</v>
      </c>
      <c r="J133" s="346" t="s">
        <v>551</v>
      </c>
    </row>
    <row r="134" spans="1:10" ht="15.75" customHeight="1">
      <c r="A134" s="770"/>
      <c r="B134" s="776" t="s">
        <v>622</v>
      </c>
      <c r="C134" s="776"/>
      <c r="D134" s="391"/>
      <c r="E134" s="391"/>
      <c r="F134" s="772"/>
      <c r="G134" s="773"/>
      <c r="I134" s="474" t="s">
        <v>526</v>
      </c>
      <c r="J134" s="346" t="s">
        <v>523</v>
      </c>
    </row>
    <row r="135" spans="1:10">
      <c r="A135" s="771"/>
      <c r="B135" s="776" t="s">
        <v>622</v>
      </c>
      <c r="C135" s="776"/>
      <c r="D135" s="391"/>
      <c r="E135" s="391"/>
      <c r="F135" s="772"/>
      <c r="G135" s="773"/>
      <c r="I135" s="473" t="s">
        <v>328</v>
      </c>
      <c r="J135" s="346" t="s">
        <v>352</v>
      </c>
    </row>
    <row r="136" spans="1:10">
      <c r="A136" s="769" t="s">
        <v>361</v>
      </c>
      <c r="B136" s="776" t="s">
        <v>362</v>
      </c>
      <c r="C136" s="776"/>
      <c r="D136" s="391"/>
      <c r="E136" s="391"/>
      <c r="F136" s="774"/>
      <c r="G136" s="775"/>
      <c r="I136" s="473" t="s">
        <v>290</v>
      </c>
    </row>
    <row r="137" spans="1:10">
      <c r="A137" s="770"/>
      <c r="B137" s="776" t="s">
        <v>362</v>
      </c>
      <c r="C137" s="776"/>
      <c r="D137" s="391"/>
      <c r="E137" s="391"/>
      <c r="F137" s="774"/>
      <c r="G137" s="775"/>
      <c r="I137" s="473" t="s">
        <v>291</v>
      </c>
    </row>
    <row r="138" spans="1:10">
      <c r="A138" s="771"/>
      <c r="B138" s="776" t="s">
        <v>362</v>
      </c>
      <c r="C138" s="776"/>
      <c r="D138" s="391"/>
      <c r="E138" s="391"/>
      <c r="F138" s="774"/>
      <c r="G138" s="775"/>
      <c r="I138" s="474" t="s">
        <v>352</v>
      </c>
    </row>
    <row r="139" spans="1:10">
      <c r="A139" s="337" t="s">
        <v>359</v>
      </c>
      <c r="B139" s="776" t="s">
        <v>355</v>
      </c>
      <c r="C139" s="776"/>
      <c r="D139" s="391"/>
      <c r="E139" s="391"/>
      <c r="F139" s="774"/>
      <c r="G139" s="775"/>
    </row>
    <row r="140" spans="1:10">
      <c r="A140" s="337" t="s">
        <v>360</v>
      </c>
      <c r="B140" s="762" t="s">
        <v>354</v>
      </c>
      <c r="C140" s="803"/>
      <c r="D140" s="391"/>
      <c r="E140" s="391"/>
      <c r="F140" s="772"/>
      <c r="G140" s="773"/>
    </row>
    <row r="141" spans="1:10" ht="15.6" thickBot="1">
      <c r="A141" s="338"/>
      <c r="B141" s="339"/>
      <c r="C141" s="339"/>
      <c r="D141" s="339"/>
      <c r="E141" s="339"/>
      <c r="F141" s="339"/>
      <c r="G141" s="340"/>
    </row>
    <row r="142" spans="1:10" ht="21" customHeight="1">
      <c r="F142" s="3"/>
    </row>
    <row r="143" spans="1:10">
      <c r="F143" s="3"/>
    </row>
    <row r="144" spans="1:10">
      <c r="F144" s="3"/>
    </row>
    <row r="145" spans="6:6">
      <c r="F145" s="3"/>
    </row>
    <row r="146" spans="6:6">
      <c r="F146" s="3"/>
    </row>
    <row r="147" spans="6:6">
      <c r="F147" s="3"/>
    </row>
    <row r="148" spans="6:6" ht="15.75" customHeight="1">
      <c r="F148" s="3"/>
    </row>
    <row r="149" spans="6:6" ht="15.75" customHeight="1">
      <c r="F149" s="3"/>
    </row>
    <row r="150" spans="6:6" ht="15" customHeight="1">
      <c r="F150" s="3"/>
    </row>
    <row r="151" spans="6:6">
      <c r="F151" s="3"/>
    </row>
    <row r="152" spans="6:6">
      <c r="F152" s="3"/>
    </row>
    <row r="153" spans="6:6">
      <c r="F153" s="3"/>
    </row>
    <row r="154" spans="6:6">
      <c r="F154" s="3"/>
    </row>
    <row r="155" spans="6:6">
      <c r="F155" s="3"/>
    </row>
    <row r="156" spans="6:6">
      <c r="F156" s="3"/>
    </row>
    <row r="157" spans="6:6">
      <c r="F157" s="3"/>
    </row>
    <row r="158" spans="6:6">
      <c r="F158" s="3"/>
    </row>
    <row r="159" spans="6:6">
      <c r="F159" s="3"/>
    </row>
    <row r="160" spans="6:6" ht="15.75" customHeight="1">
      <c r="F160" s="3"/>
    </row>
    <row r="161" spans="2:6">
      <c r="B161" s="253"/>
      <c r="F161" s="3"/>
    </row>
    <row r="162" spans="2:6">
      <c r="B162" s="254"/>
      <c r="C162" s="254"/>
      <c r="D162" s="254"/>
      <c r="E162" s="254"/>
      <c r="F162" s="254"/>
    </row>
    <row r="163" spans="2:6">
      <c r="B163" s="255"/>
      <c r="F163" s="3"/>
    </row>
    <row r="164" spans="2:6">
      <c r="B164" s="256"/>
      <c r="C164" s="256"/>
      <c r="D164" s="256"/>
      <c r="F164" s="3"/>
    </row>
    <row r="165" spans="2:6">
      <c r="B165" s="256"/>
      <c r="C165" s="256"/>
      <c r="D165" s="256"/>
      <c r="F165" s="3"/>
    </row>
    <row r="166" spans="2:6" ht="33" customHeight="1">
      <c r="B166" s="11"/>
      <c r="C166" s="256"/>
      <c r="D166" s="256"/>
      <c r="F166" s="3"/>
    </row>
    <row r="167" spans="2:6">
      <c r="C167" s="256"/>
      <c r="D167" s="256"/>
      <c r="F167" s="3"/>
    </row>
    <row r="168" spans="2:6">
      <c r="F168" s="3"/>
    </row>
    <row r="169" spans="2:6">
      <c r="F169" s="3"/>
    </row>
    <row r="170" spans="2:6">
      <c r="F170" s="3"/>
    </row>
    <row r="171" spans="2:6">
      <c r="F171" s="3"/>
    </row>
    <row r="172" spans="2:6">
      <c r="F172" s="3"/>
    </row>
    <row r="173" spans="2:6">
      <c r="F173" s="3"/>
    </row>
    <row r="174" spans="2:6">
      <c r="F174" s="3"/>
    </row>
    <row r="175" spans="2:6">
      <c r="F175" s="3"/>
    </row>
    <row r="176" spans="2:6">
      <c r="F176" s="3"/>
    </row>
    <row r="177" spans="2:6">
      <c r="F177" s="3"/>
    </row>
    <row r="178" spans="2:6">
      <c r="F178" s="3"/>
    </row>
    <row r="179" spans="2:6" ht="23.25" customHeight="1">
      <c r="F179" s="3"/>
    </row>
    <row r="180" spans="2:6" ht="15.6">
      <c r="B180" s="257"/>
      <c r="C180" s="258"/>
      <c r="F180" s="3"/>
    </row>
    <row r="181" spans="2:6">
      <c r="F181" s="3"/>
    </row>
    <row r="182" spans="2:6">
      <c r="F182" s="3"/>
    </row>
    <row r="183" spans="2:6">
      <c r="F183" s="3"/>
    </row>
    <row r="184" spans="2:6">
      <c r="F184" s="3"/>
    </row>
    <row r="185" spans="2:6">
      <c r="F185" s="3"/>
    </row>
    <row r="186" spans="2:6" ht="15.75" customHeight="1">
      <c r="F186" s="3"/>
    </row>
    <row r="187" spans="2:6">
      <c r="F187" s="3"/>
    </row>
    <row r="188" spans="2:6">
      <c r="F188" s="3"/>
    </row>
    <row r="189" spans="2:6">
      <c r="F189" s="3"/>
    </row>
    <row r="190" spans="2:6" ht="15.75" customHeight="1">
      <c r="F190" s="3"/>
    </row>
    <row r="191" spans="2:6">
      <c r="F191" s="3"/>
    </row>
    <row r="192" spans="2:6">
      <c r="F192" s="3"/>
    </row>
    <row r="193" spans="6:6">
      <c r="F193" s="3"/>
    </row>
    <row r="194" spans="6:6">
      <c r="F194" s="3"/>
    </row>
    <row r="195" spans="6:6">
      <c r="F195" s="3"/>
    </row>
    <row r="196" spans="6:6">
      <c r="F196" s="3"/>
    </row>
    <row r="197" spans="6:6">
      <c r="F197" s="3"/>
    </row>
    <row r="198" spans="6:6">
      <c r="F198" s="3"/>
    </row>
    <row r="199" spans="6:6">
      <c r="F199" s="3"/>
    </row>
    <row r="200" spans="6:6">
      <c r="F200" s="3"/>
    </row>
    <row r="201" spans="6:6">
      <c r="F201" s="3"/>
    </row>
    <row r="202" spans="6:6">
      <c r="F202" s="3"/>
    </row>
    <row r="203" spans="6:6">
      <c r="F203" s="3"/>
    </row>
    <row r="204" spans="6:6">
      <c r="F204" s="3"/>
    </row>
    <row r="205" spans="6:6">
      <c r="F205" s="3"/>
    </row>
    <row r="206" spans="6:6">
      <c r="F206" s="3"/>
    </row>
    <row r="207" spans="6:6">
      <c r="F207" s="3"/>
    </row>
    <row r="208" spans="6:6">
      <c r="F208" s="3"/>
    </row>
    <row r="209" spans="6:6">
      <c r="F209" s="3"/>
    </row>
    <row r="210" spans="6:6">
      <c r="F210" s="3"/>
    </row>
    <row r="211" spans="6:6">
      <c r="F211" s="3"/>
    </row>
    <row r="212" spans="6:6">
      <c r="F212" s="3"/>
    </row>
    <row r="213" spans="6:6">
      <c r="F213" s="3"/>
    </row>
    <row r="214" spans="6:6">
      <c r="F214" s="3"/>
    </row>
    <row r="215" spans="6:6" ht="47.25" customHeight="1">
      <c r="F215" s="3"/>
    </row>
    <row r="216" spans="6:6">
      <c r="F216" s="3"/>
    </row>
    <row r="217" spans="6:6">
      <c r="F217" s="3"/>
    </row>
    <row r="218" spans="6:6">
      <c r="F218" s="3"/>
    </row>
    <row r="219" spans="6:6">
      <c r="F219" s="3"/>
    </row>
    <row r="220" spans="6:6">
      <c r="F220" s="3"/>
    </row>
    <row r="221" spans="6:6" ht="15.75" customHeight="1">
      <c r="F221" s="3"/>
    </row>
    <row r="222" spans="6:6">
      <c r="F222" s="3"/>
    </row>
    <row r="223" spans="6:6">
      <c r="F223" s="3"/>
    </row>
    <row r="224" spans="6:6">
      <c r="F224" s="3"/>
    </row>
    <row r="225" spans="2:6">
      <c r="B225" s="782"/>
      <c r="F225" s="3"/>
    </row>
    <row r="226" spans="2:6">
      <c r="B226" s="782"/>
      <c r="F226" s="3"/>
    </row>
    <row r="227" spans="2:6">
      <c r="B227" s="782"/>
      <c r="F227" s="3"/>
    </row>
    <row r="228" spans="2:6">
      <c r="F228" s="3"/>
    </row>
    <row r="229" spans="2:6">
      <c r="F229" s="3"/>
    </row>
    <row r="230" spans="2:6" ht="30" customHeight="1">
      <c r="F230" s="3"/>
    </row>
    <row r="231" spans="2:6">
      <c r="F231" s="3"/>
    </row>
    <row r="232" spans="2:6">
      <c r="F232" s="3"/>
    </row>
    <row r="233" spans="2:6">
      <c r="F233" s="3"/>
    </row>
    <row r="234" spans="2:6" ht="15" customHeight="1">
      <c r="F234" s="3"/>
    </row>
    <row r="235" spans="2:6">
      <c r="F235" s="3"/>
    </row>
    <row r="236" spans="2:6">
      <c r="F236" s="3"/>
    </row>
    <row r="237" spans="2:6">
      <c r="F237" s="3"/>
    </row>
    <row r="238" spans="2:6" ht="15.75" customHeight="1">
      <c r="F238" s="3"/>
    </row>
    <row r="239" spans="2:6">
      <c r="F239" s="3"/>
    </row>
    <row r="240" spans="2:6">
      <c r="F240" s="3"/>
    </row>
    <row r="241" spans="2:6">
      <c r="F241" s="3"/>
    </row>
    <row r="242" spans="2:6" ht="15" customHeight="1">
      <c r="F242" s="3"/>
    </row>
    <row r="243" spans="2:6">
      <c r="F243" s="3"/>
    </row>
    <row r="244" spans="2:6">
      <c r="F244" s="3"/>
    </row>
    <row r="245" spans="2:6">
      <c r="F245" s="3"/>
    </row>
    <row r="246" spans="2:6">
      <c r="F246" s="3"/>
    </row>
    <row r="247" spans="2:6">
      <c r="F247" s="3"/>
    </row>
    <row r="248" spans="2:6">
      <c r="F248" s="3"/>
    </row>
    <row r="249" spans="2:6">
      <c r="F249" s="3"/>
    </row>
    <row r="250" spans="2:6" ht="22.5" customHeight="1">
      <c r="B250" s="259"/>
      <c r="C250" s="260"/>
      <c r="F250" s="3"/>
    </row>
    <row r="251" spans="2:6">
      <c r="F251" s="3"/>
    </row>
    <row r="252" spans="2:6" ht="15.75" customHeight="1">
      <c r="F252" s="3"/>
    </row>
    <row r="253" spans="2:6">
      <c r="F253" s="3"/>
    </row>
    <row r="254" spans="2:6">
      <c r="F254" s="3"/>
    </row>
    <row r="255" spans="2:6">
      <c r="F255" s="3"/>
    </row>
    <row r="256" spans="2:6">
      <c r="F256" s="3"/>
    </row>
    <row r="257" spans="6:6">
      <c r="F257" s="3"/>
    </row>
    <row r="258" spans="6:6" ht="49.5" customHeight="1">
      <c r="F258" s="3"/>
    </row>
    <row r="259" spans="6:6">
      <c r="F259" s="3"/>
    </row>
    <row r="260" spans="6:6" ht="45.75" customHeight="1">
      <c r="F260" s="3"/>
    </row>
    <row r="261" spans="6:6" ht="16.5" customHeight="1">
      <c r="F261" s="3"/>
    </row>
    <row r="262" spans="6:6">
      <c r="F262" s="3"/>
    </row>
    <row r="263" spans="6:6" ht="15" customHeight="1">
      <c r="F263" s="3"/>
    </row>
    <row r="264" spans="6:6">
      <c r="F264" s="3"/>
    </row>
    <row r="265" spans="6:6">
      <c r="F265" s="3"/>
    </row>
    <row r="266" spans="6:6">
      <c r="F266" s="3"/>
    </row>
    <row r="267" spans="6:6">
      <c r="F267" s="3"/>
    </row>
    <row r="268" spans="6:6">
      <c r="F268" s="3"/>
    </row>
    <row r="269" spans="6:6">
      <c r="F269" s="3"/>
    </row>
    <row r="270" spans="6:6">
      <c r="F270" s="3"/>
    </row>
    <row r="271" spans="6:6">
      <c r="F271" s="3"/>
    </row>
    <row r="272" spans="6:6">
      <c r="F272" s="3"/>
    </row>
    <row r="273" spans="2:6">
      <c r="F273" s="3"/>
    </row>
    <row r="274" spans="2:6">
      <c r="F274" s="3"/>
    </row>
    <row r="275" spans="2:6">
      <c r="F275" s="3"/>
    </row>
    <row r="276" spans="2:6">
      <c r="F276" s="3"/>
    </row>
    <row r="277" spans="2:6">
      <c r="F277" s="3"/>
    </row>
    <row r="278" spans="2:6">
      <c r="F278" s="3"/>
    </row>
    <row r="279" spans="2:6">
      <c r="F279" s="3"/>
    </row>
    <row r="280" spans="2:6">
      <c r="F280" s="3"/>
    </row>
    <row r="281" spans="2:6">
      <c r="F281" s="3"/>
    </row>
    <row r="282" spans="2:6">
      <c r="F282" s="3"/>
    </row>
    <row r="283" spans="2:6">
      <c r="F283" s="3"/>
    </row>
    <row r="284" spans="2:6">
      <c r="F284" s="3"/>
    </row>
    <row r="285" spans="2:6">
      <c r="F285" s="3"/>
    </row>
    <row r="286" spans="2:6" ht="15.6">
      <c r="B286" s="259"/>
      <c r="C286" s="260"/>
      <c r="F286" s="3"/>
    </row>
    <row r="287" spans="2:6">
      <c r="F287" s="3"/>
    </row>
    <row r="288" spans="2:6" ht="31.5" customHeight="1">
      <c r="F288" s="3"/>
    </row>
    <row r="289" spans="6:6">
      <c r="F289" s="3"/>
    </row>
    <row r="290" spans="6:6">
      <c r="F290" s="3"/>
    </row>
    <row r="291" spans="6:6">
      <c r="F291" s="3"/>
    </row>
    <row r="292" spans="6:6">
      <c r="F292" s="3"/>
    </row>
    <row r="293" spans="6:6">
      <c r="F293" s="3"/>
    </row>
    <row r="294" spans="6:6">
      <c r="F294" s="3"/>
    </row>
    <row r="295" spans="6:6">
      <c r="F295" s="3"/>
    </row>
    <row r="296" spans="6:6">
      <c r="F296" s="3"/>
    </row>
    <row r="297" spans="6:6">
      <c r="F297" s="3"/>
    </row>
    <row r="298" spans="6:6">
      <c r="F298" s="3"/>
    </row>
  </sheetData>
  <sheetProtection algorithmName="SHA-512" hashValue="y6OMALvU+ftZ/3qET8/uBBOShNx/xN8iOysn++4VUzYC0rVuAhw7XlwbOnLkdQ/iZX5g+gcwpjKBGor5z8quAg==" saltValue="6my3I342cJAVVsdOf+i6Ng==" spinCount="100000" sheet="1" selectLockedCells="1"/>
  <dataConsolidate/>
  <mergeCells count="85">
    <mergeCell ref="F140:G140"/>
    <mergeCell ref="A72:F72"/>
    <mergeCell ref="C107:D107"/>
    <mergeCell ref="C108:D108"/>
    <mergeCell ref="C109:D109"/>
    <mergeCell ref="C110:D110"/>
    <mergeCell ref="C111:D111"/>
    <mergeCell ref="C90:D90"/>
    <mergeCell ref="C91:D91"/>
    <mergeCell ref="C92:D92"/>
    <mergeCell ref="C93:D93"/>
    <mergeCell ref="C94:D94"/>
    <mergeCell ref="A133:A135"/>
    <mergeCell ref="F127:G127"/>
    <mergeCell ref="F128:G128"/>
    <mergeCell ref="B137:C137"/>
    <mergeCell ref="B225:B227"/>
    <mergeCell ref="A70:F70"/>
    <mergeCell ref="A1:G2"/>
    <mergeCell ref="A6:G6"/>
    <mergeCell ref="A9:G9"/>
    <mergeCell ref="A12:G12"/>
    <mergeCell ref="A56:G56"/>
    <mergeCell ref="B15:G15"/>
    <mergeCell ref="B17:G17"/>
    <mergeCell ref="B18:G18"/>
    <mergeCell ref="B19:G19"/>
    <mergeCell ref="B20:G20"/>
    <mergeCell ref="B29:G29"/>
    <mergeCell ref="B30:G30"/>
    <mergeCell ref="B21:G21"/>
    <mergeCell ref="B140:C140"/>
    <mergeCell ref="B28:G28"/>
    <mergeCell ref="A71:F71"/>
    <mergeCell ref="A58:A59"/>
    <mergeCell ref="B16:G16"/>
    <mergeCell ref="B25:G25"/>
    <mergeCell ref="B24:G24"/>
    <mergeCell ref="B26:G26"/>
    <mergeCell ref="B27:G27"/>
    <mergeCell ref="B33:G33"/>
    <mergeCell ref="B34:G34"/>
    <mergeCell ref="B35:G35"/>
    <mergeCell ref="B36:G36"/>
    <mergeCell ref="B37:G37"/>
    <mergeCell ref="B38:G38"/>
    <mergeCell ref="B39:G39"/>
    <mergeCell ref="B42:G42"/>
    <mergeCell ref="A136:A138"/>
    <mergeCell ref="B136:C136"/>
    <mergeCell ref="B127:C127"/>
    <mergeCell ref="B128:C128"/>
    <mergeCell ref="B129:C129"/>
    <mergeCell ref="B130:C130"/>
    <mergeCell ref="B131:C131"/>
    <mergeCell ref="B138:C138"/>
    <mergeCell ref="F139:G139"/>
    <mergeCell ref="B133:C133"/>
    <mergeCell ref="B134:C134"/>
    <mergeCell ref="B135:C135"/>
    <mergeCell ref="B139:C139"/>
    <mergeCell ref="F136:G136"/>
    <mergeCell ref="F137:G137"/>
    <mergeCell ref="F138:G138"/>
    <mergeCell ref="C115:E115"/>
    <mergeCell ref="A128:A132"/>
    <mergeCell ref="F133:G133"/>
    <mergeCell ref="F134:G134"/>
    <mergeCell ref="F135:G135"/>
    <mergeCell ref="F129:G129"/>
    <mergeCell ref="F130:G130"/>
    <mergeCell ref="F131:G131"/>
    <mergeCell ref="F132:G132"/>
    <mergeCell ref="B132:C132"/>
    <mergeCell ref="B43:G43"/>
    <mergeCell ref="B44:G44"/>
    <mergeCell ref="B45:G45"/>
    <mergeCell ref="B46:G46"/>
    <mergeCell ref="B47:G47"/>
    <mergeCell ref="G53:G54"/>
    <mergeCell ref="A54:E54"/>
    <mergeCell ref="A53:F53"/>
    <mergeCell ref="B48:G48"/>
    <mergeCell ref="A51:F51"/>
    <mergeCell ref="A52:F52"/>
  </mergeCells>
  <conditionalFormatting sqref="G87">
    <cfRule type="cellIs" dxfId="1" priority="2" operator="lessThan">
      <formula>$G$88</formula>
    </cfRule>
  </conditionalFormatting>
  <conditionalFormatting sqref="G104">
    <cfRule type="cellIs" dxfId="0" priority="1" operator="lessThan">
      <formula>$G$105</formula>
    </cfRule>
  </conditionalFormatting>
  <dataValidations count="7">
    <dataValidation type="list" allowBlank="1" showInputMessage="1" showErrorMessage="1" sqref="B140:C140" xr:uid="{293E379C-4FCB-41F6-A5ED-7FC2D0B40C8D}">
      <formula1>$L$118:$L$122</formula1>
    </dataValidation>
    <dataValidation type="list" allowBlank="1" showInputMessage="1" showErrorMessage="1" sqref="A60:A63" xr:uid="{8B5AD2C7-D335-4AFE-9673-AC34C04DC7D1}">
      <formula1>$I$1:$I$7</formula1>
    </dataValidation>
    <dataValidation type="list" allowBlank="1" showInputMessage="1" showErrorMessage="1" sqref="B128:C132" xr:uid="{3B4B0715-C391-4D03-B3AF-E6325E84D623}">
      <formula1>$I$117:$I$138</formula1>
    </dataValidation>
    <dataValidation type="list" allowBlank="1" showInputMessage="1" showErrorMessage="1" sqref="B134:C135 B133:C133" xr:uid="{D2F46439-59FB-4CA0-965E-FDA92AE84801}">
      <formula1>$J$117:$J$135</formula1>
    </dataValidation>
    <dataValidation type="list" allowBlank="1" showInputMessage="1" showErrorMessage="1" sqref="B139" xr:uid="{476EF84B-9AE7-4585-9DAC-819C873418BD}">
      <formula1>$K$118:$K$125</formula1>
    </dataValidation>
    <dataValidation type="list" allowBlank="1" showInputMessage="1" showErrorMessage="1" sqref="G51:G54 G70:G72" xr:uid="{3CF59814-5AFF-49D5-BE7C-F8861B31636F}">
      <formula1>$I$53:$I$54</formula1>
    </dataValidation>
    <dataValidation type="list" showInputMessage="1" showErrorMessage="1" sqref="A54:E54" xr:uid="{8F4817AC-95DD-44A1-9183-B0F1A0333DD3}">
      <formula1>$I$55:$I$67</formula1>
    </dataValidation>
  </dataValidations>
  <pageMargins left="0.25" right="0.25" top="0.75" bottom="0.75" header="0.3" footer="0.3"/>
  <pageSetup paperSize="8" scale="92" fitToHeight="0" orientation="portrait" r:id="rId1"/>
  <headerFooter>
    <oddFooter>&amp;F</oddFooter>
  </headerFooter>
  <rowBreaks count="3" manualBreakCount="3">
    <brk id="54" max="6" man="1"/>
    <brk id="112" max="6" man="1"/>
    <brk id="14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R259"/>
  <sheetViews>
    <sheetView zoomScale="80" zoomScaleNormal="80" zoomScaleSheetLayoutView="100" workbookViewId="0">
      <selection activeCell="A7" sqref="A7:B7"/>
    </sheetView>
  </sheetViews>
  <sheetFormatPr defaultColWidth="9.109375" defaultRowHeight="15"/>
  <cols>
    <col min="1" max="1" width="7" style="160"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29" style="3" hidden="1" customWidth="1"/>
    <col min="10" max="10" width="45.6640625" style="3" hidden="1" customWidth="1"/>
    <col min="11" max="15" width="9.109375" style="3" hidden="1" customWidth="1"/>
    <col min="16" max="16" width="9.6640625" style="3" hidden="1" customWidth="1"/>
    <col min="17" max="17" width="9.109375" style="3" customWidth="1"/>
    <col min="18" max="16384" width="9.109375" style="3"/>
  </cols>
  <sheetData>
    <row r="1" spans="1:15" ht="15.6">
      <c r="A1" s="558" t="s">
        <v>89</v>
      </c>
      <c r="B1" s="559"/>
      <c r="C1" s="559"/>
      <c r="D1" s="559"/>
      <c r="E1" s="559"/>
      <c r="F1" s="559"/>
      <c r="G1" s="559"/>
      <c r="H1" s="560"/>
      <c r="J1" s="3" t="s">
        <v>40</v>
      </c>
    </row>
    <row r="2" spans="1:15">
      <c r="A2" s="561"/>
      <c r="B2" s="264"/>
      <c r="C2" s="264"/>
      <c r="D2" s="264"/>
      <c r="E2" s="264"/>
      <c r="F2" s="264"/>
      <c r="G2" s="265"/>
      <c r="H2" s="562"/>
      <c r="I2" s="6"/>
      <c r="J2" s="6" t="s">
        <v>384</v>
      </c>
    </row>
    <row r="3" spans="1:15" ht="15.6">
      <c r="A3" s="563" t="s">
        <v>336</v>
      </c>
      <c r="B3" s="264"/>
      <c r="C3" s="264"/>
      <c r="D3" s="331" t="s">
        <v>134</v>
      </c>
      <c r="E3" s="331" t="s">
        <v>135</v>
      </c>
      <c r="F3" s="331" t="s">
        <v>136</v>
      </c>
      <c r="G3" s="289" t="s">
        <v>104</v>
      </c>
      <c r="H3" s="564" t="s">
        <v>62</v>
      </c>
      <c r="I3" s="6"/>
      <c r="J3" s="6" t="s">
        <v>44</v>
      </c>
    </row>
    <row r="4" spans="1:15" ht="15.6">
      <c r="A4" s="966">
        <f>Summary!A6</f>
        <v>0</v>
      </c>
      <c r="B4" s="967"/>
      <c r="C4" s="264"/>
      <c r="D4" s="74">
        <f>H89</f>
        <v>0</v>
      </c>
      <c r="E4" s="154">
        <f>H192</f>
        <v>0</v>
      </c>
      <c r="F4" s="129">
        <f>H229</f>
        <v>0</v>
      </c>
      <c r="G4" s="138">
        <f>H243</f>
        <v>0</v>
      </c>
      <c r="H4" s="565">
        <f>H245</f>
        <v>0</v>
      </c>
      <c r="I4" s="6"/>
      <c r="J4" s="6" t="s">
        <v>15</v>
      </c>
    </row>
    <row r="5" spans="1:15">
      <c r="A5" s="561"/>
      <c r="B5" s="264"/>
      <c r="C5" s="264"/>
      <c r="D5" s="264"/>
      <c r="E5" s="264"/>
      <c r="F5" s="264"/>
      <c r="G5" s="265"/>
      <c r="H5" s="562"/>
      <c r="I5" s="6"/>
      <c r="J5" s="6" t="s">
        <v>16</v>
      </c>
    </row>
    <row r="6" spans="1:15" s="4" customFormat="1" ht="15.6">
      <c r="A6" s="563" t="s">
        <v>90</v>
      </c>
      <c r="B6" s="296"/>
      <c r="C6" s="296"/>
      <c r="D6" s="297" t="s">
        <v>35</v>
      </c>
      <c r="E6" s="264"/>
      <c r="F6" s="264"/>
      <c r="G6" s="265"/>
      <c r="H6" s="562"/>
      <c r="I6" s="6"/>
      <c r="J6" s="6" t="s">
        <v>383</v>
      </c>
      <c r="K6" s="3"/>
      <c r="L6" s="3"/>
      <c r="M6" s="3"/>
    </row>
    <row r="7" spans="1:15" ht="15.75" customHeight="1">
      <c r="A7" s="976" t="s">
        <v>384</v>
      </c>
      <c r="B7" s="977"/>
      <c r="D7" s="761">
        <f>Summary!A77</f>
        <v>0</v>
      </c>
      <c r="E7" s="779"/>
      <c r="F7" s="779"/>
      <c r="G7" s="780"/>
      <c r="H7" s="566"/>
      <c r="I7" s="29"/>
      <c r="J7" s="29" t="s">
        <v>382</v>
      </c>
    </row>
    <row r="8" spans="1:15" ht="15.6" thickBot="1">
      <c r="A8" s="561"/>
      <c r="B8" s="298"/>
      <c r="C8" s="264"/>
      <c r="D8" s="264"/>
      <c r="E8" s="264"/>
      <c r="F8" s="264"/>
      <c r="G8" s="265"/>
      <c r="H8" s="562"/>
    </row>
    <row r="9" spans="1:15" ht="16.2" thickBot="1">
      <c r="A9" s="567" t="s">
        <v>125</v>
      </c>
      <c r="B9" s="140"/>
      <c r="C9" s="140"/>
      <c r="D9" s="140"/>
      <c r="E9" s="140"/>
      <c r="F9" s="141"/>
      <c r="G9" s="16"/>
      <c r="H9" s="568"/>
    </row>
    <row r="10" spans="1:15">
      <c r="A10" s="561"/>
      <c r="B10" s="299"/>
      <c r="C10" s="264"/>
      <c r="D10" s="264"/>
      <c r="E10" s="264"/>
      <c r="F10" s="264"/>
      <c r="G10" s="265"/>
      <c r="H10" s="562"/>
    </row>
    <row r="11" spans="1:15" ht="15.75" customHeight="1">
      <c r="A11" s="905" t="s">
        <v>0</v>
      </c>
      <c r="B11" s="906"/>
      <c r="C11" s="144"/>
      <c r="D11" s="883" t="s">
        <v>4</v>
      </c>
      <c r="E11" s="882" t="s">
        <v>80</v>
      </c>
      <c r="F11" s="882" t="s">
        <v>21</v>
      </c>
      <c r="G11" s="300"/>
      <c r="H11" s="569"/>
    </row>
    <row r="12" spans="1:15" ht="15.75" customHeight="1">
      <c r="A12" s="907"/>
      <c r="B12" s="908"/>
      <c r="C12" s="145"/>
      <c r="D12" s="884"/>
      <c r="E12" s="882"/>
      <c r="F12" s="882"/>
      <c r="G12" s="300"/>
      <c r="H12" s="569"/>
    </row>
    <row r="13" spans="1:15" s="29" customFormat="1" ht="15.6">
      <c r="A13" s="570" t="s">
        <v>127</v>
      </c>
      <c r="B13" s="167"/>
      <c r="C13" s="167"/>
      <c r="D13" s="167"/>
      <c r="E13" s="170"/>
      <c r="F13" s="170"/>
      <c r="G13" s="301"/>
      <c r="H13" s="571"/>
      <c r="N13" s="44"/>
      <c r="O13" s="44"/>
    </row>
    <row r="14" spans="1:15">
      <c r="A14" s="572">
        <v>1</v>
      </c>
      <c r="B14" s="826" t="s">
        <v>268</v>
      </c>
      <c r="C14" s="827"/>
      <c r="D14" s="511" t="s">
        <v>2</v>
      </c>
      <c r="E14" s="512" t="s">
        <v>49</v>
      </c>
      <c r="F14" s="30"/>
      <c r="G14" s="573" t="str">
        <f>IF(F14&lt;65%,"To comply with min. 65%"," ")</f>
        <v>To comply with min. 65%</v>
      </c>
      <c r="H14" s="574"/>
    </row>
    <row r="15" spans="1:15">
      <c r="A15" s="575">
        <v>2</v>
      </c>
      <c r="B15" s="826" t="s">
        <v>590</v>
      </c>
      <c r="C15" s="827"/>
      <c r="D15" s="513" t="s">
        <v>50</v>
      </c>
      <c r="E15" s="514" t="s">
        <v>49</v>
      </c>
      <c r="F15" s="553"/>
      <c r="G15" s="573" t="str">
        <f>IF(F15&lt;80%,"To comply with min. 80%"," ")</f>
        <v>To comply with min. 80%</v>
      </c>
      <c r="H15" s="562"/>
    </row>
    <row r="16" spans="1:15" ht="15" customHeight="1">
      <c r="A16" s="572">
        <v>3</v>
      </c>
      <c r="B16" s="826" t="s">
        <v>589</v>
      </c>
      <c r="C16" s="827"/>
      <c r="D16" s="513" t="s">
        <v>50</v>
      </c>
      <c r="E16" s="514" t="s">
        <v>49</v>
      </c>
      <c r="F16" s="553"/>
      <c r="G16" s="573" t="str">
        <f>IF(F16&lt;80%,"To comply with min. 80%"," ")</f>
        <v>To comply with min. 80%</v>
      </c>
      <c r="H16" s="569"/>
    </row>
    <row r="17" spans="1:18">
      <c r="A17" s="572">
        <v>4</v>
      </c>
      <c r="B17" s="826" t="s">
        <v>591</v>
      </c>
      <c r="C17" s="827"/>
      <c r="D17" s="515" t="s">
        <v>3</v>
      </c>
      <c r="E17" s="514" t="s">
        <v>49</v>
      </c>
      <c r="F17" s="553"/>
      <c r="G17" s="573" t="str">
        <f>IF(F17&lt;65%,"To comply with min. 65%"," ")</f>
        <v>To comply with min. 65%</v>
      </c>
      <c r="H17" s="569"/>
    </row>
    <row r="18" spans="1:18" s="29" customFormat="1" ht="15.6">
      <c r="A18" s="576" t="s">
        <v>126</v>
      </c>
      <c r="B18" s="167"/>
      <c r="C18" s="167"/>
      <c r="D18" s="167"/>
      <c r="E18" s="168"/>
      <c r="F18" s="169"/>
      <c r="G18" s="534"/>
      <c r="H18" s="571"/>
      <c r="J18" s="10"/>
      <c r="N18" s="44"/>
      <c r="O18" s="44"/>
    </row>
    <row r="19" spans="1:18" ht="32.25" customHeight="1">
      <c r="A19" s="577">
        <v>5</v>
      </c>
      <c r="B19" s="886" t="s">
        <v>269</v>
      </c>
      <c r="C19" s="887"/>
      <c r="D19" s="143" t="s">
        <v>3</v>
      </c>
      <c r="E19" s="537"/>
      <c r="F19" s="31">
        <f>IFERROR(E19/$F$120,0)</f>
        <v>0</v>
      </c>
      <c r="G19" s="573" t="str">
        <f>IF(OR($A$7=$J$2,$A$7=$J$3),IF(E19=0,"Please input wall length"," ")," ")</f>
        <v>Please input wall length</v>
      </c>
      <c r="H19" s="569"/>
    </row>
    <row r="20" spans="1:18">
      <c r="A20" s="577" t="s">
        <v>509</v>
      </c>
      <c r="B20" s="826" t="s">
        <v>270</v>
      </c>
      <c r="C20" s="827"/>
      <c r="D20" s="516" t="s">
        <v>50</v>
      </c>
      <c r="E20" s="514" t="s">
        <v>49</v>
      </c>
      <c r="F20" s="30"/>
      <c r="G20" s="573" t="str">
        <f>IF(OR($A$7=$J$2,$A$7=$J$3),IF(F20&lt;65%,"To comply with min. 65%"," ")," ")</f>
        <v>To comply with min. 65%</v>
      </c>
      <c r="H20" s="569"/>
    </row>
    <row r="21" spans="1:18">
      <c r="A21" s="577" t="s">
        <v>510</v>
      </c>
      <c r="B21" s="826" t="s">
        <v>592</v>
      </c>
      <c r="C21" s="827"/>
      <c r="D21" s="516" t="s">
        <v>50</v>
      </c>
      <c r="E21" s="514" t="s">
        <v>49</v>
      </c>
      <c r="F21" s="30"/>
      <c r="G21" s="573" t="str">
        <f>IF(OR($A$7=$J$2,$A$7=$J$3),IF(F21&lt;60%,"To comply with min. 60%"," ")," ")</f>
        <v>To comply with min. 60%</v>
      </c>
      <c r="H21" s="569"/>
    </row>
    <row r="22" spans="1:18">
      <c r="A22" s="577" t="s">
        <v>511</v>
      </c>
      <c r="B22" s="826" t="s">
        <v>593</v>
      </c>
      <c r="C22" s="827"/>
      <c r="D22" s="516" t="s">
        <v>50</v>
      </c>
      <c r="E22" s="514" t="s">
        <v>49</v>
      </c>
      <c r="F22" s="30"/>
      <c r="G22" s="573" t="str">
        <f>IF(OR($A$7=$J$2,$A$7=$J$3),IF(F22&lt;65%,"To comply with min. 65%"," ")," ")</f>
        <v>To comply with min. 65%</v>
      </c>
      <c r="H22" s="569"/>
    </row>
    <row r="23" spans="1:18">
      <c r="A23" s="577" t="s">
        <v>512</v>
      </c>
      <c r="B23" s="826" t="s">
        <v>594</v>
      </c>
      <c r="C23" s="827"/>
      <c r="D23" s="516" t="s">
        <v>50</v>
      </c>
      <c r="E23" s="514" t="s">
        <v>49</v>
      </c>
      <c r="F23" s="30"/>
      <c r="G23" s="573" t="str">
        <f>IF(OR($A$7=$J$2,$A$7=$J$3),IF(F23&lt;60%,"To comply with min. 60%"," ")," ")</f>
        <v>To comply with min. 60%</v>
      </c>
      <c r="H23" s="569"/>
    </row>
    <row r="24" spans="1:18">
      <c r="A24" s="577" t="s">
        <v>283</v>
      </c>
      <c r="B24" s="826" t="s">
        <v>595</v>
      </c>
      <c r="C24" s="827"/>
      <c r="D24" s="513" t="s">
        <v>50</v>
      </c>
      <c r="E24" s="514" t="s">
        <v>49</v>
      </c>
      <c r="F24" s="553"/>
      <c r="G24" s="573" t="str">
        <f>IF(OR($A$7=$J$2,$A$7=$J$3),IF(F24&lt;65%,"To comply with min. 65%"," ")," ")</f>
        <v>To comply with min. 65%</v>
      </c>
      <c r="H24" s="569"/>
    </row>
    <row r="25" spans="1:18">
      <c r="A25" s="577" t="s">
        <v>513</v>
      </c>
      <c r="B25" s="826" t="s">
        <v>596</v>
      </c>
      <c r="C25" s="827"/>
      <c r="D25" s="513" t="s">
        <v>50</v>
      </c>
      <c r="E25" s="514" t="s">
        <v>49</v>
      </c>
      <c r="F25" s="553"/>
      <c r="G25" s="573" t="str">
        <f>IF(OR($A$7=$J$2,$A$7=$J$3),IF(F25&lt;80%,"To comply with min. 80%"," ")," ")</f>
        <v>To comply with min. 80%</v>
      </c>
      <c r="H25" s="569"/>
    </row>
    <row r="26" spans="1:18">
      <c r="A26" s="561"/>
      <c r="B26" s="264"/>
      <c r="C26" s="264"/>
      <c r="D26" s="264"/>
      <c r="E26" s="264"/>
      <c r="F26" s="264"/>
      <c r="G26" s="265"/>
      <c r="H26" s="562"/>
      <c r="J26" s="6"/>
    </row>
    <row r="27" spans="1:18" ht="15.6">
      <c r="A27" s="578" t="s">
        <v>43</v>
      </c>
      <c r="B27" s="157"/>
      <c r="C27" s="157"/>
      <c r="D27" s="157"/>
      <c r="E27" s="157"/>
      <c r="F27" s="158" t="s">
        <v>42</v>
      </c>
      <c r="G27" s="159">
        <f>VLOOKUP($A$7,'Manpower allocation'!A4:D11,2,FALSE)*100</f>
        <v>45</v>
      </c>
      <c r="H27" s="579" t="s">
        <v>41</v>
      </c>
      <c r="I27" s="365">
        <f>VLOOKUP($A$7,'Manpower allocation'!A4:D11,2,FALSE)*100</f>
        <v>45</v>
      </c>
      <c r="J27" s="6"/>
    </row>
    <row r="28" spans="1:18" ht="15.6">
      <c r="A28" s="561"/>
      <c r="B28" s="302"/>
      <c r="C28" s="303"/>
      <c r="D28" s="264"/>
      <c r="E28" s="264"/>
      <c r="F28" s="264"/>
      <c r="G28" s="265"/>
      <c r="H28" s="562"/>
      <c r="J28" s="6"/>
    </row>
    <row r="29" spans="1:18" s="29" customFormat="1" ht="46.8">
      <c r="A29" s="580" t="s">
        <v>0</v>
      </c>
      <c r="B29" s="40"/>
      <c r="C29" s="40"/>
      <c r="D29" s="41"/>
      <c r="E29" s="42" t="s">
        <v>17</v>
      </c>
      <c r="F29" s="42" t="s">
        <v>113</v>
      </c>
      <c r="G29" s="42" t="s">
        <v>18</v>
      </c>
      <c r="H29" s="42" t="s">
        <v>52</v>
      </c>
      <c r="J29" s="43"/>
      <c r="Q29" s="44"/>
      <c r="R29" s="44"/>
    </row>
    <row r="30" spans="1:18" s="29" customFormat="1" ht="15.6">
      <c r="A30" s="581" t="s">
        <v>187</v>
      </c>
      <c r="B30" s="45" t="s">
        <v>203</v>
      </c>
      <c r="C30" s="46"/>
      <c r="D30" s="46"/>
      <c r="E30" s="47"/>
      <c r="F30" s="47"/>
      <c r="G30" s="47"/>
      <c r="H30" s="582"/>
      <c r="Q30" s="44"/>
      <c r="R30" s="44"/>
    </row>
    <row r="31" spans="1:18" s="29" customFormat="1" ht="15.6">
      <c r="A31" s="583">
        <v>1</v>
      </c>
      <c r="B31" s="39" t="s">
        <v>304</v>
      </c>
      <c r="C31" s="40"/>
      <c r="D31" s="48"/>
      <c r="E31" s="40"/>
      <c r="F31" s="49"/>
      <c r="G31" s="49"/>
      <c r="H31" s="584"/>
      <c r="Q31" s="44"/>
      <c r="R31" s="44"/>
    </row>
    <row r="32" spans="1:18" s="29" customFormat="1">
      <c r="A32" s="918">
        <v>1.1000000000000001</v>
      </c>
      <c r="B32" s="836" t="s">
        <v>271</v>
      </c>
      <c r="C32" s="885"/>
      <c r="D32" s="885"/>
      <c r="E32" s="811">
        <f>VLOOKUP(A32,'Point Allocation'!$A$5:$J$15,MATCH(A7,'Point Allocation'!$A$5:$J$5,0),0)</f>
        <v>45</v>
      </c>
      <c r="F32" s="812"/>
      <c r="G32" s="813">
        <f>IFERROR(F32/$F$59,0)</f>
        <v>0</v>
      </c>
      <c r="H32" s="811">
        <f>E32*G32</f>
        <v>0</v>
      </c>
      <c r="Q32" s="44"/>
      <c r="R32" s="44"/>
    </row>
    <row r="33" spans="1:18" s="29" customFormat="1" ht="15.6">
      <c r="A33" s="919"/>
      <c r="B33" s="810" t="s">
        <v>358</v>
      </c>
      <c r="C33" s="810"/>
      <c r="D33" s="810"/>
      <c r="E33" s="811"/>
      <c r="F33" s="812"/>
      <c r="G33" s="813">
        <f t="shared" ref="G33" si="0">IFERROR(F33/$F$59,0)</f>
        <v>0</v>
      </c>
      <c r="H33" s="811"/>
      <c r="Q33" s="44"/>
      <c r="R33" s="44"/>
    </row>
    <row r="34" spans="1:18" s="29" customFormat="1" ht="15.6">
      <c r="A34" s="583">
        <v>2</v>
      </c>
      <c r="B34" s="39" t="s">
        <v>305</v>
      </c>
      <c r="C34" s="50"/>
      <c r="D34" s="48"/>
      <c r="E34" s="51"/>
      <c r="F34" s="8"/>
      <c r="G34" s="22"/>
      <c r="H34" s="585"/>
      <c r="Q34" s="52"/>
      <c r="R34" s="44"/>
    </row>
    <row r="35" spans="1:18" s="29" customFormat="1">
      <c r="A35" s="586">
        <v>2.1</v>
      </c>
      <c r="B35" s="858" t="s">
        <v>192</v>
      </c>
      <c r="C35" s="859"/>
      <c r="D35" s="840"/>
      <c r="E35" s="20">
        <f>VLOOKUP(A35,'Point Allocation'!$A$5:$J$15,MATCH(A7,'Point Allocation'!$A$5:$J$5,0),0)</f>
        <v>42</v>
      </c>
      <c r="F35" s="537"/>
      <c r="G35" s="31">
        <f>IFERROR(F35/$F$59,0)</f>
        <v>0</v>
      </c>
      <c r="H35" s="20">
        <f>E35*G35</f>
        <v>0</v>
      </c>
      <c r="Q35" s="52"/>
      <c r="R35" s="44"/>
    </row>
    <row r="36" spans="1:18" s="29" customFormat="1" ht="15.6">
      <c r="A36" s="583">
        <v>3</v>
      </c>
      <c r="B36" s="39" t="s">
        <v>306</v>
      </c>
      <c r="C36" s="50"/>
      <c r="D36" s="48"/>
      <c r="E36" s="51"/>
      <c r="F36" s="8"/>
      <c r="G36" s="22"/>
      <c r="H36" s="585"/>
      <c r="Q36" s="52"/>
      <c r="R36" s="44"/>
    </row>
    <row r="37" spans="1:18" s="29" customFormat="1">
      <c r="A37" s="586">
        <v>3.1</v>
      </c>
      <c r="B37" s="858" t="s">
        <v>640</v>
      </c>
      <c r="C37" s="859"/>
      <c r="D37" s="840"/>
      <c r="E37" s="20">
        <f>VLOOKUP(A37,'Point Allocation'!$A$5:$J$15,MATCH(A7,'Point Allocation'!$A$5:$J$5,0),0)</f>
        <v>39</v>
      </c>
      <c r="F37" s="37"/>
      <c r="G37" s="31">
        <f>IFERROR(F37/$F$59,0)</f>
        <v>0</v>
      </c>
      <c r="H37" s="546">
        <f>E37*G37</f>
        <v>0</v>
      </c>
      <c r="Q37" s="52"/>
      <c r="R37" s="44"/>
    </row>
    <row r="38" spans="1:18" s="29" customFormat="1" ht="31.5" customHeight="1">
      <c r="A38" s="909">
        <v>3.2</v>
      </c>
      <c r="B38" s="863" t="s">
        <v>296</v>
      </c>
      <c r="C38" s="911"/>
      <c r="D38" s="864"/>
      <c r="E38" s="828">
        <f>VLOOKUP(A38,'Point Allocation'!$A$5:$J$15,MATCH(A7,'Point Allocation'!$A$5:$J$5,0),0)</f>
        <v>39</v>
      </c>
      <c r="F38" s="37"/>
      <c r="G38" s="31">
        <f>IFERROR(F38/$F$59,0)</f>
        <v>0</v>
      </c>
      <c r="H38" s="828">
        <f>IF(SUM(I40:I45)&gt;=4,E38*G38,0)</f>
        <v>0</v>
      </c>
      <c r="Q38" s="52"/>
      <c r="R38" s="44"/>
    </row>
    <row r="39" spans="1:18" s="29" customFormat="1" ht="46.95" customHeight="1">
      <c r="A39" s="910"/>
      <c r="B39" s="912"/>
      <c r="C39" s="913"/>
      <c r="D39" s="914"/>
      <c r="E39" s="829"/>
      <c r="F39" s="521" t="s">
        <v>601</v>
      </c>
      <c r="G39" s="53" t="s">
        <v>116</v>
      </c>
      <c r="H39" s="829"/>
      <c r="Q39" s="52"/>
      <c r="R39" s="44"/>
    </row>
    <row r="40" spans="1:18" s="29" customFormat="1" ht="130.94999999999999" customHeight="1">
      <c r="A40" s="587" t="s">
        <v>181</v>
      </c>
      <c r="B40" s="830" t="s">
        <v>631</v>
      </c>
      <c r="C40" s="831"/>
      <c r="D40" s="832"/>
      <c r="E40" s="900"/>
      <c r="F40" s="536" t="s">
        <v>630</v>
      </c>
      <c r="G40" s="552"/>
      <c r="H40" s="889"/>
      <c r="I40" s="54">
        <f t="shared" ref="I40:I45" si="1">IF(G40&gt;=65%,1,0)</f>
        <v>0</v>
      </c>
      <c r="Q40" s="52"/>
      <c r="R40" s="44"/>
    </row>
    <row r="41" spans="1:18" s="29" customFormat="1" ht="63" customHeight="1">
      <c r="A41" s="587" t="s">
        <v>182</v>
      </c>
      <c r="B41" s="833" t="s">
        <v>204</v>
      </c>
      <c r="C41" s="834"/>
      <c r="D41" s="835"/>
      <c r="E41" s="900"/>
      <c r="F41" s="483" t="s">
        <v>598</v>
      </c>
      <c r="G41" s="553"/>
      <c r="H41" s="889"/>
      <c r="I41" s="54">
        <f t="shared" si="1"/>
        <v>0</v>
      </c>
      <c r="Q41" s="52"/>
      <c r="R41" s="44"/>
    </row>
    <row r="42" spans="1:18" s="29" customFormat="1" ht="48.75" customHeight="1">
      <c r="A42" s="587" t="s">
        <v>190</v>
      </c>
      <c r="B42" s="833" t="s">
        <v>628</v>
      </c>
      <c r="C42" s="834"/>
      <c r="D42" s="835"/>
      <c r="E42" s="900"/>
      <c r="F42" s="483" t="s">
        <v>611</v>
      </c>
      <c r="G42" s="553"/>
      <c r="H42" s="889"/>
      <c r="I42" s="54">
        <f t="shared" si="1"/>
        <v>0</v>
      </c>
      <c r="Q42" s="52"/>
      <c r="R42" s="44"/>
    </row>
    <row r="43" spans="1:18" s="29" customFormat="1" ht="45">
      <c r="A43" s="587" t="s">
        <v>183</v>
      </c>
      <c r="B43" s="833" t="s">
        <v>206</v>
      </c>
      <c r="C43" s="834"/>
      <c r="D43" s="835"/>
      <c r="E43" s="900"/>
      <c r="F43" s="483" t="s">
        <v>597</v>
      </c>
      <c r="G43" s="553"/>
      <c r="H43" s="889"/>
      <c r="I43" s="54">
        <f t="shared" si="1"/>
        <v>0</v>
      </c>
      <c r="Q43" s="52"/>
      <c r="R43" s="44"/>
    </row>
    <row r="44" spans="1:18" s="29" customFormat="1" ht="63" customHeight="1">
      <c r="A44" s="587" t="s">
        <v>191</v>
      </c>
      <c r="B44" s="833" t="s">
        <v>207</v>
      </c>
      <c r="C44" s="834"/>
      <c r="D44" s="835"/>
      <c r="E44" s="900"/>
      <c r="F44" s="483" t="s">
        <v>629</v>
      </c>
      <c r="G44" s="553"/>
      <c r="H44" s="889"/>
      <c r="I44" s="54">
        <f t="shared" si="1"/>
        <v>0</v>
      </c>
      <c r="Q44" s="52"/>
      <c r="R44" s="44"/>
    </row>
    <row r="45" spans="1:18" s="29" customFormat="1" ht="31.5" customHeight="1">
      <c r="A45" s="587" t="s">
        <v>184</v>
      </c>
      <c r="B45" s="915" t="s">
        <v>610</v>
      </c>
      <c r="C45" s="916"/>
      <c r="D45" s="886"/>
      <c r="E45" s="901"/>
      <c r="F45" s="483" t="s">
        <v>600</v>
      </c>
      <c r="G45" s="553"/>
      <c r="H45" s="829"/>
      <c r="I45" s="54">
        <f t="shared" si="1"/>
        <v>0</v>
      </c>
      <c r="Q45" s="52"/>
      <c r="R45" s="44"/>
    </row>
    <row r="46" spans="1:18" s="29" customFormat="1" ht="15.6">
      <c r="A46" s="583" t="s">
        <v>185</v>
      </c>
      <c r="B46" s="39" t="s">
        <v>307</v>
      </c>
      <c r="C46" s="55"/>
      <c r="D46" s="48"/>
      <c r="E46" s="51"/>
      <c r="F46" s="36"/>
      <c r="G46" s="23"/>
      <c r="H46" s="588"/>
      <c r="Q46" s="52"/>
      <c r="R46" s="44"/>
    </row>
    <row r="47" spans="1:18" s="29" customFormat="1" ht="31.5" customHeight="1">
      <c r="A47" s="543">
        <v>4.0999999999999996</v>
      </c>
      <c r="B47" s="858" t="s">
        <v>602</v>
      </c>
      <c r="C47" s="859"/>
      <c r="D47" s="840"/>
      <c r="E47" s="20">
        <f>VLOOKUP(A47,'Point Allocation'!$A$5:$J$15,MATCH(A7,'Point Allocation'!$A$5:$J$5,0),0)</f>
        <v>35</v>
      </c>
      <c r="F47" s="537"/>
      <c r="G47" s="31">
        <f>IFERROR(F47/$F$59,0)</f>
        <v>0</v>
      </c>
      <c r="H47" s="20">
        <f>E47*G47</f>
        <v>0</v>
      </c>
      <c r="Q47" s="52"/>
      <c r="R47" s="44"/>
    </row>
    <row r="48" spans="1:18" s="29" customFormat="1">
      <c r="A48" s="589">
        <v>4.2</v>
      </c>
      <c r="B48" s="825" t="s">
        <v>313</v>
      </c>
      <c r="C48" s="826"/>
      <c r="D48" s="827"/>
      <c r="E48" s="20">
        <f>VLOOKUP(A48,'Point Allocation'!$A$5:$J$15,MATCH(A7,'Point Allocation'!$A$5:$J$5,0),0)</f>
        <v>35</v>
      </c>
      <c r="F48" s="537"/>
      <c r="G48" s="31">
        <f>IFERROR(F48/$F$59,0)</f>
        <v>0</v>
      </c>
      <c r="H48" s="20">
        <f>E48*G48</f>
        <v>0</v>
      </c>
      <c r="Q48" s="52"/>
      <c r="R48" s="44"/>
    </row>
    <row r="49" spans="1:18" s="29" customFormat="1">
      <c r="A49" s="589">
        <v>4.3</v>
      </c>
      <c r="B49" s="902" t="s">
        <v>311</v>
      </c>
      <c r="C49" s="903"/>
      <c r="D49" s="904"/>
      <c r="E49" s="20">
        <f>VLOOKUP(A49,'Point Allocation'!$A$5:$J$15,MATCH(A7,'Point Allocation'!$A$5:$J$5,0),0)</f>
        <v>28</v>
      </c>
      <c r="F49" s="537"/>
      <c r="G49" s="31">
        <f>IFERROR(F49/$F$59,0)</f>
        <v>0</v>
      </c>
      <c r="H49" s="20">
        <f>E49*G49</f>
        <v>0</v>
      </c>
      <c r="Q49" s="52"/>
      <c r="R49" s="44"/>
    </row>
    <row r="50" spans="1:18" s="29" customFormat="1">
      <c r="A50" s="543">
        <v>4.4000000000000004</v>
      </c>
      <c r="B50" s="858" t="s">
        <v>312</v>
      </c>
      <c r="C50" s="859"/>
      <c r="D50" s="840"/>
      <c r="E50" s="20">
        <f>VLOOKUP(A50,'Point Allocation'!$A$5:$J$15,MATCH(A7,'Point Allocation'!$A$5:$J$5,0),0)</f>
        <v>28</v>
      </c>
      <c r="F50" s="537"/>
      <c r="G50" s="31">
        <f>IFERROR(F50/$F$59,0)</f>
        <v>0</v>
      </c>
      <c r="H50" s="20">
        <f>E50*G50</f>
        <v>0</v>
      </c>
      <c r="Q50" s="52"/>
      <c r="R50" s="44"/>
    </row>
    <row r="51" spans="1:18" s="58" customFormat="1" ht="15.6">
      <c r="A51" s="581" t="s">
        <v>186</v>
      </c>
      <c r="B51" s="45" t="s">
        <v>200</v>
      </c>
      <c r="C51" s="56"/>
      <c r="D51" s="57"/>
      <c r="E51" s="7"/>
      <c r="F51" s="7"/>
      <c r="G51" s="24"/>
      <c r="H51" s="590"/>
      <c r="I51" s="29"/>
      <c r="J51" s="29"/>
      <c r="K51" s="29"/>
      <c r="L51" s="29"/>
      <c r="M51" s="29"/>
      <c r="Q51" s="59"/>
    </row>
    <row r="52" spans="1:18" s="58" customFormat="1" ht="15.6">
      <c r="A52" s="39">
        <v>5</v>
      </c>
      <c r="B52" s="39" t="s">
        <v>201</v>
      </c>
      <c r="C52" s="48"/>
      <c r="D52" s="48"/>
      <c r="E52" s="8"/>
      <c r="F52" s="8"/>
      <c r="G52" s="22"/>
      <c r="H52" s="588"/>
      <c r="I52" s="29"/>
      <c r="J52" s="29"/>
      <c r="K52" s="29"/>
      <c r="L52" s="29"/>
      <c r="M52" s="29"/>
      <c r="Q52" s="59"/>
    </row>
    <row r="53" spans="1:18" s="29" customFormat="1">
      <c r="A53" s="541">
        <v>5.0999999999999996</v>
      </c>
      <c r="B53" s="822" t="s">
        <v>193</v>
      </c>
      <c r="C53" s="823"/>
      <c r="D53" s="824"/>
      <c r="E53" s="20">
        <f>VLOOKUP(A53,'Point Allocation'!$A$5:$J$15,MATCH(A7,'Point Allocation'!$A$5:$J$5,0),0)</f>
        <v>22</v>
      </c>
      <c r="F53" s="537"/>
      <c r="G53" s="31">
        <f>IFERROR(F53/$F$59,0)</f>
        <v>0</v>
      </c>
      <c r="H53" s="20">
        <f>E53*G53</f>
        <v>0</v>
      </c>
      <c r="Q53" s="52"/>
      <c r="R53" s="44"/>
    </row>
    <row r="54" spans="1:18" s="29" customFormat="1">
      <c r="A54" s="541">
        <v>5.2</v>
      </c>
      <c r="B54" s="822" t="s">
        <v>142</v>
      </c>
      <c r="C54" s="823"/>
      <c r="D54" s="824"/>
      <c r="E54" s="20">
        <f>VLOOKUP(A54,'Point Allocation'!$A$5:$J$15,MATCH(A7,'Point Allocation'!$A$5:$J$5,0),0)</f>
        <v>10</v>
      </c>
      <c r="F54" s="537"/>
      <c r="G54" s="31">
        <f>IFERROR(F54/$F$59,0)</f>
        <v>0</v>
      </c>
      <c r="H54" s="20">
        <f>E54*G54</f>
        <v>0</v>
      </c>
      <c r="Q54" s="52"/>
      <c r="R54" s="44"/>
    </row>
    <row r="55" spans="1:18" s="29" customFormat="1" ht="15.6">
      <c r="A55" s="60">
        <v>6</v>
      </c>
      <c r="B55" s="60" t="s">
        <v>202</v>
      </c>
      <c r="C55" s="48"/>
      <c r="D55" s="48"/>
      <c r="E55" s="8"/>
      <c r="F55" s="8"/>
      <c r="G55" s="22"/>
      <c r="H55" s="588"/>
      <c r="Q55" s="52"/>
      <c r="R55" s="44"/>
    </row>
    <row r="56" spans="1:18" s="29" customFormat="1">
      <c r="A56" s="591">
        <v>6.1</v>
      </c>
      <c r="B56" s="762"/>
      <c r="C56" s="763"/>
      <c r="D56" s="803"/>
      <c r="E56" s="537"/>
      <c r="F56" s="537"/>
      <c r="G56" s="31">
        <f>IFERROR(F56/$F$59,0)</f>
        <v>0</v>
      </c>
      <c r="H56" s="20">
        <f>E56*G56</f>
        <v>0</v>
      </c>
      <c r="Q56" s="52"/>
      <c r="R56" s="44"/>
    </row>
    <row r="57" spans="1:18" s="29" customFormat="1">
      <c r="A57" s="591">
        <v>6.2</v>
      </c>
      <c r="B57" s="762"/>
      <c r="C57" s="763"/>
      <c r="D57" s="803"/>
      <c r="E57" s="537"/>
      <c r="F57" s="537"/>
      <c r="G57" s="31">
        <f>IFERROR(F57/$F$59,0)</f>
        <v>0</v>
      </c>
      <c r="H57" s="20">
        <f>E57*G57</f>
        <v>0</v>
      </c>
      <c r="Q57" s="52"/>
      <c r="R57" s="44"/>
    </row>
    <row r="58" spans="1:18" s="29" customFormat="1">
      <c r="A58" s="591">
        <v>6.3</v>
      </c>
      <c r="B58" s="762"/>
      <c r="C58" s="763"/>
      <c r="D58" s="803"/>
      <c r="E58" s="537"/>
      <c r="F58" s="537"/>
      <c r="G58" s="31">
        <f>IFERROR(F58/$F$59,0)</f>
        <v>0</v>
      </c>
      <c r="H58" s="20">
        <f>E58*G58</f>
        <v>0</v>
      </c>
      <c r="Q58" s="52"/>
      <c r="R58" s="44"/>
    </row>
    <row r="59" spans="1:18" s="29" customFormat="1" ht="15.6">
      <c r="A59" s="592"/>
      <c r="B59" s="304"/>
      <c r="C59" s="305"/>
      <c r="D59" s="305"/>
      <c r="E59" s="306" t="s">
        <v>60</v>
      </c>
      <c r="F59" s="26">
        <f>SUM(F32,F35,F37,F38,F47,F48,F49,F50,F53,F54,F56,F57,F58)</f>
        <v>0</v>
      </c>
      <c r="G59" s="25">
        <f>SUM(G32,G35:G35,G37:G38,G47:G50,G53:G54,G56:G58)</f>
        <v>0</v>
      </c>
      <c r="H59" s="593">
        <f>IFERROR(SUM(H32:H58),0)</f>
        <v>0</v>
      </c>
      <c r="M59" s="61"/>
      <c r="Q59" s="52"/>
      <c r="R59" s="44"/>
    </row>
    <row r="60" spans="1:18" s="29" customFormat="1" ht="15.6" thickBot="1">
      <c r="A60" s="594"/>
      <c r="B60" s="361"/>
      <c r="C60" s="362"/>
      <c r="D60" s="362"/>
      <c r="E60" s="362"/>
      <c r="F60" s="362"/>
      <c r="G60" s="354"/>
      <c r="H60" s="595"/>
      <c r="Q60" s="52"/>
      <c r="R60" s="44"/>
    </row>
    <row r="61" spans="1:18" s="29" customFormat="1" ht="15.6">
      <c r="A61" s="896" t="s">
        <v>0</v>
      </c>
      <c r="B61" s="897"/>
      <c r="C61" s="461"/>
      <c r="D61" s="892" t="s">
        <v>4</v>
      </c>
      <c r="E61" s="894" t="s">
        <v>1</v>
      </c>
      <c r="F61" s="895"/>
      <c r="G61" s="890" t="s">
        <v>21</v>
      </c>
      <c r="H61" s="892" t="s">
        <v>62</v>
      </c>
      <c r="Q61" s="52"/>
      <c r="R61" s="44"/>
    </row>
    <row r="62" spans="1:18" s="29" customFormat="1" ht="31.2">
      <c r="A62" s="898"/>
      <c r="B62" s="899"/>
      <c r="C62" s="62"/>
      <c r="D62" s="893"/>
      <c r="E62" s="42" t="s">
        <v>117</v>
      </c>
      <c r="F62" s="42" t="s">
        <v>118</v>
      </c>
      <c r="G62" s="891"/>
      <c r="H62" s="893"/>
      <c r="I62" s="63"/>
      <c r="Q62" s="52"/>
      <c r="R62" s="44"/>
    </row>
    <row r="63" spans="1:18" s="29" customFormat="1" ht="15.6">
      <c r="A63" s="45" t="s">
        <v>208</v>
      </c>
      <c r="B63" s="45" t="s">
        <v>139</v>
      </c>
      <c r="C63" s="57"/>
      <c r="D63" s="64"/>
      <c r="E63" s="47"/>
      <c r="F63" s="47"/>
      <c r="G63" s="47"/>
      <c r="H63" s="596"/>
      <c r="I63" s="61"/>
      <c r="J63" s="61"/>
      <c r="K63" s="61"/>
      <c r="L63" s="61"/>
      <c r="Q63" s="52"/>
      <c r="R63" s="44"/>
    </row>
    <row r="64" spans="1:18" s="29" customFormat="1" ht="15" customHeight="1">
      <c r="A64" s="597" t="s">
        <v>314</v>
      </c>
      <c r="B64" s="837" t="s">
        <v>647</v>
      </c>
      <c r="C64" s="838"/>
      <c r="D64" s="5" t="s">
        <v>50</v>
      </c>
      <c r="E64" s="9">
        <v>3</v>
      </c>
      <c r="F64" s="9">
        <v>4</v>
      </c>
      <c r="G64" s="30"/>
      <c r="H64" s="20">
        <f>IF(G64&gt;=80%,F64,IF(G64&lt;65%,0,E64))</f>
        <v>0</v>
      </c>
      <c r="Q64" s="52"/>
      <c r="R64" s="44"/>
    </row>
    <row r="65" spans="1:18" s="29" customFormat="1">
      <c r="A65" s="597" t="s">
        <v>315</v>
      </c>
      <c r="B65" s="837" t="s">
        <v>646</v>
      </c>
      <c r="C65" s="838"/>
      <c r="D65" s="5" t="s">
        <v>50</v>
      </c>
      <c r="E65" s="9">
        <v>3</v>
      </c>
      <c r="F65" s="9">
        <v>4</v>
      </c>
      <c r="G65" s="30"/>
      <c r="H65" s="20">
        <f>IF(G65&gt;=80%,F65,IF(G65&lt;65%,0,E65))</f>
        <v>0</v>
      </c>
      <c r="Q65" s="52"/>
      <c r="R65" s="44"/>
    </row>
    <row r="66" spans="1:18" s="29" customFormat="1">
      <c r="A66" s="598" t="s">
        <v>316</v>
      </c>
      <c r="B66" s="837" t="s">
        <v>641</v>
      </c>
      <c r="C66" s="838"/>
      <c r="D66" s="5" t="s">
        <v>50</v>
      </c>
      <c r="E66" s="9">
        <v>3</v>
      </c>
      <c r="F66" s="9">
        <v>4</v>
      </c>
      <c r="G66" s="30"/>
      <c r="H66" s="20">
        <f>IF(G66&gt;=80%,F66,IF(G66&lt;65%,0,E66))</f>
        <v>0</v>
      </c>
      <c r="Q66" s="52"/>
      <c r="R66" s="44"/>
    </row>
    <row r="67" spans="1:18" s="29" customFormat="1" ht="51" customHeight="1">
      <c r="A67" s="597">
        <v>7.2</v>
      </c>
      <c r="B67" s="841" t="s">
        <v>319</v>
      </c>
      <c r="C67" s="841"/>
      <c r="D67" s="385" t="s">
        <v>50</v>
      </c>
      <c r="E67" s="546">
        <v>2</v>
      </c>
      <c r="F67" s="546">
        <v>2.5</v>
      </c>
      <c r="G67" s="518"/>
      <c r="H67" s="546">
        <f>IF(H38&gt;0,0,IF(G67&gt;=80%,F67,IF(G67&lt;65%,0,E67)))</f>
        <v>0</v>
      </c>
      <c r="I67" s="11"/>
      <c r="J67" s="11"/>
      <c r="K67" s="11"/>
      <c r="Q67" s="52"/>
      <c r="R67" s="44"/>
    </row>
    <row r="68" spans="1:18" s="29" customFormat="1" ht="15" customHeight="1">
      <c r="A68" s="597">
        <v>7.3</v>
      </c>
      <c r="B68" s="858" t="s">
        <v>215</v>
      </c>
      <c r="C68" s="859"/>
      <c r="D68" s="353"/>
      <c r="E68" s="353"/>
      <c r="F68" s="353"/>
      <c r="G68" s="519"/>
      <c r="H68" s="599"/>
      <c r="I68" s="11"/>
      <c r="J68" s="11"/>
      <c r="K68" s="11"/>
      <c r="Q68" s="52"/>
      <c r="R68" s="44"/>
    </row>
    <row r="69" spans="1:18" s="29" customFormat="1" ht="32.25" customHeight="1">
      <c r="A69" s="598" t="s">
        <v>209</v>
      </c>
      <c r="B69" s="839" t="s">
        <v>216</v>
      </c>
      <c r="C69" s="840"/>
      <c r="D69" s="980" t="s">
        <v>50</v>
      </c>
      <c r="E69" s="279">
        <v>1</v>
      </c>
      <c r="F69" s="279">
        <v>1.5</v>
      </c>
      <c r="G69" s="553"/>
      <c r="H69" s="279">
        <f>IF(H32+H38&gt;0,0.5,IF(G69&gt;=80%,F69,IF(G69&lt;65%,0,E69)))</f>
        <v>0</v>
      </c>
      <c r="J69" s="11"/>
      <c r="K69" s="11"/>
      <c r="Q69" s="52"/>
      <c r="R69" s="44"/>
    </row>
    <row r="70" spans="1:18" s="29" customFormat="1" ht="47.25" customHeight="1">
      <c r="A70" s="598" t="s">
        <v>210</v>
      </c>
      <c r="B70" s="839" t="s">
        <v>217</v>
      </c>
      <c r="C70" s="840"/>
      <c r="D70" s="981"/>
      <c r="E70" s="279">
        <v>1</v>
      </c>
      <c r="F70" s="279">
        <v>1.5</v>
      </c>
      <c r="G70" s="553"/>
      <c r="H70" s="279">
        <f>IF(H32+H38&gt;0,0.5,IF(G70&gt;=80%,F70,IF(G70&lt;65%,0,E70)))</f>
        <v>0</v>
      </c>
      <c r="Q70" s="52"/>
      <c r="R70" s="44"/>
    </row>
    <row r="71" spans="1:18" s="29" customFormat="1">
      <c r="A71" s="598" t="s">
        <v>222</v>
      </c>
      <c r="B71" s="839" t="s">
        <v>218</v>
      </c>
      <c r="C71" s="840"/>
      <c r="D71" s="981"/>
      <c r="E71" s="279">
        <v>1</v>
      </c>
      <c r="F71" s="279">
        <v>1.5</v>
      </c>
      <c r="G71" s="553"/>
      <c r="H71" s="279">
        <f>IF(H32+H38&gt;0,0.5,IF(G71&gt;=80%,F71,IF(G71&lt;65%,0,E71)))</f>
        <v>0</v>
      </c>
      <c r="Q71" s="52"/>
      <c r="R71" s="44"/>
    </row>
    <row r="72" spans="1:18" s="29" customFormat="1" ht="46.5" customHeight="1">
      <c r="A72" s="598" t="s">
        <v>211</v>
      </c>
      <c r="B72" s="839" t="s">
        <v>219</v>
      </c>
      <c r="C72" s="840"/>
      <c r="D72" s="982"/>
      <c r="E72" s="279">
        <v>1</v>
      </c>
      <c r="F72" s="279">
        <v>1.5</v>
      </c>
      <c r="G72" s="553"/>
      <c r="H72" s="279">
        <f>IF(H32+H38&gt;0,0.5,IF(G72&gt;=80%,F72,IF(G72&lt;65%,0,E72)))</f>
        <v>0</v>
      </c>
      <c r="Q72" s="52"/>
      <c r="R72" s="44"/>
    </row>
    <row r="73" spans="1:18" s="29" customFormat="1">
      <c r="A73" s="597">
        <v>7.4</v>
      </c>
      <c r="B73" s="923" t="s">
        <v>393</v>
      </c>
      <c r="C73" s="923"/>
      <c r="D73" s="332" t="s">
        <v>2</v>
      </c>
      <c r="E73" s="279">
        <v>1</v>
      </c>
      <c r="F73" s="279">
        <v>1.5</v>
      </c>
      <c r="G73" s="553"/>
      <c r="H73" s="279">
        <f>IF(G73&gt;=80%,F73,IF(G73&lt;65%,0,E73))</f>
        <v>0</v>
      </c>
      <c r="Q73" s="52"/>
      <c r="R73" s="44"/>
    </row>
    <row r="74" spans="1:18" s="29" customFormat="1" ht="15" customHeight="1">
      <c r="A74" s="600">
        <v>7.5</v>
      </c>
      <c r="B74" s="928" t="s">
        <v>380</v>
      </c>
      <c r="C74" s="928"/>
      <c r="D74" s="490" t="s">
        <v>377</v>
      </c>
      <c r="E74" s="979">
        <v>2</v>
      </c>
      <c r="F74" s="979"/>
      <c r="G74" s="552"/>
      <c r="H74" s="557">
        <f>IF(G74&gt;=5%,E74,0)</f>
        <v>0</v>
      </c>
      <c r="Q74" s="52"/>
      <c r="R74" s="44"/>
    </row>
    <row r="75" spans="1:18" s="29" customFormat="1" ht="15.6">
      <c r="A75" s="66" t="s">
        <v>212</v>
      </c>
      <c r="B75" s="66" t="s">
        <v>517</v>
      </c>
      <c r="C75" s="67"/>
      <c r="D75" s="68"/>
      <c r="E75" s="69"/>
      <c r="F75" s="69"/>
      <c r="G75" s="69"/>
      <c r="H75" s="601"/>
      <c r="Q75" s="52"/>
      <c r="R75" s="44"/>
    </row>
    <row r="76" spans="1:18" s="29" customFormat="1">
      <c r="A76" s="597">
        <v>8.1</v>
      </c>
      <c r="B76" s="836" t="s">
        <v>220</v>
      </c>
      <c r="C76" s="836"/>
      <c r="D76" s="5" t="s">
        <v>50</v>
      </c>
      <c r="E76" s="20">
        <v>2</v>
      </c>
      <c r="F76" s="20">
        <v>2.5</v>
      </c>
      <c r="G76" s="553"/>
      <c r="H76" s="20">
        <f>IF(G76&gt;=80%,F76,IF(G76&lt;65%,0,E76))</f>
        <v>0</v>
      </c>
      <c r="I76" s="70"/>
      <c r="Q76" s="52"/>
      <c r="R76" s="44"/>
    </row>
    <row r="77" spans="1:18" s="29" customFormat="1">
      <c r="A77" s="597">
        <v>8.1999999999999993</v>
      </c>
      <c r="B77" s="836" t="s">
        <v>221</v>
      </c>
      <c r="C77" s="836"/>
      <c r="D77" s="5" t="s">
        <v>50</v>
      </c>
      <c r="E77" s="20">
        <v>2</v>
      </c>
      <c r="F77" s="20">
        <v>2.5</v>
      </c>
      <c r="G77" s="553"/>
      <c r="H77" s="20">
        <f>IF(G77&gt;=80%,F77,IF(G77&lt;65%,0,E77))</f>
        <v>0</v>
      </c>
      <c r="I77" s="11"/>
      <c r="J77" s="11"/>
      <c r="K77" s="11"/>
      <c r="Q77" s="52"/>
      <c r="R77" s="44"/>
    </row>
    <row r="78" spans="1:18" s="29" customFormat="1" ht="30.6" customHeight="1">
      <c r="A78" s="602">
        <v>8.3000000000000007</v>
      </c>
      <c r="B78" s="825" t="s">
        <v>607</v>
      </c>
      <c r="C78" s="827"/>
      <c r="D78" s="420" t="s">
        <v>50</v>
      </c>
      <c r="E78" s="434">
        <v>2</v>
      </c>
      <c r="F78" s="434">
        <v>2.5</v>
      </c>
      <c r="G78" s="553"/>
      <c r="H78" s="279">
        <f>IF(H76&gt;0,0,IF(G78&gt;=80%,F78,IF(G78&lt;65%,0,E78)))</f>
        <v>0</v>
      </c>
      <c r="I78" s="11"/>
      <c r="J78" s="11"/>
      <c r="K78" s="11"/>
      <c r="Q78" s="52"/>
      <c r="R78" s="44"/>
    </row>
    <row r="79" spans="1:18" s="29" customFormat="1">
      <c r="A79" s="602">
        <v>8.4</v>
      </c>
      <c r="B79" s="917" t="s">
        <v>138</v>
      </c>
      <c r="C79" s="843"/>
      <c r="D79" s="420" t="s">
        <v>2</v>
      </c>
      <c r="E79" s="434">
        <v>2</v>
      </c>
      <c r="F79" s="434">
        <v>2.5</v>
      </c>
      <c r="G79" s="30"/>
      <c r="H79" s="20">
        <f>IF(G79&gt;=80%,F79,IF(G79&lt;65%,0,E79))</f>
        <v>0</v>
      </c>
      <c r="Q79" s="52"/>
      <c r="R79" s="44"/>
    </row>
    <row r="80" spans="1:18" s="29" customFormat="1" ht="15.6">
      <c r="A80" s="66" t="s">
        <v>213</v>
      </c>
      <c r="B80" s="66" t="s">
        <v>518</v>
      </c>
      <c r="C80" s="67"/>
      <c r="D80" s="68"/>
      <c r="E80" s="69"/>
      <c r="F80" s="69"/>
      <c r="G80" s="69"/>
      <c r="H80" s="601"/>
      <c r="Q80" s="52"/>
      <c r="R80" s="44"/>
    </row>
    <row r="81" spans="1:18" s="29" customFormat="1" ht="31.5" customHeight="1">
      <c r="A81" s="602">
        <v>9.1</v>
      </c>
      <c r="B81" s="978" t="s">
        <v>514</v>
      </c>
      <c r="C81" s="978"/>
      <c r="D81" s="420" t="s">
        <v>50</v>
      </c>
      <c r="E81" s="434" t="s">
        <v>49</v>
      </c>
      <c r="F81" s="434">
        <v>2.5</v>
      </c>
      <c r="G81" s="517">
        <f>F21</f>
        <v>0</v>
      </c>
      <c r="H81" s="434">
        <f>IF(G81&gt;=80%,F81,0)</f>
        <v>0</v>
      </c>
      <c r="Q81" s="52"/>
      <c r="R81" s="44"/>
    </row>
    <row r="82" spans="1:18" s="29" customFormat="1" ht="31.5" customHeight="1">
      <c r="A82" s="602">
        <v>9.1999999999999993</v>
      </c>
      <c r="B82" s="825" t="s">
        <v>608</v>
      </c>
      <c r="C82" s="827"/>
      <c r="D82" s="420" t="s">
        <v>50</v>
      </c>
      <c r="E82" s="434">
        <v>2</v>
      </c>
      <c r="F82" s="434">
        <v>2.5</v>
      </c>
      <c r="G82" s="553"/>
      <c r="H82" s="279">
        <f>IF(G82&gt;=80%,F82,IF(G82&lt;65%,0,E82))</f>
        <v>0</v>
      </c>
      <c r="Q82" s="52"/>
      <c r="R82" s="44"/>
    </row>
    <row r="83" spans="1:18" s="29" customFormat="1" ht="15.6">
      <c r="A83" s="71" t="s">
        <v>214</v>
      </c>
      <c r="B83" s="71" t="s">
        <v>202</v>
      </c>
      <c r="C83" s="57"/>
      <c r="D83" s="57"/>
      <c r="E83" s="72"/>
      <c r="F83" s="72"/>
      <c r="G83" s="73"/>
      <c r="H83" s="603"/>
      <c r="Q83" s="52"/>
      <c r="R83" s="44"/>
    </row>
    <row r="84" spans="1:18" s="29" customFormat="1">
      <c r="A84" s="597">
        <v>10.1</v>
      </c>
      <c r="B84" s="776"/>
      <c r="C84" s="776"/>
      <c r="D84" s="520"/>
      <c r="E84" s="537"/>
      <c r="F84" s="537"/>
      <c r="G84" s="553"/>
      <c r="H84" s="20">
        <f>IF(G84&gt;=80%,F84,IF(G84&lt;65%,0,E84))</f>
        <v>0</v>
      </c>
      <c r="Q84" s="52"/>
      <c r="R84" s="44"/>
    </row>
    <row r="85" spans="1:18" s="29" customFormat="1">
      <c r="A85" s="597">
        <v>10.199999999999999</v>
      </c>
      <c r="B85" s="776"/>
      <c r="C85" s="776"/>
      <c r="D85" s="520"/>
      <c r="E85" s="537"/>
      <c r="F85" s="537"/>
      <c r="G85" s="553"/>
      <c r="H85" s="20">
        <f>IF(G85&gt;=80%,F85,IF(G85&lt;65%,0,E85))</f>
        <v>0</v>
      </c>
      <c r="Q85" s="52"/>
      <c r="R85" s="44"/>
    </row>
    <row r="86" spans="1:18" s="29" customFormat="1">
      <c r="A86" s="597">
        <v>10.3</v>
      </c>
      <c r="B86" s="776"/>
      <c r="C86" s="776"/>
      <c r="D86" s="520"/>
      <c r="E86" s="537"/>
      <c r="F86" s="537"/>
      <c r="G86" s="553"/>
      <c r="H86" s="20">
        <f>IF(G86&gt;=80%,F86,IF(G86&lt;65%,0,E86))</f>
        <v>0</v>
      </c>
      <c r="Q86" s="52"/>
      <c r="R86" s="44"/>
    </row>
    <row r="87" spans="1:18" s="29" customFormat="1" ht="15.6">
      <c r="A87" s="604"/>
      <c r="B87" s="307"/>
      <c r="C87" s="305"/>
      <c r="D87" s="305"/>
      <c r="E87" s="308"/>
      <c r="F87" s="309"/>
      <c r="G87" s="310" t="s">
        <v>375</v>
      </c>
      <c r="H87" s="605">
        <f>IFERROR((SUM(H64:H86)),0)</f>
        <v>0</v>
      </c>
      <c r="Q87" s="52"/>
      <c r="R87" s="44"/>
    </row>
    <row r="88" spans="1:18" s="29" customFormat="1">
      <c r="A88" s="592"/>
      <c r="B88" s="307"/>
      <c r="C88" s="305"/>
      <c r="D88" s="305"/>
      <c r="E88" s="305"/>
      <c r="F88" s="305"/>
      <c r="G88" s="311"/>
      <c r="H88" s="571"/>
      <c r="Q88" s="52"/>
      <c r="R88" s="44"/>
    </row>
    <row r="89" spans="1:18" s="29" customFormat="1" ht="15.6">
      <c r="A89" s="592"/>
      <c r="B89" s="307"/>
      <c r="C89" s="305"/>
      <c r="D89" s="305"/>
      <c r="E89" s="305"/>
      <c r="F89" s="305"/>
      <c r="G89" s="312" t="s">
        <v>128</v>
      </c>
      <c r="H89" s="74">
        <f>IFERROR(MIN(G27,H59+H87),0)</f>
        <v>0</v>
      </c>
      <c r="Q89" s="52"/>
      <c r="R89" s="44"/>
    </row>
    <row r="90" spans="1:18" s="29" customFormat="1" ht="16.2" thickBot="1">
      <c r="A90" s="594"/>
      <c r="B90" s="361"/>
      <c r="C90" s="362"/>
      <c r="D90" s="362"/>
      <c r="E90" s="362"/>
      <c r="F90" s="362"/>
      <c r="G90" s="364"/>
      <c r="H90" s="606"/>
      <c r="Q90" s="52"/>
      <c r="R90" s="44"/>
    </row>
    <row r="91" spans="1:18" s="29" customFormat="1" ht="15.6">
      <c r="A91" s="607" t="s">
        <v>51</v>
      </c>
      <c r="B91" s="358"/>
      <c r="C91" s="358"/>
      <c r="D91" s="358"/>
      <c r="E91" s="358"/>
      <c r="F91" s="359" t="s">
        <v>42</v>
      </c>
      <c r="G91" s="360">
        <f>VLOOKUP($A$7,'Manpower allocation'!A4:D11,3,FALSE)*100</f>
        <v>40</v>
      </c>
      <c r="H91" s="608" t="s">
        <v>41</v>
      </c>
      <c r="I91" s="75">
        <f>VLOOKUP($A$7,'Manpower allocation'!A4:D11,3,FALSE)*100</f>
        <v>40</v>
      </c>
      <c r="Q91" s="52"/>
      <c r="R91" s="44"/>
    </row>
    <row r="92" spans="1:18" s="29" customFormat="1" ht="15.6">
      <c r="A92" s="592"/>
      <c r="B92" s="313"/>
      <c r="C92" s="308"/>
      <c r="D92" s="305"/>
      <c r="E92" s="305"/>
      <c r="F92" s="305"/>
      <c r="G92" s="314"/>
      <c r="H92" s="571"/>
      <c r="Q92" s="52"/>
      <c r="R92" s="44"/>
    </row>
    <row r="93" spans="1:18" s="29" customFormat="1" ht="46.8">
      <c r="A93" s="609" t="s">
        <v>0</v>
      </c>
      <c r="B93" s="556"/>
      <c r="C93" s="156"/>
      <c r="D93" s="76"/>
      <c r="E93" s="77" t="s">
        <v>17</v>
      </c>
      <c r="F93" s="78" t="s">
        <v>80</v>
      </c>
      <c r="G93" s="78" t="s">
        <v>20</v>
      </c>
      <c r="H93" s="550" t="s">
        <v>52</v>
      </c>
      <c r="Q93" s="52"/>
      <c r="R93" s="44"/>
    </row>
    <row r="94" spans="1:18" s="29" customFormat="1" ht="15.6">
      <c r="A94" s="79" t="s">
        <v>280</v>
      </c>
      <c r="B94" s="79" t="s">
        <v>298</v>
      </c>
      <c r="C94" s="80"/>
      <c r="D94" s="80"/>
      <c r="E94" s="81"/>
      <c r="F94" s="81"/>
      <c r="G94" s="81"/>
      <c r="H94" s="610"/>
      <c r="Q94" s="52"/>
      <c r="R94" s="44"/>
    </row>
    <row r="95" spans="1:18" s="29" customFormat="1" ht="15.6">
      <c r="A95" s="82">
        <v>1</v>
      </c>
      <c r="B95" s="82" t="s">
        <v>304</v>
      </c>
      <c r="C95" s="83"/>
      <c r="D95" s="83"/>
      <c r="E95" s="84"/>
      <c r="F95" s="84"/>
      <c r="G95" s="84"/>
      <c r="H95" s="611"/>
      <c r="Q95" s="52"/>
      <c r="R95" s="44"/>
    </row>
    <row r="96" spans="1:18" s="29" customFormat="1">
      <c r="A96" s="597">
        <v>1.1000000000000001</v>
      </c>
      <c r="B96" s="858" t="s">
        <v>271</v>
      </c>
      <c r="C96" s="823"/>
      <c r="D96" s="824"/>
      <c r="E96" s="85">
        <f>VLOOKUP(A96,'Point Allocation'!$A$20:$J$41,MATCH(A7,'Point Allocation'!$A$20:$J$20,0),0)</f>
        <v>30</v>
      </c>
      <c r="F96" s="86"/>
      <c r="G96" s="87">
        <f>IFERROR(F96/$F$120,0)</f>
        <v>0</v>
      </c>
      <c r="H96" s="612">
        <f>E96*G96</f>
        <v>0</v>
      </c>
      <c r="Q96" s="44"/>
      <c r="R96" s="44"/>
    </row>
    <row r="97" spans="1:18" s="29" customFormat="1" ht="15.6">
      <c r="A97" s="88">
        <v>2</v>
      </c>
      <c r="B97" s="88" t="s">
        <v>305</v>
      </c>
      <c r="C97" s="89"/>
      <c r="D97" s="90"/>
      <c r="E97" s="90"/>
      <c r="F97" s="91"/>
      <c r="G97" s="92"/>
      <c r="H97" s="613"/>
      <c r="Q97" s="52"/>
      <c r="R97" s="44"/>
    </row>
    <row r="98" spans="1:18" s="29" customFormat="1">
      <c r="A98" s="814">
        <v>2.1</v>
      </c>
      <c r="B98" s="822" t="s">
        <v>196</v>
      </c>
      <c r="C98" s="823"/>
      <c r="D98" s="824"/>
      <c r="E98" s="819">
        <f>VLOOKUP(A98,'Point Allocation'!$A$20:$J$41,MATCH(A7,'Point Allocation'!$A$20:$J$20,0),0)</f>
        <v>28</v>
      </c>
      <c r="F98" s="820"/>
      <c r="G98" s="821">
        <f>IFERROR(F98/$F$120,0)</f>
        <v>0</v>
      </c>
      <c r="H98" s="819">
        <f>E98*G98</f>
        <v>0</v>
      </c>
      <c r="Q98" s="52"/>
      <c r="R98" s="44"/>
    </row>
    <row r="99" spans="1:18" s="29" customFormat="1" ht="15.6">
      <c r="A99" s="878"/>
      <c r="B99" s="816" t="s">
        <v>119</v>
      </c>
      <c r="C99" s="817"/>
      <c r="D99" s="818"/>
      <c r="E99" s="819"/>
      <c r="F99" s="820"/>
      <c r="G99" s="821"/>
      <c r="H99" s="819"/>
      <c r="Q99" s="52"/>
      <c r="R99" s="44"/>
    </row>
    <row r="100" spans="1:18" s="29" customFormat="1">
      <c r="A100" s="814">
        <v>2.2000000000000002</v>
      </c>
      <c r="B100" s="825" t="s">
        <v>606</v>
      </c>
      <c r="C100" s="826"/>
      <c r="D100" s="827"/>
      <c r="E100" s="819">
        <f>VLOOKUP(A100,'Point Allocation'!$A$20:$J$41,MATCH(A7,'Point Allocation'!$A$20:$J$20,0),0)</f>
        <v>28</v>
      </c>
      <c r="F100" s="820"/>
      <c r="G100" s="821">
        <f>IFERROR(F100/$F$120,0)</f>
        <v>0</v>
      </c>
      <c r="H100" s="819">
        <f>E100*G100</f>
        <v>0</v>
      </c>
      <c r="Q100" s="52"/>
      <c r="R100" s="44"/>
    </row>
    <row r="101" spans="1:18" s="29" customFormat="1" ht="15.6">
      <c r="A101" s="815"/>
      <c r="B101" s="816" t="s">
        <v>119</v>
      </c>
      <c r="C101" s="817"/>
      <c r="D101" s="818"/>
      <c r="E101" s="819"/>
      <c r="F101" s="820"/>
      <c r="G101" s="821"/>
      <c r="H101" s="819"/>
      <c r="Q101" s="52"/>
      <c r="R101" s="44"/>
    </row>
    <row r="102" spans="1:18" s="29" customFormat="1" ht="15.6">
      <c r="A102" s="82">
        <v>3</v>
      </c>
      <c r="B102" s="82" t="s">
        <v>306</v>
      </c>
      <c r="C102" s="89"/>
      <c r="D102" s="89"/>
      <c r="E102" s="91"/>
      <c r="F102" s="91"/>
      <c r="G102" s="92"/>
      <c r="H102" s="614"/>
      <c r="Q102" s="52"/>
      <c r="R102" s="44"/>
    </row>
    <row r="103" spans="1:18" s="29" customFormat="1">
      <c r="A103" s="814">
        <v>3.1</v>
      </c>
      <c r="B103" s="822" t="s">
        <v>197</v>
      </c>
      <c r="C103" s="823"/>
      <c r="D103" s="824"/>
      <c r="E103" s="819">
        <f>VLOOKUP(A103,'Point Allocation'!$A$20:$J$41,MATCH(A7,'Point Allocation'!$A$20:$J$20,0),0)</f>
        <v>27</v>
      </c>
      <c r="F103" s="820"/>
      <c r="G103" s="821">
        <f>IFERROR(F103/$F$120,0)</f>
        <v>0</v>
      </c>
      <c r="H103" s="819">
        <f>E103*G103</f>
        <v>0</v>
      </c>
      <c r="Q103" s="52"/>
      <c r="R103" s="44"/>
    </row>
    <row r="104" spans="1:18" s="29" customFormat="1" ht="15.6">
      <c r="A104" s="878"/>
      <c r="B104" s="816" t="s">
        <v>267</v>
      </c>
      <c r="C104" s="817"/>
      <c r="D104" s="818"/>
      <c r="E104" s="819"/>
      <c r="F104" s="820"/>
      <c r="G104" s="821"/>
      <c r="H104" s="819"/>
      <c r="Q104" s="52"/>
      <c r="R104" s="44"/>
    </row>
    <row r="105" spans="1:18" s="29" customFormat="1" ht="15.6">
      <c r="A105" s="82">
        <v>4</v>
      </c>
      <c r="B105" s="82" t="s">
        <v>307</v>
      </c>
      <c r="C105" s="89"/>
      <c r="D105" s="89"/>
      <c r="E105" s="91"/>
      <c r="F105" s="91"/>
      <c r="G105" s="92"/>
      <c r="H105" s="614"/>
      <c r="Q105" s="52"/>
      <c r="R105" s="44"/>
    </row>
    <row r="106" spans="1:18" s="29" customFormat="1" ht="30" customHeight="1">
      <c r="A106" s="598" t="s">
        <v>194</v>
      </c>
      <c r="B106" s="833" t="s">
        <v>273</v>
      </c>
      <c r="C106" s="834"/>
      <c r="D106" s="835"/>
      <c r="E106" s="93">
        <f>VLOOKUP(A106,'Point Allocation'!$A$20:$J$41,MATCH(A7,'Point Allocation'!$A$20:$J$20,0),0)</f>
        <v>25</v>
      </c>
      <c r="F106" s="538"/>
      <c r="G106" s="539">
        <f>IFERROR(F106/$F$120,0)</f>
        <v>0</v>
      </c>
      <c r="H106" s="94">
        <f>E106*G106</f>
        <v>0</v>
      </c>
      <c r="Q106" s="939"/>
      <c r="R106" s="44"/>
    </row>
    <row r="107" spans="1:18" s="29" customFormat="1">
      <c r="A107" s="598" t="s">
        <v>195</v>
      </c>
      <c r="B107" s="833" t="s">
        <v>274</v>
      </c>
      <c r="C107" s="834"/>
      <c r="D107" s="835"/>
      <c r="E107" s="93">
        <f>VLOOKUP(A107,'Point Allocation'!$A$20:$J$41,MATCH(A7,'Point Allocation'!$A$20:$J$20,0),0)</f>
        <v>25</v>
      </c>
      <c r="F107" s="538"/>
      <c r="G107" s="539">
        <f>IFERROR(F107/$F$120,0)</f>
        <v>0</v>
      </c>
      <c r="H107" s="94">
        <f>E107*G107</f>
        <v>0</v>
      </c>
      <c r="Q107" s="939"/>
      <c r="R107" s="44"/>
    </row>
    <row r="108" spans="1:18" s="29" customFormat="1">
      <c r="A108" s="597">
        <v>4.2</v>
      </c>
      <c r="B108" s="848" t="s">
        <v>198</v>
      </c>
      <c r="C108" s="924"/>
      <c r="D108" s="849"/>
      <c r="E108" s="93">
        <f>VLOOKUP(A108,'Point Allocation'!$A$20:$J$41,MATCH(A7,'Point Allocation'!$A$20:$J$20,0),0)</f>
        <v>25</v>
      </c>
      <c r="F108" s="538"/>
      <c r="G108" s="539">
        <f>IFERROR(F108/$F$120,0)</f>
        <v>0</v>
      </c>
      <c r="H108" s="94">
        <f>E108*G108</f>
        <v>0</v>
      </c>
      <c r="Q108" s="52"/>
      <c r="R108" s="44"/>
    </row>
    <row r="109" spans="1:18" s="29" customFormat="1">
      <c r="A109" s="597">
        <v>4.3</v>
      </c>
      <c r="B109" s="925" t="s">
        <v>150</v>
      </c>
      <c r="C109" s="926"/>
      <c r="D109" s="927"/>
      <c r="E109" s="93">
        <f>VLOOKUP(A109,'Point Allocation'!$A$20:$J$41,MATCH(A7,'Point Allocation'!$A$20:$J$20,0),0)</f>
        <v>25</v>
      </c>
      <c r="F109" s="538"/>
      <c r="G109" s="539">
        <f>IFERROR(F109/$F$120,0)</f>
        <v>0</v>
      </c>
      <c r="H109" s="174">
        <f>E109*G109</f>
        <v>0</v>
      </c>
      <c r="Q109" s="52"/>
      <c r="R109" s="44"/>
    </row>
    <row r="110" spans="1:18" s="29" customFormat="1">
      <c r="A110" s="597">
        <v>4.4000000000000004</v>
      </c>
      <c r="B110" s="925" t="s">
        <v>320</v>
      </c>
      <c r="C110" s="926"/>
      <c r="D110" s="927"/>
      <c r="E110" s="93">
        <f>VLOOKUP(A110,'Point Allocation'!$A$20:$J$41,MATCH(A7,'Point Allocation'!$A$20:$J$20,0),0)</f>
        <v>22</v>
      </c>
      <c r="F110" s="538"/>
      <c r="G110" s="539">
        <f>IFERROR(F110/$F$120,0)</f>
        <v>0</v>
      </c>
      <c r="H110" s="174">
        <f>E110*G110</f>
        <v>0</v>
      </c>
      <c r="Q110" s="52"/>
      <c r="R110" s="44"/>
    </row>
    <row r="111" spans="1:18" s="29" customFormat="1" ht="15.6">
      <c r="A111" s="95" t="s">
        <v>281</v>
      </c>
      <c r="B111" s="95" t="s">
        <v>223</v>
      </c>
      <c r="C111" s="96"/>
      <c r="D111" s="97"/>
      <c r="E111" s="98"/>
      <c r="F111" s="99"/>
      <c r="G111" s="100"/>
      <c r="H111" s="615"/>
      <c r="Q111" s="52"/>
      <c r="R111" s="44"/>
    </row>
    <row r="112" spans="1:18" s="29" customFormat="1" ht="15.6">
      <c r="A112" s="82">
        <v>5</v>
      </c>
      <c r="B112" s="82" t="s">
        <v>224</v>
      </c>
      <c r="C112" s="89"/>
      <c r="D112" s="89"/>
      <c r="E112" s="91"/>
      <c r="F112" s="91"/>
      <c r="G112" s="92"/>
      <c r="H112" s="614"/>
      <c r="Q112" s="52"/>
      <c r="R112" s="44"/>
    </row>
    <row r="113" spans="1:18" s="29" customFormat="1">
      <c r="A113" s="597">
        <v>5.0999999999999996</v>
      </c>
      <c r="B113" s="822" t="s">
        <v>199</v>
      </c>
      <c r="C113" s="823"/>
      <c r="D113" s="824"/>
      <c r="E113" s="101">
        <f>VLOOKUP(A113,'Point Allocation'!$A$20:$J$41,MATCH(A7,'Point Allocation'!$A$20:$J$20,0),0)</f>
        <v>16</v>
      </c>
      <c r="F113" s="147"/>
      <c r="G113" s="539">
        <f>IFERROR(F113/$F$120,0)</f>
        <v>0</v>
      </c>
      <c r="H113" s="547">
        <f>E113*G113</f>
        <v>0</v>
      </c>
      <c r="Q113" s="52"/>
      <c r="R113" s="44"/>
    </row>
    <row r="114" spans="1:18" s="29" customFormat="1">
      <c r="A114" s="597">
        <v>5.2</v>
      </c>
      <c r="B114" s="822" t="s">
        <v>321</v>
      </c>
      <c r="C114" s="823"/>
      <c r="D114" s="824"/>
      <c r="E114" s="101">
        <f>VLOOKUP(A114,'Point Allocation'!$A$20:$J$41,MATCH(A7,'Point Allocation'!$A$20:$J$20,0),0)</f>
        <v>5</v>
      </c>
      <c r="F114" s="86"/>
      <c r="G114" s="539">
        <f>IFERROR(F114/$F$120,0)</f>
        <v>0</v>
      </c>
      <c r="H114" s="547">
        <f>E114*G114</f>
        <v>0</v>
      </c>
      <c r="Q114" s="52"/>
      <c r="R114" s="44"/>
    </row>
    <row r="115" spans="1:18" s="29" customFormat="1">
      <c r="A115" s="597">
        <v>5.3</v>
      </c>
      <c r="B115" s="822" t="s">
        <v>322</v>
      </c>
      <c r="C115" s="823"/>
      <c r="D115" s="824"/>
      <c r="E115" s="101">
        <f>VLOOKUP(A115,'Point Allocation'!$A$20:$J$41,MATCH(A7,'Point Allocation'!$A$20:$J$20,0),0)</f>
        <v>0</v>
      </c>
      <c r="F115" s="146"/>
      <c r="G115" s="539">
        <f>IFERROR(F115/$F$120,0)</f>
        <v>0</v>
      </c>
      <c r="H115" s="616">
        <f>E115*G115</f>
        <v>0</v>
      </c>
      <c r="Q115" s="52"/>
      <c r="R115" s="44"/>
    </row>
    <row r="116" spans="1:18" s="29" customFormat="1" ht="15.6">
      <c r="A116" s="102">
        <v>6</v>
      </c>
      <c r="B116" s="102" t="s">
        <v>202</v>
      </c>
      <c r="C116" s="89"/>
      <c r="D116" s="89"/>
      <c r="E116" s="91"/>
      <c r="F116" s="91"/>
      <c r="G116" s="92"/>
      <c r="H116" s="614"/>
      <c r="Q116" s="52"/>
      <c r="R116" s="44"/>
    </row>
    <row r="117" spans="1:18" s="29" customFormat="1">
      <c r="A117" s="386">
        <v>6.1</v>
      </c>
      <c r="B117" s="765"/>
      <c r="C117" s="766"/>
      <c r="D117" s="847"/>
      <c r="E117" s="538"/>
      <c r="F117" s="538"/>
      <c r="G117" s="539">
        <f>IFERROR(F117/$F$120,0)</f>
        <v>0</v>
      </c>
      <c r="H117" s="616">
        <f>E117*G117</f>
        <v>0</v>
      </c>
      <c r="Q117" s="52"/>
      <c r="R117" s="44"/>
    </row>
    <row r="118" spans="1:18" s="29" customFormat="1">
      <c r="A118" s="386">
        <v>6.2</v>
      </c>
      <c r="B118" s="765"/>
      <c r="C118" s="766"/>
      <c r="D118" s="847"/>
      <c r="E118" s="538"/>
      <c r="F118" s="538"/>
      <c r="G118" s="539">
        <f>IFERROR(F118/$F$120,0)</f>
        <v>0</v>
      </c>
      <c r="H118" s="616">
        <f>E118*G118</f>
        <v>0</v>
      </c>
      <c r="Q118" s="52"/>
      <c r="R118" s="44"/>
    </row>
    <row r="119" spans="1:18" s="29" customFormat="1">
      <c r="A119" s="386">
        <v>6.3</v>
      </c>
      <c r="B119" s="920"/>
      <c r="C119" s="920"/>
      <c r="D119" s="920"/>
      <c r="E119" s="538"/>
      <c r="F119" s="538"/>
      <c r="G119" s="539">
        <f>IFERROR(F119/$F$120,0)</f>
        <v>0</v>
      </c>
      <c r="H119" s="616">
        <f>E119*G119</f>
        <v>0</v>
      </c>
      <c r="Q119" s="52"/>
      <c r="R119" s="44"/>
    </row>
    <row r="120" spans="1:18" s="29" customFormat="1" ht="15.6">
      <c r="A120" s="604"/>
      <c r="B120" s="307"/>
      <c r="C120" s="305"/>
      <c r="D120" s="305"/>
      <c r="E120" s="312" t="s">
        <v>61</v>
      </c>
      <c r="F120" s="315">
        <f>SUM(F96:F119)+E19</f>
        <v>0</v>
      </c>
      <c r="G120" s="316">
        <f>SUM(G96:G119)+F19</f>
        <v>0</v>
      </c>
      <c r="H120" s="617">
        <f>IFERROR(SUM(H96:H119),0)</f>
        <v>0</v>
      </c>
      <c r="Q120" s="52"/>
      <c r="R120" s="44"/>
    </row>
    <row r="121" spans="1:18" s="29" customFormat="1" ht="15.6" thickBot="1">
      <c r="A121" s="594"/>
      <c r="B121" s="361"/>
      <c r="C121" s="362"/>
      <c r="D121" s="362"/>
      <c r="E121" s="362"/>
      <c r="F121" s="362"/>
      <c r="G121" s="354"/>
      <c r="H121" s="595"/>
      <c r="Q121" s="52"/>
      <c r="R121" s="44"/>
    </row>
    <row r="122" spans="1:18" s="29" customFormat="1" ht="31.2">
      <c r="A122" s="618" t="s">
        <v>0</v>
      </c>
      <c r="B122" s="458"/>
      <c r="C122" s="458"/>
      <c r="D122" s="549" t="s">
        <v>17</v>
      </c>
      <c r="E122" s="459" t="s">
        <v>80</v>
      </c>
      <c r="F122" s="460" t="s">
        <v>301</v>
      </c>
      <c r="G122" s="460" t="s">
        <v>302</v>
      </c>
      <c r="H122" s="549" t="s">
        <v>52</v>
      </c>
      <c r="Q122" s="52"/>
      <c r="R122" s="44"/>
    </row>
    <row r="123" spans="1:18" s="29" customFormat="1" ht="15.6">
      <c r="A123" s="79" t="s">
        <v>225</v>
      </c>
      <c r="B123" s="79" t="s">
        <v>299</v>
      </c>
      <c r="C123" s="80"/>
      <c r="D123" s="81"/>
      <c r="E123" s="81"/>
      <c r="F123" s="81"/>
      <c r="G123" s="81"/>
      <c r="H123" s="610"/>
      <c r="Q123" s="52"/>
      <c r="R123" s="44"/>
    </row>
    <row r="124" spans="1:18" s="29" customFormat="1" ht="15.6">
      <c r="A124" s="82">
        <v>7</v>
      </c>
      <c r="B124" s="82" t="s">
        <v>304</v>
      </c>
      <c r="C124" s="83"/>
      <c r="D124" s="84"/>
      <c r="E124" s="84"/>
      <c r="F124" s="84"/>
      <c r="G124" s="84"/>
      <c r="H124" s="611"/>
      <c r="Q124" s="52"/>
      <c r="R124" s="44"/>
    </row>
    <row r="125" spans="1:18" s="29" customFormat="1" ht="15" customHeight="1">
      <c r="A125" s="543">
        <v>7.1</v>
      </c>
      <c r="B125" s="858" t="s">
        <v>271</v>
      </c>
      <c r="C125" s="840"/>
      <c r="D125" s="94">
        <f>VLOOKUP(A125,'Point Allocation'!$A$20:$J$41,MATCH(A7,'Point Allocation'!$A$20:$J$20,0),0)</f>
        <v>10</v>
      </c>
      <c r="E125" s="85">
        <f>F96</f>
        <v>0</v>
      </c>
      <c r="F125" s="85">
        <f>F32</f>
        <v>0</v>
      </c>
      <c r="G125" s="87">
        <f>IFERROR(SUM(E125:F125)/SUM($E$143:$F$143),0)</f>
        <v>0</v>
      </c>
      <c r="H125" s="612">
        <f>D125*G125</f>
        <v>0</v>
      </c>
      <c r="Q125" s="52"/>
      <c r="R125" s="44"/>
    </row>
    <row r="126" spans="1:18" s="29" customFormat="1" ht="15.6">
      <c r="A126" s="88">
        <v>8</v>
      </c>
      <c r="B126" s="88" t="s">
        <v>305</v>
      </c>
      <c r="C126" s="89"/>
      <c r="D126" s="90"/>
      <c r="E126" s="91"/>
      <c r="F126" s="91"/>
      <c r="G126" s="92"/>
      <c r="H126" s="613"/>
      <c r="Q126" s="52"/>
      <c r="R126" s="44"/>
    </row>
    <row r="127" spans="1:18" s="29" customFormat="1">
      <c r="A127" s="814">
        <v>8.1</v>
      </c>
      <c r="B127" s="822" t="s">
        <v>303</v>
      </c>
      <c r="C127" s="824"/>
      <c r="D127" s="921">
        <f>VLOOKUP(A127,'Point Allocation'!$A$20:$J$41,MATCH(A7,'Point Allocation'!$A$20:$J$20,0),0)</f>
        <v>8</v>
      </c>
      <c r="E127" s="945">
        <f>F98</f>
        <v>0</v>
      </c>
      <c r="F127" s="946"/>
      <c r="G127" s="983">
        <f>IFERROR(SUM(E127:F128)/SUM($E$143:$F$143),0)</f>
        <v>0</v>
      </c>
      <c r="H127" s="819">
        <f>D127*G127</f>
        <v>0</v>
      </c>
      <c r="Q127" s="52"/>
      <c r="R127" s="44"/>
    </row>
    <row r="128" spans="1:18" s="29" customFormat="1" ht="15.6">
      <c r="A128" s="815"/>
      <c r="B128" s="816" t="s">
        <v>119</v>
      </c>
      <c r="C128" s="818"/>
      <c r="D128" s="922"/>
      <c r="E128" s="945"/>
      <c r="F128" s="946"/>
      <c r="G128" s="984"/>
      <c r="H128" s="819"/>
      <c r="Q128" s="52"/>
      <c r="R128" s="44"/>
    </row>
    <row r="129" spans="1:18" s="29" customFormat="1">
      <c r="A129" s="543">
        <v>8.1999999999999993</v>
      </c>
      <c r="B129" s="825" t="s">
        <v>606</v>
      </c>
      <c r="C129" s="827"/>
      <c r="D129" s="94">
        <f>VLOOKUP(A129,'Point Allocation'!$A$20:$J$41,MATCH(A7,'Point Allocation'!$A$20:$J$20,0),0)</f>
        <v>8</v>
      </c>
      <c r="E129" s="174">
        <f>F100</f>
        <v>0</v>
      </c>
      <c r="F129" s="555"/>
      <c r="G129" s="87">
        <f>IFERROR(SUM(E129:F129)/SUM($E$143:$F$143),0)</f>
        <v>0</v>
      </c>
      <c r="H129" s="94">
        <f>D129*G129</f>
        <v>0</v>
      </c>
      <c r="Q129" s="52"/>
      <c r="R129" s="44"/>
    </row>
    <row r="130" spans="1:18" s="29" customFormat="1" ht="15.6">
      <c r="A130" s="82">
        <v>9</v>
      </c>
      <c r="B130" s="82" t="s">
        <v>306</v>
      </c>
      <c r="C130" s="89"/>
      <c r="D130" s="91"/>
      <c r="E130" s="91"/>
      <c r="F130" s="91"/>
      <c r="G130" s="92"/>
      <c r="H130" s="614"/>
      <c r="Q130" s="52"/>
      <c r="R130" s="44"/>
    </row>
    <row r="131" spans="1:18" s="29" customFormat="1">
      <c r="A131" s="814">
        <v>9.1</v>
      </c>
      <c r="B131" s="822" t="s">
        <v>339</v>
      </c>
      <c r="C131" s="824"/>
      <c r="D131" s="921">
        <f>VLOOKUP(A131,'Point Allocation'!$A$20:$J$41,MATCH(A7,'Point Allocation'!$A$20:$J$20,0),0)</f>
        <v>6</v>
      </c>
      <c r="E131" s="946"/>
      <c r="F131" s="946"/>
      <c r="G131" s="821">
        <f>IFERROR(SUM(E131:F132)/SUM($E$143:$F$143),0)</f>
        <v>0</v>
      </c>
      <c r="H131" s="819">
        <f>D131*G131</f>
        <v>0</v>
      </c>
      <c r="Q131" s="52"/>
      <c r="R131" s="44"/>
    </row>
    <row r="132" spans="1:18" s="29" customFormat="1" ht="15.6">
      <c r="A132" s="815"/>
      <c r="B132" s="816" t="s">
        <v>5</v>
      </c>
      <c r="C132" s="818"/>
      <c r="D132" s="922"/>
      <c r="E132" s="946"/>
      <c r="F132" s="946"/>
      <c r="G132" s="821"/>
      <c r="H132" s="819"/>
      <c r="Q132" s="52"/>
      <c r="R132" s="44"/>
    </row>
    <row r="133" spans="1:18" s="29" customFormat="1" ht="15.6">
      <c r="A133" s="82">
        <v>10</v>
      </c>
      <c r="B133" s="82" t="s">
        <v>308</v>
      </c>
      <c r="C133" s="89"/>
      <c r="D133" s="91"/>
      <c r="E133" s="91"/>
      <c r="F133" s="91"/>
      <c r="G133" s="92"/>
      <c r="H133" s="614"/>
      <c r="Q133" s="52"/>
      <c r="R133" s="44"/>
    </row>
    <row r="134" spans="1:18" s="29" customFormat="1" ht="15" customHeight="1">
      <c r="A134" s="541">
        <v>10.1</v>
      </c>
      <c r="B134" s="822" t="s">
        <v>340</v>
      </c>
      <c r="C134" s="824"/>
      <c r="D134" s="94">
        <f>VLOOKUP(A134,'Point Allocation'!$A$20:$J$41,MATCH(A7,'Point Allocation'!$A$20:$J$20,0),0)</f>
        <v>4</v>
      </c>
      <c r="E134" s="555"/>
      <c r="F134" s="555"/>
      <c r="G134" s="87">
        <f>IFERROR(SUM(E134:F134)/SUM($E$143:$F$143),0)</f>
        <v>0</v>
      </c>
      <c r="H134" s="94">
        <f>D134*G134</f>
        <v>0</v>
      </c>
      <c r="Q134" s="52"/>
      <c r="R134" s="44"/>
    </row>
    <row r="135" spans="1:18" s="29" customFormat="1" ht="32.25" customHeight="1">
      <c r="A135" s="589">
        <v>10.199999999999999</v>
      </c>
      <c r="B135" s="825" t="s">
        <v>318</v>
      </c>
      <c r="C135" s="827"/>
      <c r="D135" s="94">
        <f>VLOOKUP(A135,'Point Allocation'!$A$20:$J$41,MATCH(A7,'Point Allocation'!$A$20:$J$20,0),0)</f>
        <v>4</v>
      </c>
      <c r="E135" s="173"/>
      <c r="F135" s="555"/>
      <c r="G135" s="539">
        <f>IFERROR(SUM(E135:F135)/SUM($E$143:$F$143),0)</f>
        <v>0</v>
      </c>
      <c r="H135" s="94">
        <f>D135*G135</f>
        <v>0</v>
      </c>
      <c r="Q135" s="52"/>
      <c r="R135" s="44"/>
    </row>
    <row r="136" spans="1:18" s="29" customFormat="1" ht="15.6">
      <c r="A136" s="95" t="s">
        <v>226</v>
      </c>
      <c r="B136" s="95" t="s">
        <v>248</v>
      </c>
      <c r="C136" s="96"/>
      <c r="D136" s="98"/>
      <c r="E136" s="99"/>
      <c r="F136" s="99"/>
      <c r="G136" s="100"/>
      <c r="H136" s="615"/>
      <c r="Q136" s="52"/>
      <c r="R136" s="44"/>
    </row>
    <row r="137" spans="1:18" s="29" customFormat="1" ht="15.6">
      <c r="A137" s="82">
        <v>11</v>
      </c>
      <c r="B137" s="82" t="s">
        <v>249</v>
      </c>
      <c r="C137" s="89"/>
      <c r="D137" s="91"/>
      <c r="E137" s="91"/>
      <c r="F137" s="91"/>
      <c r="G137" s="92"/>
      <c r="H137" s="614"/>
      <c r="Q137" s="52"/>
      <c r="R137" s="44"/>
    </row>
    <row r="138" spans="1:18" s="29" customFormat="1">
      <c r="A138" s="541">
        <v>11.1</v>
      </c>
      <c r="B138" s="822" t="s">
        <v>642</v>
      </c>
      <c r="C138" s="824"/>
      <c r="D138" s="94">
        <f>VLOOKUP(A138,'Point Allocation'!$A$20:$J$41,MATCH(A7,'Point Allocation'!$A$20:$J$20,0),0)</f>
        <v>2</v>
      </c>
      <c r="E138" s="555"/>
      <c r="F138" s="555"/>
      <c r="G138" s="539">
        <f>IFERROR(SUM(E138:F138)/SUM($E$143:$F$143),0)</f>
        <v>0</v>
      </c>
      <c r="H138" s="94">
        <f t="shared" ref="H138:H142" si="2">D138*G138</f>
        <v>0</v>
      </c>
      <c r="Q138" s="52"/>
      <c r="R138" s="44"/>
    </row>
    <row r="139" spans="1:18" s="29" customFormat="1">
      <c r="A139" s="619">
        <v>11.2</v>
      </c>
      <c r="B139" s="848" t="s">
        <v>310</v>
      </c>
      <c r="C139" s="849"/>
      <c r="D139" s="174">
        <f>VLOOKUP(A138,'Point Allocation'!$A$20:$J$41,MATCH(A7,'Point Allocation'!$A$20:$J$20,0),0)</f>
        <v>2</v>
      </c>
      <c r="E139" s="555"/>
      <c r="F139" s="555"/>
      <c r="G139" s="539">
        <f>IFERROR(SUM(E139:F139)/SUM($E$143:$F$143),0)</f>
        <v>0</v>
      </c>
      <c r="H139" s="94">
        <f t="shared" si="2"/>
        <v>0</v>
      </c>
      <c r="Q139" s="52"/>
      <c r="R139" s="44"/>
    </row>
    <row r="140" spans="1:18" s="29" customFormat="1">
      <c r="A140" s="541">
        <v>11.3</v>
      </c>
      <c r="B140" s="848" t="s">
        <v>317</v>
      </c>
      <c r="C140" s="849"/>
      <c r="D140" s="94">
        <f>VLOOKUP(A140,'Point Allocation'!$A$20:$J$41,MATCH(A7,'Point Allocation'!$A$20:$J$20,0),0)</f>
        <v>0</v>
      </c>
      <c r="E140" s="555"/>
      <c r="F140" s="555"/>
      <c r="G140" s="539">
        <f>IFERROR(SUM(E140:F140)/SUM($E$143:$F$143),0)</f>
        <v>0</v>
      </c>
      <c r="H140" s="94">
        <f t="shared" si="2"/>
        <v>0</v>
      </c>
      <c r="Q140" s="52"/>
      <c r="R140" s="44"/>
    </row>
    <row r="141" spans="1:18" s="29" customFormat="1">
      <c r="A141" s="620">
        <v>11.4</v>
      </c>
      <c r="B141" s="968"/>
      <c r="C141" s="969"/>
      <c r="D141" s="538"/>
      <c r="E141" s="555"/>
      <c r="F141" s="555"/>
      <c r="G141" s="539">
        <f>IFERROR(SUM(E141:F141)/SUM($E$143:$F$143),0)</f>
        <v>0</v>
      </c>
      <c r="H141" s="94">
        <f t="shared" si="2"/>
        <v>0</v>
      </c>
      <c r="Q141" s="52"/>
      <c r="R141" s="44"/>
    </row>
    <row r="142" spans="1:18" s="29" customFormat="1">
      <c r="A142" s="620">
        <v>11.5</v>
      </c>
      <c r="B142" s="968"/>
      <c r="C142" s="969"/>
      <c r="D142" s="538"/>
      <c r="E142" s="555"/>
      <c r="F142" s="555"/>
      <c r="G142" s="539">
        <f>IFERROR(SUM(E142:F142)/SUM($E$143:$F$143),0)</f>
        <v>0</v>
      </c>
      <c r="H142" s="94">
        <f t="shared" si="2"/>
        <v>0</v>
      </c>
      <c r="Q142" s="52"/>
      <c r="R142" s="44"/>
    </row>
    <row r="143" spans="1:18" s="29" customFormat="1" ht="15.6">
      <c r="A143" s="592"/>
      <c r="B143" s="307"/>
      <c r="C143" s="305"/>
      <c r="D143" s="312" t="s">
        <v>131</v>
      </c>
      <c r="E143" s="315">
        <f>SUM(E125:E142)</f>
        <v>0</v>
      </c>
      <c r="F143" s="317">
        <f>SUM(F125:F142)</f>
        <v>0</v>
      </c>
      <c r="G143" s="318">
        <f>SUM(G125:G142)</f>
        <v>0</v>
      </c>
      <c r="H143" s="621">
        <f>IFERROR(SUM(H125:H142),0)</f>
        <v>0</v>
      </c>
      <c r="Q143" s="52"/>
      <c r="R143" s="44"/>
    </row>
    <row r="144" spans="1:18" s="29" customFormat="1">
      <c r="A144" s="622"/>
      <c r="B144" s="307"/>
      <c r="C144" s="305"/>
      <c r="D144" s="305"/>
      <c r="E144" s="305"/>
      <c r="F144" s="305"/>
      <c r="G144" s="314"/>
      <c r="H144" s="571"/>
      <c r="Q144" s="52"/>
      <c r="R144" s="44"/>
    </row>
    <row r="145" spans="1:18" s="29" customFormat="1" ht="46.8">
      <c r="A145" s="970" t="s">
        <v>0</v>
      </c>
      <c r="B145" s="971"/>
      <c r="C145" s="163"/>
      <c r="D145" s="550" t="s">
        <v>57</v>
      </c>
      <c r="E145" s="550" t="s">
        <v>58</v>
      </c>
      <c r="F145" s="956" t="s">
        <v>59</v>
      </c>
      <c r="G145" s="956"/>
      <c r="H145" s="623" t="s">
        <v>62</v>
      </c>
      <c r="J145" s="103" t="s">
        <v>71</v>
      </c>
      <c r="K145" s="103">
        <v>1</v>
      </c>
      <c r="L145" s="103">
        <v>2</v>
      </c>
      <c r="M145" s="103">
        <v>3</v>
      </c>
      <c r="N145" s="103">
        <v>4</v>
      </c>
      <c r="O145" s="103">
        <v>5</v>
      </c>
      <c r="P145" s="103">
        <v>6</v>
      </c>
      <c r="Q145" s="52"/>
      <c r="R145" s="44"/>
    </row>
    <row r="146" spans="1:18" s="29" customFormat="1" ht="15.6">
      <c r="A146" s="126" t="s">
        <v>227</v>
      </c>
      <c r="B146" s="126" t="s">
        <v>139</v>
      </c>
      <c r="C146" s="162"/>
      <c r="D146" s="56"/>
      <c r="E146" s="56"/>
      <c r="F146" s="57"/>
      <c r="G146" s="104"/>
      <c r="H146" s="624"/>
      <c r="J146" s="103" t="s">
        <v>73</v>
      </c>
      <c r="K146" s="103" t="s">
        <v>72</v>
      </c>
      <c r="L146" s="103">
        <v>1</v>
      </c>
      <c r="M146" s="103">
        <v>2</v>
      </c>
      <c r="N146" s="103">
        <v>3</v>
      </c>
      <c r="O146" s="103">
        <v>4</v>
      </c>
      <c r="P146" s="103">
        <v>4</v>
      </c>
      <c r="Q146" s="52"/>
      <c r="R146" s="44"/>
    </row>
    <row r="147" spans="1:18" s="29" customFormat="1">
      <c r="A147" s="625" t="s">
        <v>228</v>
      </c>
      <c r="B147" s="386" t="s">
        <v>394</v>
      </c>
      <c r="C147" s="164" t="s">
        <v>55</v>
      </c>
      <c r="D147" s="820"/>
      <c r="E147" s="820"/>
      <c r="F147" s="949" t="str">
        <f>IF(D147&gt;9,D147/E147," ")</f>
        <v xml:space="preserve"> </v>
      </c>
      <c r="G147" s="949"/>
      <c r="H147" s="94">
        <f>IF(D147="",0,IF(D147&lt;9,2,IF((D147/E147)=0,2,IF((D147/E147)&lt;10%,1.5,IF((D147/E147)&lt;15%,1,IF((D147/E147)&lt;20%,0.5,0))))))</f>
        <v>0</v>
      </c>
      <c r="J147" s="103" t="s">
        <v>74</v>
      </c>
      <c r="K147" s="103" t="s">
        <v>72</v>
      </c>
      <c r="L147" s="103">
        <v>5</v>
      </c>
      <c r="M147" s="103">
        <v>15</v>
      </c>
      <c r="N147" s="103">
        <v>25</v>
      </c>
      <c r="O147" s="103">
        <v>35</v>
      </c>
      <c r="P147" s="103">
        <v>35</v>
      </c>
      <c r="Q147" s="52"/>
      <c r="R147" s="44"/>
    </row>
    <row r="148" spans="1:18" s="29" customFormat="1">
      <c r="A148" s="625" t="s">
        <v>229</v>
      </c>
      <c r="B148" s="386" t="s">
        <v>395</v>
      </c>
      <c r="C148" s="164" t="s">
        <v>56</v>
      </c>
      <c r="D148" s="820"/>
      <c r="E148" s="820"/>
      <c r="F148" s="950"/>
      <c r="G148" s="950"/>
      <c r="H148" s="94">
        <f>IF(E147="",0,IF(E147&lt;15,HLOOKUP(F148,J145:P152,4,FALSE),IF(E147&lt;45,HLOOKUP(F148,J145:P152,5,FALSE),IF(E147&lt;90,HLOOKUP(F148,J145:P152,6,FALSE),IF(E147&lt;135,HLOOKUP(F148,J145:P152,7,FALSE),IF(E147&gt;=135,HLOOKUP(F148,J145:P152,8,FALSE),3))))))</f>
        <v>0</v>
      </c>
      <c r="I148" s="54"/>
      <c r="J148" s="103" t="s">
        <v>75</v>
      </c>
      <c r="K148" s="103">
        <v>3</v>
      </c>
      <c r="L148" s="103">
        <v>3</v>
      </c>
      <c r="M148" s="103">
        <v>3</v>
      </c>
      <c r="N148" s="103">
        <v>2.5</v>
      </c>
      <c r="O148" s="103">
        <v>1.5</v>
      </c>
      <c r="P148" s="103">
        <v>0</v>
      </c>
      <c r="Q148" s="52"/>
      <c r="R148" s="44"/>
    </row>
    <row r="149" spans="1:18" s="29" customFormat="1">
      <c r="A149" s="592"/>
      <c r="B149" s="307"/>
      <c r="C149" s="314"/>
      <c r="D149" s="319"/>
      <c r="E149" s="319"/>
      <c r="F149" s="319"/>
      <c r="G149" s="319"/>
      <c r="H149" s="626"/>
      <c r="I149" s="54"/>
      <c r="J149" s="103" t="s">
        <v>76</v>
      </c>
      <c r="K149" s="103">
        <v>3</v>
      </c>
      <c r="L149" s="103">
        <v>3</v>
      </c>
      <c r="M149" s="103">
        <v>2.5</v>
      </c>
      <c r="N149" s="103">
        <v>1.5</v>
      </c>
      <c r="O149" s="103">
        <v>1</v>
      </c>
      <c r="P149" s="103">
        <v>0</v>
      </c>
      <c r="Q149" s="52"/>
      <c r="R149" s="44"/>
    </row>
    <row r="150" spans="1:18" s="29" customFormat="1" ht="15.6">
      <c r="A150" s="592"/>
      <c r="B150" s="320"/>
      <c r="C150" s="314"/>
      <c r="D150" s="314"/>
      <c r="E150" s="314"/>
      <c r="F150" s="305"/>
      <c r="G150" s="321"/>
      <c r="H150" s="627"/>
      <c r="I150" s="54"/>
      <c r="J150" s="103" t="s">
        <v>77</v>
      </c>
      <c r="K150" s="103">
        <v>3</v>
      </c>
      <c r="L150" s="103">
        <v>2.5</v>
      </c>
      <c r="M150" s="103">
        <v>1.5</v>
      </c>
      <c r="N150" s="103">
        <v>1</v>
      </c>
      <c r="O150" s="103">
        <v>0</v>
      </c>
      <c r="P150" s="103">
        <v>0</v>
      </c>
      <c r="Q150" s="52"/>
      <c r="R150" s="44"/>
    </row>
    <row r="151" spans="1:18" s="29" customFormat="1" ht="15.75" customHeight="1">
      <c r="A151" s="972" t="s">
        <v>0</v>
      </c>
      <c r="B151" s="973"/>
      <c r="C151" s="888"/>
      <c r="D151" s="974" t="s">
        <v>4</v>
      </c>
      <c r="E151" s="951" t="s">
        <v>1</v>
      </c>
      <c r="F151" s="952"/>
      <c r="G151" s="953" t="s">
        <v>21</v>
      </c>
      <c r="H151" s="947" t="s">
        <v>62</v>
      </c>
      <c r="I151" s="54"/>
      <c r="J151" s="103" t="s">
        <v>78</v>
      </c>
      <c r="K151" s="103">
        <v>3</v>
      </c>
      <c r="L151" s="103">
        <v>1.5</v>
      </c>
      <c r="M151" s="103">
        <v>1</v>
      </c>
      <c r="N151" s="103">
        <v>0</v>
      </c>
      <c r="O151" s="103">
        <v>0</v>
      </c>
      <c r="P151" s="103">
        <v>0</v>
      </c>
      <c r="Q151" s="52"/>
      <c r="R151" s="44"/>
    </row>
    <row r="152" spans="1:18" s="29" customFormat="1" ht="30" customHeight="1">
      <c r="A152" s="867"/>
      <c r="B152" s="868"/>
      <c r="C152" s="870"/>
      <c r="D152" s="952"/>
      <c r="E152" s="550" t="s">
        <v>64</v>
      </c>
      <c r="F152" s="550" t="s">
        <v>65</v>
      </c>
      <c r="G152" s="954"/>
      <c r="H152" s="948"/>
      <c r="I152" s="54"/>
      <c r="J152" s="103" t="s">
        <v>79</v>
      </c>
      <c r="K152" s="103">
        <v>3</v>
      </c>
      <c r="L152" s="103">
        <v>1</v>
      </c>
      <c r="M152" s="103">
        <v>0</v>
      </c>
      <c r="N152" s="103">
        <v>0</v>
      </c>
      <c r="O152" s="103">
        <v>0</v>
      </c>
      <c r="P152" s="103">
        <v>0</v>
      </c>
      <c r="Q152" s="52"/>
      <c r="R152" s="44"/>
    </row>
    <row r="153" spans="1:18" s="29" customFormat="1" ht="15.6">
      <c r="A153" s="105" t="s">
        <v>230</v>
      </c>
      <c r="B153" s="105" t="s">
        <v>516</v>
      </c>
      <c r="C153" s="106"/>
      <c r="D153" s="106"/>
      <c r="E153" s="106"/>
      <c r="F153" s="110"/>
      <c r="G153" s="111"/>
      <c r="H153" s="628"/>
      <c r="J153" s="103" t="s">
        <v>73</v>
      </c>
      <c r="K153" s="103" t="s">
        <v>72</v>
      </c>
      <c r="L153" s="103">
        <v>1</v>
      </c>
      <c r="M153" s="103">
        <v>2</v>
      </c>
      <c r="N153" s="103">
        <v>3</v>
      </c>
      <c r="O153" s="103">
        <v>4</v>
      </c>
      <c r="P153" s="103">
        <v>4</v>
      </c>
      <c r="Q153" s="52"/>
      <c r="R153" s="44"/>
    </row>
    <row r="154" spans="1:18" s="29" customFormat="1" ht="15.6">
      <c r="A154" s="149" t="s">
        <v>231</v>
      </c>
      <c r="B154" s="149" t="s">
        <v>517</v>
      </c>
      <c r="C154" s="150"/>
      <c r="D154" s="151"/>
      <c r="E154" s="152"/>
      <c r="F154" s="152"/>
      <c r="G154" s="153"/>
      <c r="H154" s="629"/>
      <c r="I154" s="54"/>
      <c r="Q154" s="52"/>
      <c r="R154" s="44"/>
    </row>
    <row r="155" spans="1:18" s="29" customFormat="1">
      <c r="A155" s="630" t="s">
        <v>232</v>
      </c>
      <c r="B155" s="825" t="s">
        <v>612</v>
      </c>
      <c r="C155" s="827"/>
      <c r="D155" s="522" t="s">
        <v>50</v>
      </c>
      <c r="E155" s="523">
        <v>2</v>
      </c>
      <c r="F155" s="523">
        <v>3</v>
      </c>
      <c r="G155" s="27"/>
      <c r="H155" s="434">
        <f t="shared" ref="H155:H166" si="3">IF(G155&gt;=80%,F155,IF(G155&lt;65%,0,E155))</f>
        <v>0</v>
      </c>
      <c r="Q155" s="52"/>
      <c r="R155" s="44"/>
    </row>
    <row r="156" spans="1:18" s="29" customFormat="1">
      <c r="A156" s="630" t="s">
        <v>233</v>
      </c>
      <c r="B156" s="917" t="s">
        <v>613</v>
      </c>
      <c r="C156" s="843"/>
      <c r="D156" s="483" t="s">
        <v>50</v>
      </c>
      <c r="E156" s="434">
        <v>2</v>
      </c>
      <c r="F156" s="434">
        <v>3</v>
      </c>
      <c r="G156" s="553"/>
      <c r="H156" s="434">
        <f>IF(G156&gt;=80%,F156,IF(G156&lt;65%,0,E156))</f>
        <v>0</v>
      </c>
      <c r="Q156" s="52"/>
      <c r="R156" s="44"/>
    </row>
    <row r="157" spans="1:18" s="29" customFormat="1">
      <c r="A157" s="631" t="s">
        <v>234</v>
      </c>
      <c r="B157" s="917" t="s">
        <v>563</v>
      </c>
      <c r="C157" s="843"/>
      <c r="D157" s="524" t="s">
        <v>50</v>
      </c>
      <c r="E157" s="554">
        <v>2</v>
      </c>
      <c r="F157" s="434">
        <v>2.5</v>
      </c>
      <c r="G157" s="551"/>
      <c r="H157" s="434">
        <f t="shared" ref="H157" si="4">IF(G157&gt;=80%,F157,IF(G157&lt;65%,0,E157))</f>
        <v>0</v>
      </c>
      <c r="Q157" s="52"/>
      <c r="R157" s="44"/>
    </row>
    <row r="158" spans="1:18" s="29" customFormat="1">
      <c r="A158" s="631" t="s">
        <v>235</v>
      </c>
      <c r="B158" s="917" t="s">
        <v>623</v>
      </c>
      <c r="C158" s="843"/>
      <c r="D158" s="524" t="s">
        <v>50</v>
      </c>
      <c r="E158" s="554">
        <v>2</v>
      </c>
      <c r="F158" s="434">
        <v>2.5</v>
      </c>
      <c r="G158" s="551"/>
      <c r="H158" s="434">
        <f>IF(G158&gt;=80%,F158,IF(G158&lt;65%,0,E158))</f>
        <v>0</v>
      </c>
      <c r="Q158" s="52"/>
      <c r="R158" s="44"/>
    </row>
    <row r="159" spans="1:18" s="29" customFormat="1">
      <c r="A159" s="630" t="s">
        <v>371</v>
      </c>
      <c r="B159" s="875" t="s">
        <v>379</v>
      </c>
      <c r="C159" s="876"/>
      <c r="D159" s="530" t="s">
        <v>50</v>
      </c>
      <c r="E159" s="523">
        <v>2</v>
      </c>
      <c r="F159" s="523">
        <v>2.5</v>
      </c>
      <c r="G159" s="529"/>
      <c r="H159" s="434">
        <f>IF(G159&gt;=80%,F159,IF(G159&lt;65%,0,E159))</f>
        <v>0</v>
      </c>
      <c r="Q159" s="52"/>
      <c r="R159" s="44"/>
    </row>
    <row r="160" spans="1:18" s="29" customFormat="1" ht="30">
      <c r="A160" s="871" t="s">
        <v>519</v>
      </c>
      <c r="B160" s="873" t="s">
        <v>397</v>
      </c>
      <c r="C160" s="940"/>
      <c r="D160" s="524" t="s">
        <v>402</v>
      </c>
      <c r="E160" s="964">
        <v>2.5</v>
      </c>
      <c r="F160" s="965"/>
      <c r="G160" s="933"/>
      <c r="H160" s="931">
        <f>IF(G160&gt;=35,E161,IF(G160&gt;=30,E160,0))</f>
        <v>0</v>
      </c>
      <c r="Q160" s="52"/>
      <c r="R160" s="44"/>
    </row>
    <row r="161" spans="1:18" s="29" customFormat="1" ht="30">
      <c r="A161" s="872"/>
      <c r="B161" s="941"/>
      <c r="C161" s="942"/>
      <c r="D161" s="524" t="s">
        <v>396</v>
      </c>
      <c r="E161" s="964">
        <v>3</v>
      </c>
      <c r="F161" s="965"/>
      <c r="G161" s="934"/>
      <c r="H161" s="932"/>
      <c r="Q161" s="52"/>
      <c r="R161" s="44"/>
    </row>
    <row r="162" spans="1:18" s="29" customFormat="1" ht="31.5" customHeight="1">
      <c r="A162" s="871" t="s">
        <v>520</v>
      </c>
      <c r="B162" s="873" t="s">
        <v>398</v>
      </c>
      <c r="C162" s="874"/>
      <c r="D162" s="524" t="s">
        <v>333</v>
      </c>
      <c r="E162" s="962">
        <v>4</v>
      </c>
      <c r="F162" s="963"/>
      <c r="G162" s="933"/>
      <c r="H162" s="931">
        <f>IF(G162&gt;=80,E162,IF(G162&gt;=70,E163,IF(G162&gt;=60,E164,IF(G162&gt;=50,E165,0))))</f>
        <v>0</v>
      </c>
      <c r="Q162" s="52"/>
      <c r="R162" s="44"/>
    </row>
    <row r="163" spans="1:18" s="29" customFormat="1" ht="31.5" customHeight="1">
      <c r="A163" s="975"/>
      <c r="B163" s="929"/>
      <c r="C163" s="930"/>
      <c r="D163" s="524" t="s">
        <v>334</v>
      </c>
      <c r="E163" s="962">
        <v>3</v>
      </c>
      <c r="F163" s="963"/>
      <c r="G163" s="935"/>
      <c r="H163" s="936"/>
      <c r="Q163" s="52"/>
      <c r="R163" s="44"/>
    </row>
    <row r="164" spans="1:18" s="29" customFormat="1" ht="31.5" customHeight="1">
      <c r="A164" s="975"/>
      <c r="B164" s="929"/>
      <c r="C164" s="930"/>
      <c r="D164" s="524" t="s">
        <v>368</v>
      </c>
      <c r="E164" s="962">
        <v>2</v>
      </c>
      <c r="F164" s="963"/>
      <c r="G164" s="935"/>
      <c r="H164" s="936"/>
      <c r="Q164" s="52"/>
      <c r="R164" s="44"/>
    </row>
    <row r="165" spans="1:18" s="29" customFormat="1" ht="31.5" customHeight="1">
      <c r="A165" s="872"/>
      <c r="B165" s="875"/>
      <c r="C165" s="876"/>
      <c r="D165" s="524" t="s">
        <v>369</v>
      </c>
      <c r="E165" s="962">
        <v>1</v>
      </c>
      <c r="F165" s="963"/>
      <c r="G165" s="934"/>
      <c r="H165" s="932"/>
      <c r="Q165" s="52"/>
      <c r="R165" s="44"/>
    </row>
    <row r="166" spans="1:18" s="29" customFormat="1" ht="31.5" customHeight="1">
      <c r="A166" s="871" t="s">
        <v>643</v>
      </c>
      <c r="B166" s="873" t="s">
        <v>614</v>
      </c>
      <c r="C166" s="874"/>
      <c r="D166" s="524" t="s">
        <v>66</v>
      </c>
      <c r="E166" s="525">
        <v>3.5</v>
      </c>
      <c r="F166" s="525">
        <v>4</v>
      </c>
      <c r="G166" s="27"/>
      <c r="H166" s="434">
        <f t="shared" si="3"/>
        <v>0</v>
      </c>
      <c r="Q166" s="52"/>
      <c r="R166" s="44"/>
    </row>
    <row r="167" spans="1:18" s="29" customFormat="1" ht="30">
      <c r="A167" s="872"/>
      <c r="B167" s="875"/>
      <c r="C167" s="876"/>
      <c r="D167" s="524" t="s">
        <v>67</v>
      </c>
      <c r="E167" s="525" t="s">
        <v>49</v>
      </c>
      <c r="F167" s="525">
        <v>3</v>
      </c>
      <c r="G167" s="27"/>
      <c r="H167" s="434">
        <f>IF(G167&gt;=80%,F167,0)</f>
        <v>0</v>
      </c>
      <c r="Q167" s="52"/>
      <c r="R167" s="44"/>
    </row>
    <row r="168" spans="1:18" s="29" customFormat="1" ht="15.6">
      <c r="A168" s="82">
        <v>14</v>
      </c>
      <c r="B168" s="470" t="s">
        <v>515</v>
      </c>
      <c r="C168" s="89"/>
      <c r="D168" s="151"/>
      <c r="E168" s="152"/>
      <c r="F168" s="152"/>
      <c r="G168" s="153"/>
      <c r="H168" s="629"/>
      <c r="Q168" s="52"/>
      <c r="R168" s="44"/>
    </row>
    <row r="169" spans="1:18" s="29" customFormat="1" ht="31.95" customHeight="1">
      <c r="A169" s="630" t="s">
        <v>236</v>
      </c>
      <c r="B169" s="875" t="s">
        <v>648</v>
      </c>
      <c r="C169" s="876"/>
      <c r="D169" s="527" t="s">
        <v>50</v>
      </c>
      <c r="E169" s="528">
        <v>2</v>
      </c>
      <c r="F169" s="528">
        <v>2.5</v>
      </c>
      <c r="G169" s="529"/>
      <c r="H169" s="9">
        <f>IF(G169&gt;=80%,F169,IF(G169&lt;65%,0,E169))</f>
        <v>0</v>
      </c>
      <c r="Q169" s="52"/>
      <c r="R169" s="44"/>
    </row>
    <row r="170" spans="1:18" s="29" customFormat="1">
      <c r="A170" s="630" t="s">
        <v>237</v>
      </c>
      <c r="B170" s="875" t="s">
        <v>615</v>
      </c>
      <c r="C170" s="876"/>
      <c r="D170" s="530" t="s">
        <v>50</v>
      </c>
      <c r="E170" s="523" t="s">
        <v>49</v>
      </c>
      <c r="F170" s="523">
        <v>2.5</v>
      </c>
      <c r="G170" s="526">
        <f>F23</f>
        <v>0</v>
      </c>
      <c r="H170" s="434">
        <f>IF(G170&gt;=80%,F170,0)</f>
        <v>0</v>
      </c>
      <c r="Q170" s="52"/>
      <c r="R170" s="44"/>
    </row>
    <row r="171" spans="1:18" s="29" customFormat="1" ht="32.25" customHeight="1">
      <c r="A171" s="630" t="s">
        <v>378</v>
      </c>
      <c r="B171" s="875" t="s">
        <v>617</v>
      </c>
      <c r="C171" s="876"/>
      <c r="D171" s="530" t="s">
        <v>50</v>
      </c>
      <c r="E171" s="523">
        <v>2</v>
      </c>
      <c r="F171" s="523">
        <v>3</v>
      </c>
      <c r="G171" s="529"/>
      <c r="H171" s="434">
        <f>IF(G171&gt;=80%,F171,IF(G171&lt;65%,0,E171))</f>
        <v>0</v>
      </c>
      <c r="Q171" s="52"/>
      <c r="R171" s="44"/>
    </row>
    <row r="172" spans="1:18" s="29" customFormat="1" ht="30" customHeight="1">
      <c r="A172" s="632" t="s">
        <v>521</v>
      </c>
      <c r="B172" s="825" t="s">
        <v>616</v>
      </c>
      <c r="C172" s="827"/>
      <c r="D172" s="420" t="s">
        <v>50</v>
      </c>
      <c r="E172" s="434">
        <v>2</v>
      </c>
      <c r="F172" s="434">
        <v>2.5</v>
      </c>
      <c r="G172" s="30"/>
      <c r="H172" s="434">
        <f>IF(G172&gt;=80%,F172,IF(G172&lt;65%,0,E172))</f>
        <v>0</v>
      </c>
      <c r="Q172" s="52"/>
      <c r="R172" s="44"/>
    </row>
    <row r="173" spans="1:18" s="29" customFormat="1" ht="15.6">
      <c r="A173" s="82">
        <v>15</v>
      </c>
      <c r="B173" s="82" t="s">
        <v>259</v>
      </c>
      <c r="C173" s="89"/>
      <c r="D173" s="151"/>
      <c r="E173" s="152"/>
      <c r="F173" s="152"/>
      <c r="G173" s="153"/>
      <c r="H173" s="629"/>
      <c r="Q173" s="52"/>
      <c r="R173" s="44"/>
    </row>
    <row r="174" spans="1:18" s="29" customFormat="1">
      <c r="A174" s="877" t="s">
        <v>238</v>
      </c>
      <c r="B174" s="879" t="s">
        <v>275</v>
      </c>
      <c r="C174" s="880"/>
      <c r="D174" s="943" t="s">
        <v>50</v>
      </c>
      <c r="E174" s="828">
        <v>2.5</v>
      </c>
      <c r="F174" s="828">
        <v>4</v>
      </c>
      <c r="G174" s="957"/>
      <c r="H174" s="828">
        <f>IF(G174&gt;=80%,F174,IF(G174&lt;65%,0,E174))</f>
        <v>0</v>
      </c>
      <c r="Q174" s="52"/>
      <c r="R174" s="44"/>
    </row>
    <row r="175" spans="1:18" s="29" customFormat="1" ht="15.6">
      <c r="A175" s="878"/>
      <c r="B175" s="810" t="s">
        <v>276</v>
      </c>
      <c r="C175" s="810"/>
      <c r="D175" s="944"/>
      <c r="E175" s="829"/>
      <c r="F175" s="829"/>
      <c r="G175" s="958"/>
      <c r="H175" s="829"/>
      <c r="Q175" s="52"/>
      <c r="R175" s="44"/>
    </row>
    <row r="176" spans="1:18" s="29" customFormat="1">
      <c r="A176" s="877" t="s">
        <v>239</v>
      </c>
      <c r="B176" s="858" t="s">
        <v>137</v>
      </c>
      <c r="C176" s="840"/>
      <c r="D176" s="937" t="s">
        <v>50</v>
      </c>
      <c r="E176" s="938">
        <v>2.5</v>
      </c>
      <c r="F176" s="938">
        <v>4</v>
      </c>
      <c r="G176" s="961"/>
      <c r="H176" s="811">
        <f>IF(G176&gt;=80%,F176,IF(G176&lt;65%,0,E176))</f>
        <v>0</v>
      </c>
      <c r="Q176" s="52"/>
      <c r="R176" s="44"/>
    </row>
    <row r="177" spans="1:18" s="29" customFormat="1" ht="15.6">
      <c r="A177" s="878"/>
      <c r="B177" s="810" t="s">
        <v>119</v>
      </c>
      <c r="C177" s="810"/>
      <c r="D177" s="937"/>
      <c r="E177" s="938"/>
      <c r="F177" s="938"/>
      <c r="G177" s="961"/>
      <c r="H177" s="811"/>
      <c r="Q177" s="52"/>
      <c r="R177" s="44"/>
    </row>
    <row r="178" spans="1:18" s="29" customFormat="1" ht="15.6">
      <c r="A178" s="102">
        <v>16</v>
      </c>
      <c r="B178" s="102" t="s">
        <v>202</v>
      </c>
      <c r="C178" s="89"/>
      <c r="D178" s="89"/>
      <c r="E178" s="91"/>
      <c r="F178" s="91"/>
      <c r="G178" s="92"/>
      <c r="H178" s="614"/>
      <c r="Q178" s="59"/>
      <c r="R178" s="44"/>
    </row>
    <row r="179" spans="1:18" s="29" customFormat="1">
      <c r="A179" s="598" t="s">
        <v>241</v>
      </c>
      <c r="B179" s="765"/>
      <c r="C179" s="766"/>
      <c r="D179" s="107"/>
      <c r="E179" s="538"/>
      <c r="F179" s="538"/>
      <c r="G179" s="65"/>
      <c r="H179" s="633">
        <f>IF(G179&gt;=80%,F179,IF(G179&lt;65%,0,E179))</f>
        <v>0</v>
      </c>
      <c r="Q179" s="52"/>
      <c r="R179" s="44"/>
    </row>
    <row r="180" spans="1:18" s="29" customFormat="1">
      <c r="A180" s="598" t="s">
        <v>242</v>
      </c>
      <c r="B180" s="765"/>
      <c r="C180" s="766"/>
      <c r="D180" s="107"/>
      <c r="E180" s="538"/>
      <c r="F180" s="538"/>
      <c r="G180" s="65"/>
      <c r="H180" s="633">
        <f>IF(G180&gt;=80%,F180,IF(G180&lt;65%,0,E180))</f>
        <v>0</v>
      </c>
      <c r="Q180" s="52"/>
      <c r="R180" s="44"/>
    </row>
    <row r="181" spans="1:18" s="29" customFormat="1">
      <c r="A181" s="598" t="s">
        <v>243</v>
      </c>
      <c r="B181" s="765"/>
      <c r="C181" s="766"/>
      <c r="D181" s="107"/>
      <c r="E181" s="538"/>
      <c r="F181" s="538"/>
      <c r="G181" s="65"/>
      <c r="H181" s="633">
        <f>IF(G181&gt;=80%,F181,IF(G181&lt;65%,0,E181))</f>
        <v>0</v>
      </c>
      <c r="Q181" s="52"/>
      <c r="R181" s="44"/>
    </row>
    <row r="182" spans="1:18" s="29" customFormat="1" ht="15.6">
      <c r="A182" s="604"/>
      <c r="B182" s="307"/>
      <c r="C182" s="305"/>
      <c r="D182" s="305"/>
      <c r="E182" s="305"/>
      <c r="F182" s="309"/>
      <c r="G182" s="310" t="s">
        <v>376</v>
      </c>
      <c r="H182" s="634">
        <f>IFERROR((SUM(H147:H181)),0)</f>
        <v>0</v>
      </c>
      <c r="Q182" s="52"/>
      <c r="R182" s="44"/>
    </row>
    <row r="183" spans="1:18" s="29" customFormat="1" ht="15.6" thickBot="1">
      <c r="A183" s="594"/>
      <c r="B183" s="361"/>
      <c r="C183" s="362"/>
      <c r="D183" s="362"/>
      <c r="E183" s="362"/>
      <c r="F183" s="362"/>
      <c r="G183" s="354"/>
      <c r="H183" s="595"/>
      <c r="Q183" s="52"/>
      <c r="R183" s="44"/>
    </row>
    <row r="184" spans="1:18" s="29" customFormat="1" ht="30.75" customHeight="1">
      <c r="A184" s="865" t="s">
        <v>0</v>
      </c>
      <c r="B184" s="866"/>
      <c r="C184" s="869"/>
      <c r="D184" s="856" t="s">
        <v>4</v>
      </c>
      <c r="E184" s="959" t="s">
        <v>1</v>
      </c>
      <c r="F184" s="960"/>
      <c r="G184" s="955" t="s">
        <v>21</v>
      </c>
      <c r="H184" s="856" t="s">
        <v>62</v>
      </c>
      <c r="Q184" s="52"/>
      <c r="R184" s="44"/>
    </row>
    <row r="185" spans="1:18" s="29" customFormat="1" ht="15.6">
      <c r="A185" s="867"/>
      <c r="B185" s="868"/>
      <c r="C185" s="870"/>
      <c r="D185" s="857"/>
      <c r="E185" s="550" t="s">
        <v>120</v>
      </c>
      <c r="F185" s="550" t="s">
        <v>121</v>
      </c>
      <c r="G185" s="956"/>
      <c r="H185" s="857"/>
      <c r="Q185" s="52"/>
      <c r="R185" s="44"/>
    </row>
    <row r="186" spans="1:18" s="29" customFormat="1" ht="15.6">
      <c r="A186" s="126" t="s">
        <v>240</v>
      </c>
      <c r="B186" s="105" t="s">
        <v>244</v>
      </c>
      <c r="C186" s="106"/>
      <c r="D186" s="106"/>
      <c r="E186" s="106"/>
      <c r="F186" s="110"/>
      <c r="G186" s="111"/>
      <c r="H186" s="628"/>
      <c r="Q186" s="52"/>
      <c r="R186" s="44"/>
    </row>
    <row r="187" spans="1:18" s="29" customFormat="1">
      <c r="A187" s="625" t="s">
        <v>277</v>
      </c>
      <c r="B187" s="858" t="s">
        <v>245</v>
      </c>
      <c r="C187" s="859"/>
      <c r="D187" s="5" t="s">
        <v>50</v>
      </c>
      <c r="E187" s="20">
        <v>-1</v>
      </c>
      <c r="F187" s="20">
        <v>-2</v>
      </c>
      <c r="G187" s="28"/>
      <c r="H187" s="20">
        <f>IF(G187&gt;=30%,F187,IF(G187=0%,0,E187))</f>
        <v>0</v>
      </c>
      <c r="Q187" s="52"/>
      <c r="R187" s="44"/>
    </row>
    <row r="188" spans="1:18" s="29" customFormat="1">
      <c r="A188" s="625" t="s">
        <v>278</v>
      </c>
      <c r="B188" s="858" t="s">
        <v>246</v>
      </c>
      <c r="C188" s="859"/>
      <c r="D188" s="5" t="s">
        <v>50</v>
      </c>
      <c r="E188" s="20">
        <v>-1</v>
      </c>
      <c r="F188" s="20">
        <v>-1.5</v>
      </c>
      <c r="G188" s="28"/>
      <c r="H188" s="20">
        <f>IF(G188&gt;=30%,F188,IF(G188=0%,0,E188))</f>
        <v>0</v>
      </c>
      <c r="Q188" s="52"/>
      <c r="R188" s="44"/>
    </row>
    <row r="189" spans="1:18" s="29" customFormat="1">
      <c r="A189" s="625" t="s">
        <v>279</v>
      </c>
      <c r="B189" s="858" t="s">
        <v>247</v>
      </c>
      <c r="C189" s="859"/>
      <c r="D189" s="5" t="s">
        <v>50</v>
      </c>
      <c r="E189" s="811">
        <v>-1</v>
      </c>
      <c r="F189" s="811"/>
      <c r="G189" s="553"/>
      <c r="H189" s="20">
        <f>IF(G189&gt;0%,E189,0)</f>
        <v>0</v>
      </c>
      <c r="Q189" s="52"/>
      <c r="R189" s="44"/>
    </row>
    <row r="190" spans="1:18" s="29" customFormat="1" ht="15.6">
      <c r="A190" s="604"/>
      <c r="B190" s="307"/>
      <c r="C190" s="305"/>
      <c r="D190" s="305"/>
      <c r="E190" s="305"/>
      <c r="F190" s="309"/>
      <c r="G190" s="310" t="s">
        <v>133</v>
      </c>
      <c r="H190" s="634">
        <f>IFERROR(MAX(SUM(H187:H189),-4),0)</f>
        <v>0</v>
      </c>
      <c r="Q190" s="44"/>
      <c r="R190" s="44"/>
    </row>
    <row r="191" spans="1:18" s="29" customFormat="1">
      <c r="A191" s="592"/>
      <c r="B191" s="307"/>
      <c r="C191" s="305"/>
      <c r="D191" s="305"/>
      <c r="E191" s="305"/>
      <c r="F191" s="305"/>
      <c r="G191" s="314"/>
      <c r="H191" s="571"/>
      <c r="Q191" s="52"/>
      <c r="R191" s="44"/>
    </row>
    <row r="192" spans="1:18" s="29" customFormat="1" ht="15.6">
      <c r="A192" s="592"/>
      <c r="B192" s="307"/>
      <c r="C192" s="305"/>
      <c r="D192" s="305"/>
      <c r="E192" s="305"/>
      <c r="F192" s="305"/>
      <c r="G192" s="312" t="s">
        <v>132</v>
      </c>
      <c r="H192" s="154">
        <f>IFERROR(MIN(SUM(H120+H143+H182+H190),G91),0)</f>
        <v>0</v>
      </c>
      <c r="Q192" s="52"/>
      <c r="R192" s="44"/>
    </row>
    <row r="193" spans="1:18" s="29" customFormat="1" ht="16.2" thickBot="1">
      <c r="A193" s="594"/>
      <c r="B193" s="361"/>
      <c r="C193" s="362"/>
      <c r="D193" s="362"/>
      <c r="E193" s="362"/>
      <c r="F193" s="362"/>
      <c r="G193" s="363"/>
      <c r="H193" s="606"/>
      <c r="Q193" s="52"/>
      <c r="R193" s="44"/>
    </row>
    <row r="194" spans="1:18" s="29" customFormat="1" ht="15.6">
      <c r="A194" s="635" t="s">
        <v>63</v>
      </c>
      <c r="B194" s="355"/>
      <c r="C194" s="355"/>
      <c r="D194" s="355"/>
      <c r="E194" s="355"/>
      <c r="F194" s="356" t="s">
        <v>42</v>
      </c>
      <c r="G194" s="357">
        <f>VLOOKUP($A$7,'Manpower allocation'!A4:D11,4,FALSE)*100</f>
        <v>15</v>
      </c>
      <c r="H194" s="636" t="s">
        <v>41</v>
      </c>
      <c r="I194" s="108">
        <f>VLOOKUP($A$7,'Manpower allocation'!A4:D11,4,FALSE)*100</f>
        <v>15</v>
      </c>
      <c r="Q194" s="52"/>
      <c r="R194" s="44"/>
    </row>
    <row r="195" spans="1:18" s="29" customFormat="1" ht="15.6">
      <c r="A195" s="592"/>
      <c r="B195" s="313"/>
      <c r="C195" s="305"/>
      <c r="D195" s="305"/>
      <c r="E195" s="305"/>
      <c r="F195" s="305"/>
      <c r="G195" s="314"/>
      <c r="H195" s="571"/>
      <c r="Q195" s="52"/>
      <c r="R195" s="44"/>
    </row>
    <row r="196" spans="1:18" s="29" customFormat="1" ht="46.8">
      <c r="A196" s="850" t="s">
        <v>0</v>
      </c>
      <c r="B196" s="851"/>
      <c r="C196" s="109"/>
      <c r="D196" s="545" t="s">
        <v>17</v>
      </c>
      <c r="E196" s="545" t="s">
        <v>124</v>
      </c>
      <c r="F196" s="545" t="s">
        <v>108</v>
      </c>
      <c r="G196" s="545" t="s">
        <v>18</v>
      </c>
      <c r="H196" s="545" t="s">
        <v>62</v>
      </c>
      <c r="Q196" s="52"/>
      <c r="R196" s="44"/>
    </row>
    <row r="197" spans="1:18" s="29" customFormat="1" ht="15.6">
      <c r="A197" s="105" t="s">
        <v>250</v>
      </c>
      <c r="B197" s="531" t="s">
        <v>618</v>
      </c>
      <c r="C197" s="106"/>
      <c r="D197" s="106"/>
      <c r="E197" s="106"/>
      <c r="F197" s="110"/>
      <c r="G197" s="111"/>
      <c r="H197" s="628"/>
      <c r="Q197" s="52"/>
      <c r="R197" s="44"/>
    </row>
    <row r="198" spans="1:18" s="29" customFormat="1" ht="15.6">
      <c r="A198" s="112">
        <v>1</v>
      </c>
      <c r="B198" s="112" t="s">
        <v>304</v>
      </c>
      <c r="C198" s="113"/>
      <c r="D198" s="114"/>
      <c r="E198" s="114"/>
      <c r="F198" s="114"/>
      <c r="G198" s="114"/>
      <c r="H198" s="637"/>
      <c r="Q198" s="52"/>
      <c r="R198" s="44"/>
    </row>
    <row r="199" spans="1:18" s="29" customFormat="1">
      <c r="A199" s="541">
        <v>1.1000000000000001</v>
      </c>
      <c r="B199" s="822" t="s">
        <v>271</v>
      </c>
      <c r="C199" s="824"/>
      <c r="D199" s="20">
        <f>VLOOKUP(A199,'Point Allocation'!$A$46:$J$55,MATCH(A7,'Point Allocation'!$A$46:$J$46,0),0)</f>
        <v>15</v>
      </c>
      <c r="E199" s="38"/>
      <c r="F199" s="38"/>
      <c r="G199" s="31">
        <f>MIN(IFERROR(F199/E199,0),100%)</f>
        <v>0</v>
      </c>
      <c r="H199" s="20">
        <f>D199*G199</f>
        <v>0</v>
      </c>
      <c r="Q199" s="52"/>
      <c r="R199" s="44"/>
    </row>
    <row r="200" spans="1:18" s="29" customFormat="1" ht="15.6">
      <c r="A200" s="115">
        <v>2</v>
      </c>
      <c r="B200" s="115" t="s">
        <v>305</v>
      </c>
      <c r="C200" s="116"/>
      <c r="D200" s="32"/>
      <c r="E200" s="33"/>
      <c r="F200" s="33"/>
      <c r="G200" s="34"/>
      <c r="H200" s="638"/>
      <c r="Q200" s="52"/>
      <c r="R200" s="44"/>
    </row>
    <row r="201" spans="1:18" s="29" customFormat="1" ht="33" customHeight="1">
      <c r="A201" s="544">
        <v>2.1</v>
      </c>
      <c r="B201" s="863" t="s">
        <v>251</v>
      </c>
      <c r="C201" s="864"/>
      <c r="D201" s="20">
        <f>VLOOKUP(A201,'Point Allocation'!$A$46:$J$55,MATCH(A7,'Point Allocation'!$A$46:$J$46,0),0)</f>
        <v>12</v>
      </c>
      <c r="E201" s="38"/>
      <c r="F201" s="38"/>
      <c r="G201" s="31">
        <f>MIN(IFERROR(F201/E201,0),100%)</f>
        <v>0</v>
      </c>
      <c r="H201" s="20">
        <f>D201*G201</f>
        <v>0</v>
      </c>
      <c r="Q201" s="52"/>
      <c r="R201" s="44"/>
    </row>
    <row r="202" spans="1:18" s="29" customFormat="1" ht="15.6">
      <c r="A202" s="112">
        <v>3</v>
      </c>
      <c r="B202" s="112" t="s">
        <v>309</v>
      </c>
      <c r="C202" s="117"/>
      <c r="D202" s="35"/>
      <c r="E202" s="35"/>
      <c r="F202" s="35"/>
      <c r="G202" s="34"/>
      <c r="H202" s="639"/>
      <c r="Q202" s="52"/>
      <c r="R202" s="44"/>
    </row>
    <row r="203" spans="1:18" s="29" customFormat="1">
      <c r="A203" s="540">
        <v>3.1</v>
      </c>
      <c r="B203" s="837" t="s">
        <v>400</v>
      </c>
      <c r="C203" s="838"/>
      <c r="D203" s="20">
        <f>VLOOKUP(A203,'Point Allocation'!$A$46:$J$55,MATCH(A7,'Point Allocation'!$A$46:$J$46,0),0)</f>
        <v>4</v>
      </c>
      <c r="E203" s="38"/>
      <c r="F203" s="38"/>
      <c r="G203" s="31">
        <f>MIN(IFERROR(F203/E203,0),100%)</f>
        <v>0</v>
      </c>
      <c r="H203" s="20">
        <f>D203*G203</f>
        <v>0</v>
      </c>
      <c r="Q203" s="52"/>
      <c r="R203" s="44"/>
    </row>
    <row r="204" spans="1:18" s="29" customFormat="1">
      <c r="A204" s="540">
        <v>3.2</v>
      </c>
      <c r="B204" s="837" t="s">
        <v>401</v>
      </c>
      <c r="C204" s="838"/>
      <c r="D204" s="20">
        <f>VLOOKUP(A204,'Point Allocation'!$A$46:$J$55,MATCH(A7,'Point Allocation'!$A$46:$J$46,0),0)</f>
        <v>4</v>
      </c>
      <c r="E204" s="165"/>
      <c r="F204" s="38"/>
      <c r="G204" s="31">
        <f>MIN(IFERROR(F204/E204,0),100%)</f>
        <v>0</v>
      </c>
      <c r="H204" s="20">
        <f>D204*G204</f>
        <v>0</v>
      </c>
      <c r="Q204" s="52"/>
      <c r="R204" s="44"/>
    </row>
    <row r="205" spans="1:18" s="29" customFormat="1">
      <c r="A205" s="543">
        <v>3.3</v>
      </c>
      <c r="B205" s="858" t="s">
        <v>161</v>
      </c>
      <c r="C205" s="859"/>
      <c r="D205" s="20">
        <f>VLOOKUP(A205,'Point Allocation'!$A$46:$J$55,MATCH(A7,'Point Allocation'!$A$46:$J$46,0),0)</f>
        <v>4</v>
      </c>
      <c r="E205" s="166"/>
      <c r="F205" s="537"/>
      <c r="G205" s="31">
        <f>MIN(IFERROR(F205/E205,0),100%)</f>
        <v>0</v>
      </c>
      <c r="H205" s="20">
        <f>D205*G205</f>
        <v>0</v>
      </c>
      <c r="Q205" s="52"/>
      <c r="R205" s="44"/>
    </row>
    <row r="206" spans="1:18" s="29" customFormat="1" ht="15.6">
      <c r="A206" s="592"/>
      <c r="B206" s="307"/>
      <c r="C206" s="305"/>
      <c r="D206" s="306" t="s">
        <v>6</v>
      </c>
      <c r="E206" s="283">
        <f>MAX(SUM(E199:E205),F206)</f>
        <v>0</v>
      </c>
      <c r="F206" s="283">
        <f>SUM(F199:F205)</f>
        <v>0</v>
      </c>
      <c r="G206" s="322">
        <f>IFERROR(MIN(F206/E206,100%),0)</f>
        <v>0</v>
      </c>
      <c r="H206" s="593">
        <f>IFERROR(SUM(H199:H205),0)</f>
        <v>0</v>
      </c>
      <c r="Q206" s="52"/>
      <c r="R206" s="44"/>
    </row>
    <row r="207" spans="1:18" s="29" customFormat="1" ht="15.6">
      <c r="A207" s="592"/>
      <c r="B207" s="320"/>
      <c r="C207" s="323"/>
      <c r="D207" s="324"/>
      <c r="E207" s="323"/>
      <c r="F207" s="323"/>
      <c r="G207" s="325"/>
      <c r="H207" s="317"/>
      <c r="Q207" s="52"/>
      <c r="R207" s="44"/>
    </row>
    <row r="208" spans="1:18" s="29" customFormat="1" ht="15.6">
      <c r="A208" s="850" t="s">
        <v>0</v>
      </c>
      <c r="B208" s="851"/>
      <c r="C208" s="860"/>
      <c r="D208" s="862" t="s">
        <v>4</v>
      </c>
      <c r="E208" s="862" t="s">
        <v>1</v>
      </c>
      <c r="F208" s="862"/>
      <c r="G208" s="881" t="s">
        <v>21</v>
      </c>
      <c r="H208" s="881" t="s">
        <v>62</v>
      </c>
      <c r="Q208" s="52"/>
      <c r="R208" s="44"/>
    </row>
    <row r="209" spans="1:18" s="29" customFormat="1" ht="30.75" customHeight="1">
      <c r="A209" s="852"/>
      <c r="B209" s="853"/>
      <c r="C209" s="861"/>
      <c r="D209" s="862"/>
      <c r="E209" s="545" t="s">
        <v>64</v>
      </c>
      <c r="F209" s="545" t="s">
        <v>65</v>
      </c>
      <c r="G209" s="881"/>
      <c r="H209" s="881"/>
      <c r="Q209" s="52"/>
      <c r="R209" s="44"/>
    </row>
    <row r="210" spans="1:18" s="29" customFormat="1" ht="15.6">
      <c r="A210" s="45" t="s">
        <v>253</v>
      </c>
      <c r="B210" s="45" t="s">
        <v>254</v>
      </c>
      <c r="C210" s="56"/>
      <c r="D210" s="56"/>
      <c r="E210" s="56"/>
      <c r="F210" s="57"/>
      <c r="G210" s="104"/>
      <c r="H210" s="624"/>
      <c r="Q210" s="52"/>
      <c r="R210" s="44"/>
    </row>
    <row r="211" spans="1:18" s="29" customFormat="1" ht="15.6">
      <c r="A211" s="118">
        <v>4</v>
      </c>
      <c r="B211" s="118" t="s">
        <v>307</v>
      </c>
      <c r="C211" s="116"/>
      <c r="D211" s="119"/>
      <c r="E211" s="120"/>
      <c r="F211" s="120"/>
      <c r="G211" s="121"/>
      <c r="H211" s="640"/>
      <c r="Q211" s="52"/>
      <c r="R211" s="44"/>
    </row>
    <row r="212" spans="1:18" s="29" customFormat="1">
      <c r="A212" s="541">
        <v>4.0999999999999996</v>
      </c>
      <c r="B212" s="822" t="s">
        <v>155</v>
      </c>
      <c r="C212" s="824"/>
      <c r="D212" s="5" t="s">
        <v>50</v>
      </c>
      <c r="E212" s="20" t="s">
        <v>49</v>
      </c>
      <c r="F212" s="20">
        <f>VLOOKUP(A212,'Point Allocation'!$A$46:$J$55,MATCH(A7,'Point Allocation'!$A$46:$J$46,0),0)</f>
        <v>1.5</v>
      </c>
      <c r="G212" s="553"/>
      <c r="H212" s="20">
        <f>IF(G212&gt;=80%,F212,0)</f>
        <v>0</v>
      </c>
      <c r="Q212" s="52"/>
      <c r="R212" s="44"/>
    </row>
    <row r="213" spans="1:18" s="29" customFormat="1">
      <c r="A213" s="541">
        <v>4.2</v>
      </c>
      <c r="B213" s="822" t="s">
        <v>152</v>
      </c>
      <c r="C213" s="824"/>
      <c r="D213" s="5" t="s">
        <v>50</v>
      </c>
      <c r="E213" s="20" t="s">
        <v>49</v>
      </c>
      <c r="F213" s="20">
        <f>VLOOKUP(A213,'Point Allocation'!$A$46:$J$55,MATCH(A7,'Point Allocation'!$A$46:$J$46,0),0)</f>
        <v>1.5</v>
      </c>
      <c r="G213" s="553"/>
      <c r="H213" s="20">
        <f>IF(G213&gt;=80%,F213,0)</f>
        <v>0</v>
      </c>
      <c r="Q213" s="52"/>
      <c r="R213" s="44"/>
    </row>
    <row r="214" spans="1:18" s="29" customFormat="1">
      <c r="A214" s="541">
        <v>4.3</v>
      </c>
      <c r="B214" s="822" t="s">
        <v>146</v>
      </c>
      <c r="C214" s="824"/>
      <c r="D214" s="5" t="s">
        <v>3</v>
      </c>
      <c r="E214" s="20" t="s">
        <v>49</v>
      </c>
      <c r="F214" s="20">
        <f>VLOOKUP(A214,'Point Allocation'!$A$46:$J$55,MATCH(A7,'Point Allocation'!$A$46:$J$46,0),0)</f>
        <v>1.5</v>
      </c>
      <c r="G214" s="553"/>
      <c r="H214" s="20">
        <f>IF(G214&gt;=80%,F214,0)</f>
        <v>0</v>
      </c>
      <c r="Q214" s="52"/>
      <c r="R214" s="44"/>
    </row>
    <row r="215" spans="1:18" s="29" customFormat="1">
      <c r="A215" s="542">
        <v>4.4000000000000004</v>
      </c>
      <c r="B215" s="848" t="s">
        <v>252</v>
      </c>
      <c r="C215" s="849"/>
      <c r="D215" s="5" t="s">
        <v>3</v>
      </c>
      <c r="E215" s="20" t="s">
        <v>49</v>
      </c>
      <c r="F215" s="20">
        <f>VLOOKUP(A215,'Point Allocation'!$A$46:$J$55,MATCH(A7,'Point Allocation'!$A$46:$J$46,0),0)</f>
        <v>1.5</v>
      </c>
      <c r="G215" s="553"/>
      <c r="H215" s="20">
        <f>IF(G215&gt;=80%,F215,0)</f>
        <v>0</v>
      </c>
      <c r="Q215" s="52"/>
      <c r="R215" s="44"/>
    </row>
    <row r="216" spans="1:18" s="29" customFormat="1" ht="15.6">
      <c r="A216" s="118">
        <v>5</v>
      </c>
      <c r="B216" s="118" t="s">
        <v>202</v>
      </c>
      <c r="C216" s="116"/>
      <c r="D216" s="122"/>
      <c r="E216" s="123"/>
      <c r="F216" s="123"/>
      <c r="G216" s="124"/>
      <c r="H216" s="641"/>
      <c r="Q216" s="52"/>
      <c r="R216" s="44"/>
    </row>
    <row r="217" spans="1:18" s="29" customFormat="1">
      <c r="A217" s="591">
        <v>5.0999999999999996</v>
      </c>
      <c r="B217" s="765"/>
      <c r="C217" s="847"/>
      <c r="D217" s="391"/>
      <c r="E217" s="537"/>
      <c r="F217" s="537"/>
      <c r="G217" s="553"/>
      <c r="H217" s="633">
        <f>IF(G217&gt;=80%,F217,IF(G217&lt;65%,0,E217))</f>
        <v>0</v>
      </c>
      <c r="Q217" s="52"/>
      <c r="R217" s="44"/>
    </row>
    <row r="218" spans="1:18" s="29" customFormat="1">
      <c r="A218" s="591">
        <v>5.2</v>
      </c>
      <c r="B218" s="765"/>
      <c r="C218" s="847"/>
      <c r="D218" s="391"/>
      <c r="E218" s="537"/>
      <c r="F218" s="537"/>
      <c r="G218" s="553"/>
      <c r="H218" s="633">
        <f>IF(G218&gt;=80%,F218,IF(G218&lt;65%,0,E218))</f>
        <v>0</v>
      </c>
      <c r="Q218" s="52"/>
      <c r="R218" s="44"/>
    </row>
    <row r="219" spans="1:18" s="29" customFormat="1">
      <c r="A219" s="591">
        <v>5.3</v>
      </c>
      <c r="B219" s="765"/>
      <c r="C219" s="847"/>
      <c r="D219" s="391"/>
      <c r="E219" s="537"/>
      <c r="F219" s="537"/>
      <c r="G219" s="553"/>
      <c r="H219" s="633">
        <f>IF(G219&gt;=80%,F219,IF(G219&lt;65%,0,E219))</f>
        <v>0</v>
      </c>
      <c r="Q219" s="52"/>
      <c r="R219" s="44"/>
    </row>
    <row r="220" spans="1:18" s="29" customFormat="1" ht="15.6">
      <c r="A220" s="592"/>
      <c r="B220" s="326"/>
      <c r="C220" s="326"/>
      <c r="D220" s="314"/>
      <c r="E220" s="314"/>
      <c r="F220" s="314"/>
      <c r="G220" s="312" t="s">
        <v>7</v>
      </c>
      <c r="H220" s="617">
        <f>IFERROR(SUM(H212:H215,H217:H219),0)</f>
        <v>0</v>
      </c>
      <c r="Q220" s="52"/>
      <c r="R220" s="44"/>
    </row>
    <row r="221" spans="1:18" s="29" customFormat="1">
      <c r="A221" s="592"/>
      <c r="B221" s="307"/>
      <c r="C221" s="305"/>
      <c r="D221" s="305"/>
      <c r="E221" s="305"/>
      <c r="F221" s="305"/>
      <c r="G221" s="314"/>
      <c r="H221" s="571"/>
      <c r="Q221" s="52"/>
      <c r="R221" s="44"/>
    </row>
    <row r="222" spans="1:18" s="29" customFormat="1" ht="15.6">
      <c r="A222" s="850" t="s">
        <v>0</v>
      </c>
      <c r="B222" s="851"/>
      <c r="C222" s="860"/>
      <c r="D222" s="881" t="s">
        <v>4</v>
      </c>
      <c r="E222" s="862" t="s">
        <v>1</v>
      </c>
      <c r="F222" s="862"/>
      <c r="G222" s="881" t="s">
        <v>21</v>
      </c>
      <c r="H222" s="881" t="s">
        <v>62</v>
      </c>
      <c r="Q222" s="52"/>
      <c r="R222" s="44"/>
    </row>
    <row r="223" spans="1:18" s="29" customFormat="1" ht="31.2">
      <c r="A223" s="852"/>
      <c r="B223" s="853"/>
      <c r="C223" s="861"/>
      <c r="D223" s="862"/>
      <c r="E223" s="545" t="s">
        <v>64</v>
      </c>
      <c r="F223" s="545" t="s">
        <v>65</v>
      </c>
      <c r="G223" s="881"/>
      <c r="H223" s="881"/>
      <c r="Q223" s="52"/>
      <c r="R223" s="44"/>
    </row>
    <row r="224" spans="1:18" s="29" customFormat="1" ht="15.6">
      <c r="A224" s="105" t="s">
        <v>255</v>
      </c>
      <c r="B224" s="105" t="s">
        <v>518</v>
      </c>
      <c r="C224" s="125"/>
      <c r="D224" s="126"/>
      <c r="E224" s="126"/>
      <c r="F224" s="127"/>
      <c r="G224" s="128"/>
      <c r="H224" s="127"/>
      <c r="Q224" s="52"/>
      <c r="R224" s="44"/>
    </row>
    <row r="225" spans="1:18" s="29" customFormat="1" ht="15.6">
      <c r="A225" s="625" t="s">
        <v>188</v>
      </c>
      <c r="B225" s="822" t="s">
        <v>256</v>
      </c>
      <c r="C225" s="824"/>
      <c r="D225" s="94" t="s">
        <v>2</v>
      </c>
      <c r="E225" s="94">
        <v>1</v>
      </c>
      <c r="F225" s="94">
        <v>2</v>
      </c>
      <c r="G225" s="65"/>
      <c r="H225" s="94">
        <f>IF(G225&gt;=80%,F225,IF(G225&lt;65%,0,E225))</f>
        <v>0</v>
      </c>
      <c r="J225" s="131"/>
      <c r="Q225" s="52"/>
      <c r="R225" s="44"/>
    </row>
    <row r="226" spans="1:18" s="29" customFormat="1">
      <c r="A226" s="575" t="s">
        <v>189</v>
      </c>
      <c r="B226" s="825" t="s">
        <v>619</v>
      </c>
      <c r="C226" s="827"/>
      <c r="D226" s="94" t="s">
        <v>50</v>
      </c>
      <c r="E226" s="94">
        <v>0.5</v>
      </c>
      <c r="F226" s="94">
        <v>1</v>
      </c>
      <c r="G226" s="65"/>
      <c r="H226" s="94">
        <f>IF(G226&gt;=80%,F226,IF(G226&lt;65%,0,E226))</f>
        <v>0</v>
      </c>
      <c r="Q226" s="52"/>
      <c r="R226" s="44"/>
    </row>
    <row r="227" spans="1:18" s="29" customFormat="1" ht="15.6">
      <c r="A227" s="592"/>
      <c r="B227" s="307"/>
      <c r="C227" s="305"/>
      <c r="D227" s="305"/>
      <c r="E227" s="305"/>
      <c r="F227" s="308"/>
      <c r="G227" s="312" t="s">
        <v>109</v>
      </c>
      <c r="H227" s="129">
        <f>IFERROR(SUM(H225:H226),0)</f>
        <v>0</v>
      </c>
      <c r="Q227" s="52"/>
      <c r="R227" s="44"/>
    </row>
    <row r="228" spans="1:18" s="29" customFormat="1">
      <c r="A228" s="592"/>
      <c r="B228" s="307"/>
      <c r="C228" s="305"/>
      <c r="D228" s="305"/>
      <c r="E228" s="305"/>
      <c r="F228" s="305"/>
      <c r="G228" s="314"/>
      <c r="H228" s="571"/>
      <c r="Q228" s="52"/>
      <c r="R228" s="44"/>
    </row>
    <row r="229" spans="1:18" s="29" customFormat="1" ht="15.6">
      <c r="A229" s="592"/>
      <c r="B229" s="307"/>
      <c r="C229" s="305"/>
      <c r="D229" s="305"/>
      <c r="E229" s="305"/>
      <c r="F229" s="305"/>
      <c r="G229" s="312" t="s">
        <v>110</v>
      </c>
      <c r="H229" s="129">
        <f>IFERROR(MIN(SUM(H206+H220+H227),G194),0)</f>
        <v>0</v>
      </c>
      <c r="Q229" s="52"/>
      <c r="R229" s="44"/>
    </row>
    <row r="230" spans="1:18" s="29" customFormat="1" ht="16.2" thickBot="1">
      <c r="A230" s="594"/>
      <c r="B230" s="361"/>
      <c r="C230" s="362"/>
      <c r="D230" s="362"/>
      <c r="E230" s="362"/>
      <c r="F230" s="362"/>
      <c r="G230" s="364"/>
      <c r="H230" s="606"/>
      <c r="Q230" s="52"/>
      <c r="R230" s="44"/>
    </row>
    <row r="231" spans="1:18" s="29" customFormat="1" ht="15.6">
      <c r="A231" s="642" t="s">
        <v>129</v>
      </c>
      <c r="B231" s="455"/>
      <c r="C231" s="455"/>
      <c r="D231" s="455"/>
      <c r="E231" s="455"/>
      <c r="F231" s="456" t="s">
        <v>42</v>
      </c>
      <c r="G231" s="457">
        <v>20</v>
      </c>
      <c r="H231" s="643" t="s">
        <v>41</v>
      </c>
      <c r="Q231" s="52"/>
      <c r="R231" s="44"/>
    </row>
    <row r="232" spans="1:18" s="29" customFormat="1" ht="15.6">
      <c r="A232" s="592"/>
      <c r="B232" s="329"/>
      <c r="C232" s="305"/>
      <c r="D232" s="305"/>
      <c r="E232" s="305"/>
      <c r="F232" s="305"/>
      <c r="G232" s="314"/>
      <c r="H232" s="571"/>
      <c r="Q232" s="52"/>
      <c r="R232" s="44"/>
    </row>
    <row r="233" spans="1:18" s="29" customFormat="1" ht="33" customHeight="1">
      <c r="A233" s="854" t="s">
        <v>0</v>
      </c>
      <c r="B233" s="855"/>
      <c r="C233" s="132"/>
      <c r="D233" s="132"/>
      <c r="E233" s="133" t="s">
        <v>4</v>
      </c>
      <c r="F233" s="133" t="s">
        <v>69</v>
      </c>
      <c r="G233" s="134" t="s">
        <v>21</v>
      </c>
      <c r="H233" s="644" t="s">
        <v>62</v>
      </c>
      <c r="Q233" s="52"/>
      <c r="R233" s="44"/>
    </row>
    <row r="234" spans="1:18" s="29" customFormat="1" ht="15.6">
      <c r="A234" s="105" t="s">
        <v>257</v>
      </c>
      <c r="B234" s="105" t="s">
        <v>258</v>
      </c>
      <c r="C234" s="106"/>
      <c r="D234" s="106"/>
      <c r="E234" s="106"/>
      <c r="F234" s="57"/>
      <c r="G234" s="135"/>
      <c r="H234" s="645"/>
      <c r="I234" s="130"/>
      <c r="Q234" s="52"/>
      <c r="R234" s="44"/>
    </row>
    <row r="235" spans="1:18" s="29" customFormat="1" ht="15.6">
      <c r="A235" s="591">
        <v>1.1000000000000001</v>
      </c>
      <c r="B235" s="816" t="s">
        <v>122</v>
      </c>
      <c r="C235" s="817"/>
      <c r="D235" s="818"/>
      <c r="E235" s="548"/>
      <c r="F235" s="555"/>
      <c r="G235" s="65"/>
      <c r="H235" s="547">
        <f t="shared" ref="H235:H240" si="5">F235*G235</f>
        <v>0</v>
      </c>
      <c r="Q235" s="52"/>
      <c r="R235" s="44"/>
    </row>
    <row r="236" spans="1:18" s="29" customFormat="1" ht="15.6">
      <c r="A236" s="589">
        <v>1.2</v>
      </c>
      <c r="B236" s="844" t="s">
        <v>123</v>
      </c>
      <c r="C236" s="845"/>
      <c r="D236" s="846"/>
      <c r="E236" s="548"/>
      <c r="F236" s="555"/>
      <c r="G236" s="65"/>
      <c r="H236" s="547">
        <f t="shared" si="5"/>
        <v>0</v>
      </c>
      <c r="Q236" s="52"/>
      <c r="R236" s="44"/>
    </row>
    <row r="237" spans="1:18" s="29" customFormat="1" ht="15.6">
      <c r="A237" s="591">
        <v>1.3</v>
      </c>
      <c r="B237" s="816" t="s">
        <v>114</v>
      </c>
      <c r="C237" s="817"/>
      <c r="D237" s="818"/>
      <c r="E237" s="548"/>
      <c r="F237" s="555"/>
      <c r="G237" s="65"/>
      <c r="H237" s="547">
        <f t="shared" si="5"/>
        <v>0</v>
      </c>
      <c r="Q237" s="52"/>
      <c r="R237" s="44"/>
    </row>
    <row r="238" spans="1:18" s="29" customFormat="1" ht="15.6">
      <c r="A238" s="591">
        <v>1.4</v>
      </c>
      <c r="B238" s="816" t="s">
        <v>282</v>
      </c>
      <c r="C238" s="817"/>
      <c r="D238" s="818"/>
      <c r="E238" s="548"/>
      <c r="F238" s="555"/>
      <c r="G238" s="65"/>
      <c r="H238" s="547">
        <f t="shared" si="5"/>
        <v>0</v>
      </c>
      <c r="Q238" s="52"/>
      <c r="R238" s="44"/>
    </row>
    <row r="239" spans="1:18" s="29" customFormat="1" ht="15.6">
      <c r="A239" s="591">
        <v>1.5</v>
      </c>
      <c r="B239" s="816"/>
      <c r="C239" s="817"/>
      <c r="D239" s="818"/>
      <c r="E239" s="548"/>
      <c r="F239" s="555"/>
      <c r="G239" s="65"/>
      <c r="H239" s="547">
        <f t="shared" si="5"/>
        <v>0</v>
      </c>
      <c r="Q239" s="52"/>
      <c r="R239" s="44"/>
    </row>
    <row r="240" spans="1:18" s="29" customFormat="1" ht="15.6">
      <c r="A240" s="591">
        <v>1.6</v>
      </c>
      <c r="B240" s="816"/>
      <c r="C240" s="817"/>
      <c r="D240" s="818"/>
      <c r="E240" s="548"/>
      <c r="F240" s="166"/>
      <c r="G240" s="553"/>
      <c r="H240" s="547">
        <f t="shared" si="5"/>
        <v>0</v>
      </c>
      <c r="Q240" s="52"/>
      <c r="R240" s="44"/>
    </row>
    <row r="241" spans="1:18" s="29" customFormat="1" ht="15.6">
      <c r="A241" s="105" t="s">
        <v>260</v>
      </c>
      <c r="B241" s="105" t="s">
        <v>259</v>
      </c>
      <c r="C241" s="106"/>
      <c r="D241" s="106"/>
      <c r="E241" s="106"/>
      <c r="F241" s="57"/>
      <c r="G241" s="135"/>
      <c r="H241" s="645"/>
      <c r="Q241" s="52"/>
      <c r="R241" s="44"/>
    </row>
    <row r="242" spans="1:18" s="29" customFormat="1" ht="30.6" customHeight="1">
      <c r="A242" s="620">
        <v>2.1</v>
      </c>
      <c r="B242" s="825" t="s">
        <v>620</v>
      </c>
      <c r="C242" s="842"/>
      <c r="D242" s="843"/>
      <c r="E242" s="148" t="s">
        <v>367</v>
      </c>
      <c r="F242" s="389">
        <v>2</v>
      </c>
      <c r="G242" s="390"/>
      <c r="H242" s="547">
        <f>IFERROR(VLOOKUP(E242,J243:K246,2,FALSE),0)</f>
        <v>0</v>
      </c>
      <c r="J242" s="29" t="s">
        <v>367</v>
      </c>
      <c r="K242" s="29">
        <v>0</v>
      </c>
      <c r="Q242" s="52"/>
      <c r="R242" s="44"/>
    </row>
    <row r="243" spans="1:18" s="29" customFormat="1" ht="15.6">
      <c r="A243" s="592"/>
      <c r="B243" s="304"/>
      <c r="C243" s="305"/>
      <c r="D243" s="305"/>
      <c r="E243" s="305"/>
      <c r="F243" s="305"/>
      <c r="G243" s="312" t="s">
        <v>130</v>
      </c>
      <c r="H243" s="138">
        <f>IFERROR(MIN(SUM(H235:H242),G231),0)</f>
        <v>0</v>
      </c>
      <c r="J243" s="29" t="s">
        <v>363</v>
      </c>
      <c r="K243" s="29">
        <v>2</v>
      </c>
      <c r="Q243" s="44"/>
      <c r="R243" s="44"/>
    </row>
    <row r="244" spans="1:18" s="29" customFormat="1">
      <c r="A244" s="592"/>
      <c r="B244" s="307"/>
      <c r="C244" s="305"/>
      <c r="D244" s="305"/>
      <c r="E244" s="305"/>
      <c r="F244" s="305"/>
      <c r="G244" s="314"/>
      <c r="H244" s="571"/>
      <c r="J244" s="29" t="s">
        <v>364</v>
      </c>
      <c r="K244" s="29">
        <v>2</v>
      </c>
      <c r="Q244" s="44"/>
      <c r="R244" s="44"/>
    </row>
    <row r="245" spans="1:18" s="29" customFormat="1" ht="15.6">
      <c r="A245" s="592"/>
      <c r="B245" s="307"/>
      <c r="C245" s="305"/>
      <c r="D245" s="305"/>
      <c r="E245" s="305"/>
      <c r="F245" s="305"/>
      <c r="G245" s="312" t="s">
        <v>68</v>
      </c>
      <c r="H245" s="617">
        <f>IFERROR(H89+H192+H229+H243,0)</f>
        <v>0</v>
      </c>
      <c r="J245" s="29" t="s">
        <v>365</v>
      </c>
      <c r="K245" s="29">
        <v>2</v>
      </c>
      <c r="Q245" s="44"/>
      <c r="R245" s="44"/>
    </row>
    <row r="246" spans="1:18" s="29" customFormat="1">
      <c r="A246" s="592"/>
      <c r="B246" s="307"/>
      <c r="C246" s="305"/>
      <c r="D246" s="305"/>
      <c r="E246" s="305"/>
      <c r="F246" s="305"/>
      <c r="G246" s="314"/>
      <c r="H246" s="571"/>
      <c r="J246" s="29" t="s">
        <v>366</v>
      </c>
      <c r="K246" s="29">
        <v>2</v>
      </c>
      <c r="Q246" s="52"/>
      <c r="R246" s="44"/>
    </row>
    <row r="247" spans="1:18" s="29" customFormat="1" ht="15.75" customHeight="1">
      <c r="A247" s="592"/>
      <c r="B247" s="327" t="s">
        <v>37</v>
      </c>
      <c r="C247" s="314"/>
      <c r="D247" s="809" t="s">
        <v>372</v>
      </c>
      <c r="E247" s="809"/>
      <c r="F247" s="809"/>
      <c r="G247" s="314"/>
      <c r="H247" s="646"/>
      <c r="Q247" s="52"/>
      <c r="R247" s="44"/>
    </row>
    <row r="248" spans="1:18" s="29" customFormat="1" ht="15.6">
      <c r="A248" s="592"/>
      <c r="B248" s="328"/>
      <c r="C248" s="314"/>
      <c r="D248" s="809"/>
      <c r="E248" s="809"/>
      <c r="F248" s="809"/>
      <c r="G248" s="314"/>
      <c r="H248" s="646"/>
      <c r="Q248" s="52"/>
      <c r="R248" s="44"/>
    </row>
    <row r="249" spans="1:18" s="29" customFormat="1" ht="15.6">
      <c r="A249" s="647" t="s">
        <v>261</v>
      </c>
      <c r="B249" s="328" t="s">
        <v>99</v>
      </c>
      <c r="C249" s="347">
        <f>IFERROR(SUM(G32+G35+G37+G38+G47+G50),0)</f>
        <v>0</v>
      </c>
      <c r="D249" s="314" t="s">
        <v>265</v>
      </c>
      <c r="E249" s="137"/>
      <c r="F249" s="314" t="s">
        <v>266</v>
      </c>
      <c r="G249" s="139">
        <f>MIN(IFERROR(SUM(C249+E249),0),100%)</f>
        <v>0</v>
      </c>
      <c r="H249" s="571"/>
      <c r="L249" s="52"/>
      <c r="M249" s="44"/>
    </row>
    <row r="250" spans="1:18" s="29" customFormat="1" ht="15.6">
      <c r="A250" s="647" t="s">
        <v>262</v>
      </c>
      <c r="B250" s="328" t="s">
        <v>100</v>
      </c>
      <c r="C250" s="347">
        <f>IFERROR(SUM(F19+G96+G98+G100+G103+G106+G107+G108+G109+G110),0)</f>
        <v>0</v>
      </c>
      <c r="D250" s="314" t="s">
        <v>265</v>
      </c>
      <c r="E250" s="137"/>
      <c r="F250" s="314" t="s">
        <v>266</v>
      </c>
      <c r="G250" s="139">
        <f>MIN(IFERROR(SUM(C250+E250),0),100%)</f>
        <v>0</v>
      </c>
      <c r="H250" s="571"/>
      <c r="L250" s="52"/>
      <c r="M250" s="44"/>
    </row>
    <row r="251" spans="1:18" s="29" customFormat="1" ht="15.6">
      <c r="A251" s="647" t="s">
        <v>263</v>
      </c>
      <c r="B251" s="328" t="s">
        <v>101</v>
      </c>
      <c r="C251" s="347">
        <f>IFERROR(G206,0)</f>
        <v>0</v>
      </c>
      <c r="D251" s="314" t="s">
        <v>265</v>
      </c>
      <c r="E251" s="137"/>
      <c r="F251" s="286" t="s">
        <v>266</v>
      </c>
      <c r="G251" s="139">
        <f>MIN(IFERROR(SUM(C251+E251),0),100%)</f>
        <v>0</v>
      </c>
      <c r="H251" s="562"/>
      <c r="I251" s="3"/>
      <c r="J251" s="3"/>
      <c r="K251" s="3"/>
      <c r="L251" s="52"/>
      <c r="M251" s="44"/>
    </row>
    <row r="252" spans="1:18" s="29" customFormat="1">
      <c r="A252" s="622"/>
      <c r="B252" s="320"/>
      <c r="C252" s="323"/>
      <c r="D252" s="323"/>
      <c r="E252" s="323"/>
      <c r="F252" s="323"/>
      <c r="G252" s="648"/>
      <c r="H252" s="649"/>
      <c r="J252" s="3"/>
      <c r="K252" s="3"/>
      <c r="L252" s="3"/>
      <c r="M252" s="3"/>
      <c r="N252" s="3"/>
      <c r="O252" s="3"/>
      <c r="P252" s="3"/>
      <c r="Q252" s="52"/>
      <c r="R252" s="44"/>
    </row>
    <row r="253" spans="1:18" s="29" customFormat="1">
      <c r="A253" s="161"/>
      <c r="B253" s="3"/>
      <c r="C253" s="3"/>
      <c r="D253" s="3"/>
      <c r="E253" s="3"/>
      <c r="F253" s="3"/>
      <c r="G253" s="10"/>
      <c r="H253" s="3"/>
      <c r="J253" s="3"/>
      <c r="K253" s="3"/>
      <c r="L253" s="3"/>
      <c r="M253" s="3"/>
      <c r="N253" s="3"/>
      <c r="O253" s="3"/>
      <c r="P253" s="3"/>
      <c r="Q253" s="52"/>
      <c r="R253" s="44"/>
    </row>
    <row r="254" spans="1:18" s="29" customFormat="1">
      <c r="A254" s="161"/>
      <c r="B254" s="3"/>
      <c r="C254" s="3"/>
      <c r="D254" s="3"/>
      <c r="E254" s="3"/>
      <c r="F254" s="3"/>
      <c r="G254" s="10"/>
      <c r="H254" s="3"/>
      <c r="J254" s="3"/>
      <c r="K254" s="3"/>
      <c r="L254" s="3"/>
      <c r="M254" s="3"/>
      <c r="N254" s="3"/>
      <c r="O254" s="3"/>
      <c r="P254" s="3"/>
      <c r="Q254" s="52"/>
      <c r="R254" s="44"/>
    </row>
    <row r="255" spans="1:18" s="29" customFormat="1">
      <c r="A255" s="161"/>
      <c r="B255" s="3"/>
      <c r="C255" s="3"/>
      <c r="D255" s="3"/>
      <c r="E255" s="3"/>
      <c r="F255" s="3"/>
      <c r="G255" s="10"/>
      <c r="H255" s="3"/>
      <c r="J255" s="3"/>
      <c r="K255" s="3"/>
      <c r="L255" s="3"/>
      <c r="M255" s="3"/>
      <c r="N255" s="3"/>
      <c r="O255" s="3"/>
      <c r="P255" s="3"/>
      <c r="Q255" s="52"/>
      <c r="R255" s="44"/>
    </row>
    <row r="256" spans="1:18" s="29" customFormat="1">
      <c r="A256" s="161"/>
      <c r="B256" s="3"/>
      <c r="C256" s="3"/>
      <c r="D256" s="3"/>
      <c r="E256" s="3"/>
      <c r="F256" s="3"/>
      <c r="G256" s="10"/>
      <c r="H256" s="3"/>
      <c r="J256" s="3"/>
      <c r="K256" s="3"/>
      <c r="L256" s="3"/>
      <c r="M256" s="3"/>
      <c r="N256" s="3"/>
      <c r="O256" s="3"/>
      <c r="P256" s="3"/>
      <c r="Q256" s="44"/>
      <c r="R256" s="44"/>
    </row>
    <row r="257" spans="1:18" s="29" customFormat="1">
      <c r="A257" s="161"/>
      <c r="B257" s="3"/>
      <c r="C257" s="3"/>
      <c r="D257" s="3"/>
      <c r="E257" s="3"/>
      <c r="F257" s="3"/>
      <c r="G257" s="10"/>
      <c r="H257" s="3"/>
      <c r="J257" s="3"/>
      <c r="K257" s="3"/>
      <c r="L257" s="3"/>
      <c r="M257" s="3"/>
      <c r="N257" s="3"/>
      <c r="O257" s="3"/>
      <c r="P257" s="3"/>
      <c r="Q257" s="44"/>
      <c r="R257" s="44"/>
    </row>
    <row r="258" spans="1:18" s="29" customFormat="1">
      <c r="A258" s="161"/>
      <c r="B258" s="3"/>
      <c r="C258" s="3"/>
      <c r="D258" s="3"/>
      <c r="E258" s="3"/>
      <c r="F258" s="3"/>
      <c r="G258" s="10"/>
      <c r="H258" s="3"/>
      <c r="J258" s="3"/>
      <c r="K258" s="3"/>
      <c r="L258" s="3"/>
      <c r="M258" s="3"/>
      <c r="N258" s="3"/>
      <c r="O258" s="3"/>
      <c r="P258" s="3"/>
      <c r="Q258" s="44"/>
      <c r="R258" s="44"/>
    </row>
    <row r="259" spans="1:18" s="29" customFormat="1">
      <c r="A259" s="161"/>
      <c r="B259" s="3"/>
      <c r="C259" s="3"/>
      <c r="D259" s="3"/>
      <c r="E259" s="3"/>
      <c r="F259" s="3"/>
      <c r="G259" s="10"/>
      <c r="H259" s="3"/>
      <c r="J259" s="3"/>
      <c r="K259" s="3"/>
      <c r="L259" s="3"/>
      <c r="M259" s="3"/>
      <c r="N259" s="3"/>
      <c r="O259" s="3"/>
      <c r="P259" s="3"/>
      <c r="Q259" s="44"/>
      <c r="R259" s="44"/>
    </row>
  </sheetData>
  <sheetProtection algorithmName="SHA-512" hashValue="RdmesMu7pvdKkvPWU5ILtsah9dFlvrr8KT1zwDtJAF9Xd63JSbNqlx/xJE2s/pN7Nq5fwv+7+VHQ5ar6ZmBmNA==" saltValue="AOe6h11jS5BpWUYX7ClmTw==" spinCount="100000" sheet="1" selectLockedCells="1"/>
  <mergeCells count="236">
    <mergeCell ref="B21:C21"/>
    <mergeCell ref="B22:C22"/>
    <mergeCell ref="B23:C23"/>
    <mergeCell ref="B78:C78"/>
    <mergeCell ref="B157:C157"/>
    <mergeCell ref="B158:C158"/>
    <mergeCell ref="B172:C172"/>
    <mergeCell ref="B169:C169"/>
    <mergeCell ref="B170:C170"/>
    <mergeCell ref="B235:D235"/>
    <mergeCell ref="A162:A165"/>
    <mergeCell ref="A160:A161"/>
    <mergeCell ref="A7:B7"/>
    <mergeCell ref="D7:G7"/>
    <mergeCell ref="B127:C127"/>
    <mergeCell ref="B54:D54"/>
    <mergeCell ref="B56:D56"/>
    <mergeCell ref="B85:C85"/>
    <mergeCell ref="B86:C86"/>
    <mergeCell ref="B99:D99"/>
    <mergeCell ref="A98:A99"/>
    <mergeCell ref="A103:A104"/>
    <mergeCell ref="B65:C65"/>
    <mergeCell ref="B66:C66"/>
    <mergeCell ref="B81:C81"/>
    <mergeCell ref="B103:D103"/>
    <mergeCell ref="E103:E104"/>
    <mergeCell ref="F103:F104"/>
    <mergeCell ref="E74:F74"/>
    <mergeCell ref="D69:D72"/>
    <mergeCell ref="B115:D115"/>
    <mergeCell ref="F127:F128"/>
    <mergeCell ref="G127:G128"/>
    <mergeCell ref="A4:B4"/>
    <mergeCell ref="E162:F162"/>
    <mergeCell ref="E163:F163"/>
    <mergeCell ref="B141:C141"/>
    <mergeCell ref="B142:C142"/>
    <mergeCell ref="B132:C132"/>
    <mergeCell ref="B128:C128"/>
    <mergeCell ref="F131:F132"/>
    <mergeCell ref="A145:B145"/>
    <mergeCell ref="E98:E99"/>
    <mergeCell ref="F98:F99"/>
    <mergeCell ref="F145:G145"/>
    <mergeCell ref="B98:D98"/>
    <mergeCell ref="B106:D106"/>
    <mergeCell ref="B139:C139"/>
    <mergeCell ref="B140:C140"/>
    <mergeCell ref="B134:C134"/>
    <mergeCell ref="B156:C156"/>
    <mergeCell ref="A151:B152"/>
    <mergeCell ref="D151:D152"/>
    <mergeCell ref="A127:A128"/>
    <mergeCell ref="A131:A132"/>
    <mergeCell ref="B69:C69"/>
    <mergeCell ref="B68:C68"/>
    <mergeCell ref="H222:H223"/>
    <mergeCell ref="H184:H185"/>
    <mergeCell ref="H208:H209"/>
    <mergeCell ref="H151:H152"/>
    <mergeCell ref="E147:E148"/>
    <mergeCell ref="F147:G147"/>
    <mergeCell ref="F148:G148"/>
    <mergeCell ref="G208:G209"/>
    <mergeCell ref="G222:G223"/>
    <mergeCell ref="E151:F151"/>
    <mergeCell ref="G151:G152"/>
    <mergeCell ref="G184:G185"/>
    <mergeCell ref="G174:G175"/>
    <mergeCell ref="E208:F208"/>
    <mergeCell ref="E222:F222"/>
    <mergeCell ref="E184:F184"/>
    <mergeCell ref="E189:F189"/>
    <mergeCell ref="G176:G177"/>
    <mergeCell ref="E176:E177"/>
    <mergeCell ref="E164:F164"/>
    <mergeCell ref="E165:F165"/>
    <mergeCell ref="E160:F160"/>
    <mergeCell ref="H176:H177"/>
    <mergeCell ref="E161:F161"/>
    <mergeCell ref="D176:D177"/>
    <mergeCell ref="F176:F177"/>
    <mergeCell ref="E174:E175"/>
    <mergeCell ref="Q106:Q107"/>
    <mergeCell ref="G103:G104"/>
    <mergeCell ref="B160:C161"/>
    <mergeCell ref="D174:D175"/>
    <mergeCell ref="B117:D117"/>
    <mergeCell ref="H131:H132"/>
    <mergeCell ref="B110:D110"/>
    <mergeCell ref="B114:D114"/>
    <mergeCell ref="B118:D118"/>
    <mergeCell ref="B155:C155"/>
    <mergeCell ref="H127:H128"/>
    <mergeCell ref="B113:D113"/>
    <mergeCell ref="B129:C129"/>
    <mergeCell ref="D131:D132"/>
    <mergeCell ref="E127:E128"/>
    <mergeCell ref="E131:E132"/>
    <mergeCell ref="B135:C135"/>
    <mergeCell ref="B138:C138"/>
    <mergeCell ref="D147:D148"/>
    <mergeCell ref="G131:G132"/>
    <mergeCell ref="G98:G99"/>
    <mergeCell ref="F174:F175"/>
    <mergeCell ref="H98:H99"/>
    <mergeCell ref="B119:D119"/>
    <mergeCell ref="B131:C131"/>
    <mergeCell ref="D127:D128"/>
    <mergeCell ref="B73:C73"/>
    <mergeCell ref="B108:D108"/>
    <mergeCell ref="B109:D109"/>
    <mergeCell ref="B74:C74"/>
    <mergeCell ref="B125:C125"/>
    <mergeCell ref="B162:C165"/>
    <mergeCell ref="H160:H161"/>
    <mergeCell ref="G160:G161"/>
    <mergeCell ref="G162:G165"/>
    <mergeCell ref="H162:H165"/>
    <mergeCell ref="H174:H175"/>
    <mergeCell ref="B82:C82"/>
    <mergeCell ref="B159:C159"/>
    <mergeCell ref="H40:H45"/>
    <mergeCell ref="G61:G62"/>
    <mergeCell ref="H61:H62"/>
    <mergeCell ref="E61:F61"/>
    <mergeCell ref="A61:B62"/>
    <mergeCell ref="E40:E45"/>
    <mergeCell ref="B49:D49"/>
    <mergeCell ref="B107:D107"/>
    <mergeCell ref="A11:B12"/>
    <mergeCell ref="B25:C25"/>
    <mergeCell ref="A38:A39"/>
    <mergeCell ref="B38:D39"/>
    <mergeCell ref="E38:E39"/>
    <mergeCell ref="B44:D44"/>
    <mergeCell ref="B45:D45"/>
    <mergeCell ref="B47:D47"/>
    <mergeCell ref="B57:D57"/>
    <mergeCell ref="B50:D50"/>
    <mergeCell ref="D61:D62"/>
    <mergeCell ref="B104:D104"/>
    <mergeCell ref="B79:C79"/>
    <mergeCell ref="B96:D96"/>
    <mergeCell ref="A32:A33"/>
    <mergeCell ref="H103:H104"/>
    <mergeCell ref="B218:C218"/>
    <mergeCell ref="B219:C219"/>
    <mergeCell ref="C222:C223"/>
    <mergeCell ref="D222:D223"/>
    <mergeCell ref="F11:F12"/>
    <mergeCell ref="D11:D12"/>
    <mergeCell ref="B20:C20"/>
    <mergeCell ref="B24:C24"/>
    <mergeCell ref="B76:C76"/>
    <mergeCell ref="B71:C71"/>
    <mergeCell ref="B72:C72"/>
    <mergeCell ref="B58:D58"/>
    <mergeCell ref="B32:D32"/>
    <mergeCell ref="B35:D35"/>
    <mergeCell ref="B37:D37"/>
    <mergeCell ref="B14:C14"/>
    <mergeCell ref="B16:C16"/>
    <mergeCell ref="B17:C17"/>
    <mergeCell ref="E11:E12"/>
    <mergeCell ref="B15:C15"/>
    <mergeCell ref="B19:C19"/>
    <mergeCell ref="B48:D48"/>
    <mergeCell ref="C151:C152"/>
    <mergeCell ref="A196:B196"/>
    <mergeCell ref="B199:C199"/>
    <mergeCell ref="B188:C188"/>
    <mergeCell ref="B189:C189"/>
    <mergeCell ref="B187:C187"/>
    <mergeCell ref="A184:B185"/>
    <mergeCell ref="C184:C185"/>
    <mergeCell ref="A166:A167"/>
    <mergeCell ref="B166:C167"/>
    <mergeCell ref="B177:C177"/>
    <mergeCell ref="A176:A177"/>
    <mergeCell ref="B175:C175"/>
    <mergeCell ref="A174:A175"/>
    <mergeCell ref="B181:C181"/>
    <mergeCell ref="B179:C179"/>
    <mergeCell ref="B171:C171"/>
    <mergeCell ref="B176:C176"/>
    <mergeCell ref="B174:C174"/>
    <mergeCell ref="B242:D242"/>
    <mergeCell ref="B239:D239"/>
    <mergeCell ref="B240:D240"/>
    <mergeCell ref="B236:D236"/>
    <mergeCell ref="B237:D237"/>
    <mergeCell ref="B238:D238"/>
    <mergeCell ref="B204:C204"/>
    <mergeCell ref="B217:C217"/>
    <mergeCell ref="B180:C180"/>
    <mergeCell ref="B212:C212"/>
    <mergeCell ref="B213:C213"/>
    <mergeCell ref="B215:C215"/>
    <mergeCell ref="B214:C214"/>
    <mergeCell ref="A222:B223"/>
    <mergeCell ref="A233:B233"/>
    <mergeCell ref="A208:B209"/>
    <mergeCell ref="B225:C225"/>
    <mergeCell ref="B226:C226"/>
    <mergeCell ref="D184:D185"/>
    <mergeCell ref="B205:C205"/>
    <mergeCell ref="C208:C209"/>
    <mergeCell ref="D208:D209"/>
    <mergeCell ref="B203:C203"/>
    <mergeCell ref="B201:C201"/>
    <mergeCell ref="D247:F248"/>
    <mergeCell ref="B33:D33"/>
    <mergeCell ref="E32:E33"/>
    <mergeCell ref="F32:F33"/>
    <mergeCell ref="G32:G33"/>
    <mergeCell ref="H32:H33"/>
    <mergeCell ref="A100:A101"/>
    <mergeCell ref="B101:D101"/>
    <mergeCell ref="E100:E101"/>
    <mergeCell ref="F100:F101"/>
    <mergeCell ref="G100:G101"/>
    <mergeCell ref="H100:H101"/>
    <mergeCell ref="B53:D53"/>
    <mergeCell ref="B84:C84"/>
    <mergeCell ref="B100:D100"/>
    <mergeCell ref="H38:H39"/>
    <mergeCell ref="B40:D40"/>
    <mergeCell ref="B41:D41"/>
    <mergeCell ref="B42:D42"/>
    <mergeCell ref="B43:D43"/>
    <mergeCell ref="B77:C77"/>
    <mergeCell ref="B64:C64"/>
    <mergeCell ref="B70:C70"/>
    <mergeCell ref="B67:C67"/>
  </mergeCells>
  <dataValidations count="3">
    <dataValidation type="list" allowBlank="1" showInputMessage="1" showErrorMessage="1" sqref="F148:G148" xr:uid="{00000000-0002-0000-0500-000001000000}">
      <formula1>$K$145:$P$145</formula1>
    </dataValidation>
    <dataValidation type="list" allowBlank="1" showInputMessage="1" showErrorMessage="1" sqref="E242" xr:uid="{C64261B6-C630-4C15-A5CB-45EEBC4D8DEF}">
      <formula1>$J$242:$J$246</formula1>
    </dataValidation>
    <dataValidation type="list" allowBlank="1" showInputMessage="1" showErrorMessage="1" sqref="A7" xr:uid="{00000000-0002-0000-0500-000002000000}">
      <formula1>$J$1:$J$7</formula1>
    </dataValidation>
  </dataValidations>
  <pageMargins left="0.25" right="0.25" top="0.75" bottom="0.75" header="0.3" footer="0.3"/>
  <pageSetup paperSize="8" scale="79" fitToHeight="4" orientation="portrait" r:id="rId1"/>
  <headerFooter>
    <oddFooter>&amp;F</oddFooter>
  </headerFooter>
  <rowBreaks count="3" manualBreakCount="3">
    <brk id="60" max="8" man="1"/>
    <brk id="121" max="8" man="1"/>
    <brk id="183"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R259"/>
  <sheetViews>
    <sheetView zoomScale="80" zoomScaleNormal="80" zoomScaleSheetLayoutView="100" workbookViewId="0">
      <selection activeCell="A7" sqref="A7:B7"/>
    </sheetView>
  </sheetViews>
  <sheetFormatPr defaultColWidth="9.109375" defaultRowHeight="15"/>
  <cols>
    <col min="1" max="1" width="7" style="160"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29" style="3" hidden="1" customWidth="1"/>
    <col min="10" max="10" width="45.6640625" style="3" hidden="1" customWidth="1"/>
    <col min="11" max="15" width="9.109375" style="3" hidden="1" customWidth="1"/>
    <col min="16" max="16" width="9.6640625" style="3" hidden="1" customWidth="1"/>
    <col min="17" max="17" width="9.109375" style="3" customWidth="1"/>
    <col min="18" max="16384" width="9.109375" style="3"/>
  </cols>
  <sheetData>
    <row r="1" spans="1:15" ht="15.6">
      <c r="A1" s="558" t="s">
        <v>89</v>
      </c>
      <c r="B1" s="559"/>
      <c r="C1" s="559"/>
      <c r="D1" s="559"/>
      <c r="E1" s="559"/>
      <c r="F1" s="559"/>
      <c r="G1" s="559"/>
      <c r="H1" s="560"/>
      <c r="J1" s="3" t="s">
        <v>40</v>
      </c>
    </row>
    <row r="2" spans="1:15">
      <c r="A2" s="561"/>
      <c r="B2" s="264"/>
      <c r="C2" s="264"/>
      <c r="D2" s="264"/>
      <c r="E2" s="264"/>
      <c r="F2" s="264"/>
      <c r="G2" s="265"/>
      <c r="H2" s="562"/>
      <c r="I2" s="6"/>
      <c r="J2" s="6" t="s">
        <v>384</v>
      </c>
    </row>
    <row r="3" spans="1:15" ht="15.6">
      <c r="A3" s="563" t="s">
        <v>336</v>
      </c>
      <c r="B3" s="264"/>
      <c r="C3" s="264"/>
      <c r="D3" s="331" t="s">
        <v>134</v>
      </c>
      <c r="E3" s="331" t="s">
        <v>135</v>
      </c>
      <c r="F3" s="331" t="s">
        <v>136</v>
      </c>
      <c r="G3" s="289" t="s">
        <v>104</v>
      </c>
      <c r="H3" s="564" t="s">
        <v>62</v>
      </c>
      <c r="I3" s="6"/>
      <c r="J3" s="6" t="s">
        <v>44</v>
      </c>
    </row>
    <row r="4" spans="1:15" ht="15.6">
      <c r="A4" s="966">
        <f>Summary!A6</f>
        <v>0</v>
      </c>
      <c r="B4" s="967"/>
      <c r="C4" s="264"/>
      <c r="D4" s="74">
        <f>H89</f>
        <v>0</v>
      </c>
      <c r="E4" s="154">
        <f>H192</f>
        <v>0</v>
      </c>
      <c r="F4" s="129">
        <f>H229</f>
        <v>0</v>
      </c>
      <c r="G4" s="138">
        <f>H243</f>
        <v>0</v>
      </c>
      <c r="H4" s="565">
        <f>H245</f>
        <v>0</v>
      </c>
      <c r="I4" s="6"/>
      <c r="J4" s="6" t="s">
        <v>15</v>
      </c>
    </row>
    <row r="5" spans="1:15">
      <c r="A5" s="561"/>
      <c r="B5" s="264"/>
      <c r="C5" s="264"/>
      <c r="D5" s="264"/>
      <c r="E5" s="264"/>
      <c r="F5" s="264"/>
      <c r="G5" s="265"/>
      <c r="H5" s="562"/>
      <c r="I5" s="6"/>
      <c r="J5" s="6" t="s">
        <v>16</v>
      </c>
    </row>
    <row r="6" spans="1:15" s="4" customFormat="1" ht="15.6">
      <c r="A6" s="563" t="s">
        <v>90</v>
      </c>
      <c r="B6" s="296"/>
      <c r="C6" s="296"/>
      <c r="D6" s="297" t="s">
        <v>35</v>
      </c>
      <c r="E6" s="264"/>
      <c r="F6" s="264"/>
      <c r="G6" s="265"/>
      <c r="H6" s="562"/>
      <c r="I6" s="6"/>
      <c r="J6" s="6" t="s">
        <v>383</v>
      </c>
      <c r="K6" s="3"/>
      <c r="L6" s="3"/>
      <c r="M6" s="3"/>
    </row>
    <row r="7" spans="1:15" ht="15.75" customHeight="1">
      <c r="A7" s="976" t="s">
        <v>384</v>
      </c>
      <c r="B7" s="977"/>
      <c r="D7" s="761">
        <f>Summary!A78</f>
        <v>0</v>
      </c>
      <c r="E7" s="779"/>
      <c r="F7" s="779"/>
      <c r="G7" s="780"/>
      <c r="H7" s="566"/>
      <c r="I7" s="29"/>
      <c r="J7" s="29" t="s">
        <v>382</v>
      </c>
    </row>
    <row r="8" spans="1:15" ht="15.6" thickBot="1">
      <c r="A8" s="561"/>
      <c r="B8" s="298"/>
      <c r="C8" s="264"/>
      <c r="D8" s="264"/>
      <c r="E8" s="264"/>
      <c r="F8" s="264"/>
      <c r="G8" s="265"/>
      <c r="H8" s="562"/>
    </row>
    <row r="9" spans="1:15" ht="16.2" thickBot="1">
      <c r="A9" s="567" t="s">
        <v>125</v>
      </c>
      <c r="B9" s="140"/>
      <c r="C9" s="140"/>
      <c r="D9" s="140"/>
      <c r="E9" s="140"/>
      <c r="F9" s="141"/>
      <c r="G9" s="16"/>
      <c r="H9" s="568"/>
    </row>
    <row r="10" spans="1:15">
      <c r="A10" s="561"/>
      <c r="B10" s="299"/>
      <c r="C10" s="264"/>
      <c r="D10" s="264"/>
      <c r="E10" s="264"/>
      <c r="F10" s="264"/>
      <c r="G10" s="265"/>
      <c r="H10" s="562"/>
    </row>
    <row r="11" spans="1:15" ht="15.75" customHeight="1">
      <c r="A11" s="905" t="s">
        <v>0</v>
      </c>
      <c r="B11" s="906"/>
      <c r="C11" s="144"/>
      <c r="D11" s="883" t="s">
        <v>4</v>
      </c>
      <c r="E11" s="882" t="s">
        <v>80</v>
      </c>
      <c r="F11" s="882" t="s">
        <v>21</v>
      </c>
      <c r="G11" s="300"/>
      <c r="H11" s="569"/>
    </row>
    <row r="12" spans="1:15" ht="15.75" customHeight="1">
      <c r="A12" s="907"/>
      <c r="B12" s="908"/>
      <c r="C12" s="145"/>
      <c r="D12" s="884"/>
      <c r="E12" s="882"/>
      <c r="F12" s="882"/>
      <c r="G12" s="300"/>
      <c r="H12" s="569"/>
    </row>
    <row r="13" spans="1:15" s="29" customFormat="1" ht="15.6">
      <c r="A13" s="570" t="s">
        <v>127</v>
      </c>
      <c r="B13" s="167"/>
      <c r="C13" s="167"/>
      <c r="D13" s="167"/>
      <c r="E13" s="170"/>
      <c r="F13" s="170"/>
      <c r="G13" s="301"/>
      <c r="H13" s="571"/>
      <c r="N13" s="44"/>
      <c r="O13" s="44"/>
    </row>
    <row r="14" spans="1:15">
      <c r="A14" s="572">
        <v>1</v>
      </c>
      <c r="B14" s="826" t="s">
        <v>268</v>
      </c>
      <c r="C14" s="827"/>
      <c r="D14" s="511" t="s">
        <v>2</v>
      </c>
      <c r="E14" s="512" t="s">
        <v>49</v>
      </c>
      <c r="F14" s="30"/>
      <c r="G14" s="573" t="str">
        <f>IF(F14&lt;65%,"To comply with min. 65%"," ")</f>
        <v>To comply with min. 65%</v>
      </c>
      <c r="H14" s="574"/>
    </row>
    <row r="15" spans="1:15">
      <c r="A15" s="575">
        <v>2</v>
      </c>
      <c r="B15" s="826" t="s">
        <v>590</v>
      </c>
      <c r="C15" s="827"/>
      <c r="D15" s="513" t="s">
        <v>50</v>
      </c>
      <c r="E15" s="514" t="s">
        <v>49</v>
      </c>
      <c r="F15" s="553"/>
      <c r="G15" s="573" t="str">
        <f>IF(F15&lt;80%,"To comply with min. 80%"," ")</f>
        <v>To comply with min. 80%</v>
      </c>
      <c r="H15" s="562"/>
    </row>
    <row r="16" spans="1:15" ht="15" customHeight="1">
      <c r="A16" s="572">
        <v>3</v>
      </c>
      <c r="B16" s="826" t="s">
        <v>589</v>
      </c>
      <c r="C16" s="827"/>
      <c r="D16" s="513" t="s">
        <v>50</v>
      </c>
      <c r="E16" s="514" t="s">
        <v>49</v>
      </c>
      <c r="F16" s="553"/>
      <c r="G16" s="573" t="str">
        <f>IF(F16&lt;80%,"To comply with min. 80%"," ")</f>
        <v>To comply with min. 80%</v>
      </c>
      <c r="H16" s="569"/>
    </row>
    <row r="17" spans="1:18">
      <c r="A17" s="572">
        <v>4</v>
      </c>
      <c r="B17" s="826" t="s">
        <v>591</v>
      </c>
      <c r="C17" s="827"/>
      <c r="D17" s="515" t="s">
        <v>3</v>
      </c>
      <c r="E17" s="514" t="s">
        <v>49</v>
      </c>
      <c r="F17" s="553"/>
      <c r="G17" s="573" t="str">
        <f>IF(F17&lt;65%,"To comply with min. 65%"," ")</f>
        <v>To comply with min. 65%</v>
      </c>
      <c r="H17" s="569"/>
    </row>
    <row r="18" spans="1:18" s="29" customFormat="1" ht="15.6">
      <c r="A18" s="576" t="s">
        <v>126</v>
      </c>
      <c r="B18" s="167"/>
      <c r="C18" s="167"/>
      <c r="D18" s="167"/>
      <c r="E18" s="168"/>
      <c r="F18" s="169"/>
      <c r="G18" s="534"/>
      <c r="H18" s="571"/>
      <c r="J18" s="10"/>
      <c r="N18" s="44"/>
      <c r="O18" s="44"/>
    </row>
    <row r="19" spans="1:18" ht="32.25" customHeight="1">
      <c r="A19" s="577">
        <v>5</v>
      </c>
      <c r="B19" s="886" t="s">
        <v>269</v>
      </c>
      <c r="C19" s="887"/>
      <c r="D19" s="143" t="s">
        <v>3</v>
      </c>
      <c r="E19" s="537"/>
      <c r="F19" s="31">
        <f>IFERROR(E19/$F$120,0)</f>
        <v>0</v>
      </c>
      <c r="G19" s="573" t="str">
        <f>IF(OR($A$7=$J$2,$A$7=$J$3),IF(E19=0,"Please input wall length"," ")," ")</f>
        <v>Please input wall length</v>
      </c>
      <c r="H19" s="569"/>
    </row>
    <row r="20" spans="1:18">
      <c r="A20" s="577" t="s">
        <v>509</v>
      </c>
      <c r="B20" s="826" t="s">
        <v>270</v>
      </c>
      <c r="C20" s="827"/>
      <c r="D20" s="516" t="s">
        <v>50</v>
      </c>
      <c r="E20" s="514" t="s">
        <v>49</v>
      </c>
      <c r="F20" s="30"/>
      <c r="G20" s="573" t="str">
        <f>IF(OR($A$7=$J$2,$A$7=$J$3),IF(F20&lt;65%,"To comply with min. 65%"," ")," ")</f>
        <v>To comply with min. 65%</v>
      </c>
      <c r="H20" s="569"/>
    </row>
    <row r="21" spans="1:18">
      <c r="A21" s="577" t="s">
        <v>510</v>
      </c>
      <c r="B21" s="826" t="s">
        <v>592</v>
      </c>
      <c r="C21" s="827"/>
      <c r="D21" s="516" t="s">
        <v>50</v>
      </c>
      <c r="E21" s="514" t="s">
        <v>49</v>
      </c>
      <c r="F21" s="30"/>
      <c r="G21" s="573" t="str">
        <f>IF(OR($A$7=$J$2,$A$7=$J$3),IF(F21&lt;60%,"To comply with min. 60%"," ")," ")</f>
        <v>To comply with min. 60%</v>
      </c>
      <c r="H21" s="569"/>
    </row>
    <row r="22" spans="1:18">
      <c r="A22" s="577" t="s">
        <v>511</v>
      </c>
      <c r="B22" s="826" t="s">
        <v>593</v>
      </c>
      <c r="C22" s="827"/>
      <c r="D22" s="516" t="s">
        <v>50</v>
      </c>
      <c r="E22" s="514" t="s">
        <v>49</v>
      </c>
      <c r="F22" s="30"/>
      <c r="G22" s="573" t="str">
        <f>IF(OR($A$7=$J$2,$A$7=$J$3),IF(F22&lt;65%,"To comply with min. 65%"," ")," ")</f>
        <v>To comply with min. 65%</v>
      </c>
      <c r="H22" s="569"/>
    </row>
    <row r="23" spans="1:18">
      <c r="A23" s="577" t="s">
        <v>512</v>
      </c>
      <c r="B23" s="826" t="s">
        <v>594</v>
      </c>
      <c r="C23" s="827"/>
      <c r="D23" s="516" t="s">
        <v>50</v>
      </c>
      <c r="E23" s="514" t="s">
        <v>49</v>
      </c>
      <c r="F23" s="30"/>
      <c r="G23" s="573" t="str">
        <f>IF(OR($A$7=$J$2,$A$7=$J$3),IF(F23&lt;60%,"To comply with min. 60%"," ")," ")</f>
        <v>To comply with min. 60%</v>
      </c>
      <c r="H23" s="569"/>
    </row>
    <row r="24" spans="1:18">
      <c r="A24" s="577" t="s">
        <v>283</v>
      </c>
      <c r="B24" s="826" t="s">
        <v>595</v>
      </c>
      <c r="C24" s="827"/>
      <c r="D24" s="513" t="s">
        <v>50</v>
      </c>
      <c r="E24" s="514" t="s">
        <v>49</v>
      </c>
      <c r="F24" s="553"/>
      <c r="G24" s="573" t="str">
        <f>IF(OR($A$7=$J$2,$A$7=$J$3),IF(F24&lt;65%,"To comply with min. 65%"," ")," ")</f>
        <v>To comply with min. 65%</v>
      </c>
      <c r="H24" s="569"/>
    </row>
    <row r="25" spans="1:18">
      <c r="A25" s="577" t="s">
        <v>513</v>
      </c>
      <c r="B25" s="826" t="s">
        <v>596</v>
      </c>
      <c r="C25" s="827"/>
      <c r="D25" s="513" t="s">
        <v>50</v>
      </c>
      <c r="E25" s="514" t="s">
        <v>49</v>
      </c>
      <c r="F25" s="553"/>
      <c r="G25" s="573" t="str">
        <f>IF(OR($A$7=$J$2,$A$7=$J$3),IF(F25&lt;80%,"To comply with min. 80%"," ")," ")</f>
        <v>To comply with min. 80%</v>
      </c>
      <c r="H25" s="569"/>
    </row>
    <row r="26" spans="1:18">
      <c r="A26" s="561"/>
      <c r="B26" s="264"/>
      <c r="C26" s="264"/>
      <c r="D26" s="264"/>
      <c r="E26" s="264"/>
      <c r="F26" s="264"/>
      <c r="G26" s="265"/>
      <c r="H26" s="562"/>
      <c r="J26" s="6"/>
    </row>
    <row r="27" spans="1:18" ht="15.6">
      <c r="A27" s="578" t="s">
        <v>43</v>
      </c>
      <c r="B27" s="157"/>
      <c r="C27" s="157"/>
      <c r="D27" s="157"/>
      <c r="E27" s="157"/>
      <c r="F27" s="158" t="s">
        <v>42</v>
      </c>
      <c r="G27" s="159">
        <f>VLOOKUP($A$7,'Manpower allocation'!A4:D11,2,FALSE)*100</f>
        <v>45</v>
      </c>
      <c r="H27" s="579" t="s">
        <v>41</v>
      </c>
      <c r="I27" s="365">
        <f>VLOOKUP($A$7,'Manpower allocation'!A4:D11,2,FALSE)*100</f>
        <v>45</v>
      </c>
      <c r="J27" s="6"/>
    </row>
    <row r="28" spans="1:18" ht="15.6">
      <c r="A28" s="561"/>
      <c r="B28" s="302"/>
      <c r="C28" s="303"/>
      <c r="D28" s="264"/>
      <c r="E28" s="264"/>
      <c r="F28" s="264"/>
      <c r="G28" s="265"/>
      <c r="H28" s="562"/>
      <c r="J28" s="6"/>
    </row>
    <row r="29" spans="1:18" s="29" customFormat="1" ht="46.8">
      <c r="A29" s="580" t="s">
        <v>0</v>
      </c>
      <c r="B29" s="40"/>
      <c r="C29" s="40"/>
      <c r="D29" s="41"/>
      <c r="E29" s="42" t="s">
        <v>17</v>
      </c>
      <c r="F29" s="42" t="s">
        <v>113</v>
      </c>
      <c r="G29" s="42" t="s">
        <v>18</v>
      </c>
      <c r="H29" s="42" t="s">
        <v>52</v>
      </c>
      <c r="J29" s="43"/>
      <c r="Q29" s="44"/>
      <c r="R29" s="44"/>
    </row>
    <row r="30" spans="1:18" s="29" customFormat="1" ht="15.6">
      <c r="A30" s="581" t="s">
        <v>187</v>
      </c>
      <c r="B30" s="45" t="s">
        <v>203</v>
      </c>
      <c r="C30" s="46"/>
      <c r="D30" s="46"/>
      <c r="E30" s="47"/>
      <c r="F30" s="47"/>
      <c r="G30" s="47"/>
      <c r="H30" s="582"/>
      <c r="Q30" s="44"/>
      <c r="R30" s="44"/>
    </row>
    <row r="31" spans="1:18" s="29" customFormat="1" ht="15.6">
      <c r="A31" s="583">
        <v>1</v>
      </c>
      <c r="B31" s="39" t="s">
        <v>304</v>
      </c>
      <c r="C31" s="40"/>
      <c r="D31" s="48"/>
      <c r="E31" s="40"/>
      <c r="F31" s="49"/>
      <c r="G31" s="49"/>
      <c r="H31" s="584"/>
      <c r="Q31" s="44"/>
      <c r="R31" s="44"/>
    </row>
    <row r="32" spans="1:18" s="29" customFormat="1">
      <c r="A32" s="918">
        <v>1.1000000000000001</v>
      </c>
      <c r="B32" s="836" t="s">
        <v>271</v>
      </c>
      <c r="C32" s="885"/>
      <c r="D32" s="885"/>
      <c r="E32" s="811">
        <f>VLOOKUP(A32,'Point Allocation'!$A$5:$J$15,MATCH(A7,'Point Allocation'!$A$5:$J$5,0),0)</f>
        <v>45</v>
      </c>
      <c r="F32" s="812"/>
      <c r="G32" s="813">
        <f>IFERROR(F32/$F$59,0)</f>
        <v>0</v>
      </c>
      <c r="H32" s="811">
        <f>E32*G32</f>
        <v>0</v>
      </c>
      <c r="Q32" s="44"/>
      <c r="R32" s="44"/>
    </row>
    <row r="33" spans="1:18" s="29" customFormat="1" ht="15.6">
      <c r="A33" s="919"/>
      <c r="B33" s="810" t="s">
        <v>358</v>
      </c>
      <c r="C33" s="810"/>
      <c r="D33" s="810"/>
      <c r="E33" s="811"/>
      <c r="F33" s="812"/>
      <c r="G33" s="813">
        <f t="shared" ref="G33" si="0">IFERROR(F33/$F$59,0)</f>
        <v>0</v>
      </c>
      <c r="H33" s="811"/>
      <c r="Q33" s="44"/>
      <c r="R33" s="44"/>
    </row>
    <row r="34" spans="1:18" s="29" customFormat="1" ht="15.6">
      <c r="A34" s="583">
        <v>2</v>
      </c>
      <c r="B34" s="39" t="s">
        <v>305</v>
      </c>
      <c r="C34" s="50"/>
      <c r="D34" s="48"/>
      <c r="E34" s="51"/>
      <c r="F34" s="8"/>
      <c r="G34" s="22"/>
      <c r="H34" s="585"/>
      <c r="Q34" s="52"/>
      <c r="R34" s="44"/>
    </row>
    <row r="35" spans="1:18" s="29" customFormat="1">
      <c r="A35" s="586">
        <v>2.1</v>
      </c>
      <c r="B35" s="858" t="s">
        <v>192</v>
      </c>
      <c r="C35" s="859"/>
      <c r="D35" s="840"/>
      <c r="E35" s="20">
        <f>VLOOKUP(A35,'Point Allocation'!$A$5:$J$15,MATCH(A7,'Point Allocation'!$A$5:$J$5,0),0)</f>
        <v>42</v>
      </c>
      <c r="F35" s="537"/>
      <c r="G35" s="31">
        <f>IFERROR(F35/$F$59,0)</f>
        <v>0</v>
      </c>
      <c r="H35" s="20">
        <f>E35*G35</f>
        <v>0</v>
      </c>
      <c r="Q35" s="52"/>
      <c r="R35" s="44"/>
    </row>
    <row r="36" spans="1:18" s="29" customFormat="1" ht="15.6">
      <c r="A36" s="583">
        <v>3</v>
      </c>
      <c r="B36" s="39" t="s">
        <v>306</v>
      </c>
      <c r="C36" s="50"/>
      <c r="D36" s="48"/>
      <c r="E36" s="51"/>
      <c r="F36" s="8"/>
      <c r="G36" s="22"/>
      <c r="H36" s="585"/>
      <c r="Q36" s="52"/>
      <c r="R36" s="44"/>
    </row>
    <row r="37" spans="1:18" s="29" customFormat="1" ht="15" customHeight="1">
      <c r="A37" s="586">
        <v>3.1</v>
      </c>
      <c r="B37" s="858" t="s">
        <v>640</v>
      </c>
      <c r="C37" s="859"/>
      <c r="D37" s="840"/>
      <c r="E37" s="20">
        <f>VLOOKUP(A37,'Point Allocation'!$A$5:$J$15,MATCH(A7,'Point Allocation'!$A$5:$J$5,0),0)</f>
        <v>39</v>
      </c>
      <c r="F37" s="37"/>
      <c r="G37" s="31">
        <f>IFERROR(F37/$F$59,0)</f>
        <v>0</v>
      </c>
      <c r="H37" s="546">
        <f>E37*G37</f>
        <v>0</v>
      </c>
      <c r="Q37" s="52"/>
      <c r="R37" s="44"/>
    </row>
    <row r="38" spans="1:18" s="29" customFormat="1" ht="31.5" customHeight="1">
      <c r="A38" s="909">
        <v>3.2</v>
      </c>
      <c r="B38" s="863" t="s">
        <v>296</v>
      </c>
      <c r="C38" s="911"/>
      <c r="D38" s="864"/>
      <c r="E38" s="828">
        <f>VLOOKUP(A38,'Point Allocation'!$A$5:$J$15,MATCH(A7,'Point Allocation'!$A$5:$J$5,0),0)</f>
        <v>39</v>
      </c>
      <c r="F38" s="37"/>
      <c r="G38" s="31">
        <f>IFERROR(F38/$F$59,0)</f>
        <v>0</v>
      </c>
      <c r="H38" s="828">
        <f>IF(SUM(I40:I45)&gt;=4,E38*G38,0)</f>
        <v>0</v>
      </c>
      <c r="Q38" s="52"/>
      <c r="R38" s="44"/>
    </row>
    <row r="39" spans="1:18" s="29" customFormat="1" ht="46.95" customHeight="1">
      <c r="A39" s="910"/>
      <c r="B39" s="912"/>
      <c r="C39" s="913"/>
      <c r="D39" s="914"/>
      <c r="E39" s="829"/>
      <c r="F39" s="521" t="s">
        <v>601</v>
      </c>
      <c r="G39" s="53" t="s">
        <v>116</v>
      </c>
      <c r="H39" s="829"/>
      <c r="Q39" s="52"/>
      <c r="R39" s="44"/>
    </row>
    <row r="40" spans="1:18" s="29" customFormat="1" ht="112.2" customHeight="1">
      <c r="A40" s="587" t="s">
        <v>181</v>
      </c>
      <c r="B40" s="830" t="s">
        <v>323</v>
      </c>
      <c r="C40" s="831"/>
      <c r="D40" s="832"/>
      <c r="E40" s="900"/>
      <c r="F40" s="536" t="s">
        <v>609</v>
      </c>
      <c r="G40" s="552"/>
      <c r="H40" s="889"/>
      <c r="I40" s="54">
        <f t="shared" ref="I40:I45" si="1">IF(G40&gt;=65%,1,0)</f>
        <v>0</v>
      </c>
      <c r="Q40" s="52"/>
      <c r="R40" s="44"/>
    </row>
    <row r="41" spans="1:18" s="29" customFormat="1" ht="63" customHeight="1">
      <c r="A41" s="587" t="s">
        <v>182</v>
      </c>
      <c r="B41" s="833" t="s">
        <v>204</v>
      </c>
      <c r="C41" s="834"/>
      <c r="D41" s="835"/>
      <c r="E41" s="900"/>
      <c r="F41" s="483" t="s">
        <v>598</v>
      </c>
      <c r="G41" s="553"/>
      <c r="H41" s="889"/>
      <c r="I41" s="54">
        <f t="shared" si="1"/>
        <v>0</v>
      </c>
      <c r="Q41" s="52"/>
      <c r="R41" s="44"/>
    </row>
    <row r="42" spans="1:18" s="29" customFormat="1" ht="48.75" customHeight="1">
      <c r="A42" s="587" t="s">
        <v>190</v>
      </c>
      <c r="B42" s="833" t="s">
        <v>205</v>
      </c>
      <c r="C42" s="834"/>
      <c r="D42" s="835"/>
      <c r="E42" s="900"/>
      <c r="F42" s="483" t="s">
        <v>611</v>
      </c>
      <c r="G42" s="553"/>
      <c r="H42" s="889"/>
      <c r="I42" s="54">
        <f t="shared" si="1"/>
        <v>0</v>
      </c>
      <c r="Q42" s="52"/>
      <c r="R42" s="44"/>
    </row>
    <row r="43" spans="1:18" s="29" customFormat="1" ht="45">
      <c r="A43" s="587" t="s">
        <v>183</v>
      </c>
      <c r="B43" s="833" t="s">
        <v>206</v>
      </c>
      <c r="C43" s="834"/>
      <c r="D43" s="835"/>
      <c r="E43" s="900"/>
      <c r="F43" s="483" t="s">
        <v>597</v>
      </c>
      <c r="G43" s="553"/>
      <c r="H43" s="889"/>
      <c r="I43" s="54">
        <f t="shared" si="1"/>
        <v>0</v>
      </c>
      <c r="Q43" s="52"/>
      <c r="R43" s="44"/>
    </row>
    <row r="44" spans="1:18" s="29" customFormat="1" ht="63" customHeight="1">
      <c r="A44" s="587" t="s">
        <v>191</v>
      </c>
      <c r="B44" s="833" t="s">
        <v>207</v>
      </c>
      <c r="C44" s="834"/>
      <c r="D44" s="835"/>
      <c r="E44" s="900"/>
      <c r="F44" s="483" t="s">
        <v>599</v>
      </c>
      <c r="G44" s="553"/>
      <c r="H44" s="889"/>
      <c r="I44" s="54">
        <f t="shared" si="1"/>
        <v>0</v>
      </c>
      <c r="Q44" s="52"/>
      <c r="R44" s="44"/>
    </row>
    <row r="45" spans="1:18" s="29" customFormat="1" ht="31.5" customHeight="1">
      <c r="A45" s="587" t="s">
        <v>184</v>
      </c>
      <c r="B45" s="915" t="s">
        <v>610</v>
      </c>
      <c r="C45" s="916"/>
      <c r="D45" s="886"/>
      <c r="E45" s="901"/>
      <c r="F45" s="483" t="s">
        <v>600</v>
      </c>
      <c r="G45" s="553"/>
      <c r="H45" s="829"/>
      <c r="I45" s="54">
        <f t="shared" si="1"/>
        <v>0</v>
      </c>
      <c r="Q45" s="52"/>
      <c r="R45" s="44"/>
    </row>
    <row r="46" spans="1:18" s="29" customFormat="1" ht="15.6">
      <c r="A46" s="583" t="s">
        <v>185</v>
      </c>
      <c r="B46" s="39" t="s">
        <v>307</v>
      </c>
      <c r="C46" s="55"/>
      <c r="D46" s="48"/>
      <c r="E46" s="51"/>
      <c r="F46" s="36"/>
      <c r="G46" s="23"/>
      <c r="H46" s="588"/>
      <c r="Q46" s="52"/>
      <c r="R46" s="44"/>
    </row>
    <row r="47" spans="1:18" s="29" customFormat="1" ht="31.5" customHeight="1">
      <c r="A47" s="543">
        <v>4.0999999999999996</v>
      </c>
      <c r="B47" s="858" t="s">
        <v>602</v>
      </c>
      <c r="C47" s="859"/>
      <c r="D47" s="840"/>
      <c r="E47" s="20">
        <f>VLOOKUP(A47,'Point Allocation'!$A$5:$J$15,MATCH(A7,'Point Allocation'!$A$5:$J$5,0),0)</f>
        <v>35</v>
      </c>
      <c r="F47" s="537"/>
      <c r="G47" s="31">
        <f>IFERROR(F47/$F$59,0)</f>
        <v>0</v>
      </c>
      <c r="H47" s="20">
        <f>E47*G47</f>
        <v>0</v>
      </c>
      <c r="Q47" s="52"/>
      <c r="R47" s="44"/>
    </row>
    <row r="48" spans="1:18" s="29" customFormat="1">
      <c r="A48" s="589">
        <v>4.2</v>
      </c>
      <c r="B48" s="825" t="s">
        <v>313</v>
      </c>
      <c r="C48" s="826"/>
      <c r="D48" s="827"/>
      <c r="E48" s="20">
        <f>VLOOKUP(A48,'Point Allocation'!$A$5:$J$15,MATCH(A7,'Point Allocation'!$A$5:$J$5,0),0)</f>
        <v>35</v>
      </c>
      <c r="F48" s="537"/>
      <c r="G48" s="31">
        <f>IFERROR(F48/$F$59,0)</f>
        <v>0</v>
      </c>
      <c r="H48" s="20">
        <f>E48*G48</f>
        <v>0</v>
      </c>
      <c r="Q48" s="52"/>
      <c r="R48" s="44"/>
    </row>
    <row r="49" spans="1:18" s="29" customFormat="1">
      <c r="A49" s="589">
        <v>4.3</v>
      </c>
      <c r="B49" s="902" t="s">
        <v>311</v>
      </c>
      <c r="C49" s="903"/>
      <c r="D49" s="904"/>
      <c r="E49" s="20">
        <f>VLOOKUP(A49,'Point Allocation'!$A$5:$J$15,MATCH(A7,'Point Allocation'!$A$5:$J$5,0),0)</f>
        <v>28</v>
      </c>
      <c r="F49" s="537"/>
      <c r="G49" s="31">
        <f>IFERROR(F49/$F$59,0)</f>
        <v>0</v>
      </c>
      <c r="H49" s="20">
        <f>E49*G49</f>
        <v>0</v>
      </c>
      <c r="Q49" s="52"/>
      <c r="R49" s="44"/>
    </row>
    <row r="50" spans="1:18" s="29" customFormat="1">
      <c r="A50" s="543">
        <v>4.4000000000000004</v>
      </c>
      <c r="B50" s="858" t="s">
        <v>312</v>
      </c>
      <c r="C50" s="859"/>
      <c r="D50" s="840"/>
      <c r="E50" s="20">
        <f>VLOOKUP(A50,'Point Allocation'!$A$5:$J$15,MATCH(A7,'Point Allocation'!$A$5:$J$5,0),0)</f>
        <v>28</v>
      </c>
      <c r="F50" s="537"/>
      <c r="G50" s="31">
        <f>IFERROR(F50/$F$59,0)</f>
        <v>0</v>
      </c>
      <c r="H50" s="20">
        <f>E50*G50</f>
        <v>0</v>
      </c>
      <c r="Q50" s="52"/>
      <c r="R50" s="44"/>
    </row>
    <row r="51" spans="1:18" s="58" customFormat="1" ht="15.6">
      <c r="A51" s="581" t="s">
        <v>186</v>
      </c>
      <c r="B51" s="45" t="s">
        <v>200</v>
      </c>
      <c r="C51" s="56"/>
      <c r="D51" s="57"/>
      <c r="E51" s="7"/>
      <c r="F51" s="7"/>
      <c r="G51" s="24"/>
      <c r="H51" s="590"/>
      <c r="I51" s="29"/>
      <c r="J51" s="29"/>
      <c r="K51" s="29"/>
      <c r="L51" s="29"/>
      <c r="M51" s="29"/>
      <c r="Q51" s="59"/>
    </row>
    <row r="52" spans="1:18" s="58" customFormat="1" ht="15.6">
      <c r="A52" s="39">
        <v>5</v>
      </c>
      <c r="B52" s="39" t="s">
        <v>201</v>
      </c>
      <c r="C52" s="48"/>
      <c r="D52" s="48"/>
      <c r="E52" s="8"/>
      <c r="F52" s="8"/>
      <c r="G52" s="22"/>
      <c r="H52" s="588"/>
      <c r="I52" s="29"/>
      <c r="J52" s="29"/>
      <c r="K52" s="29"/>
      <c r="L52" s="29"/>
      <c r="M52" s="29"/>
      <c r="Q52" s="59"/>
    </row>
    <row r="53" spans="1:18" s="29" customFormat="1">
      <c r="A53" s="541">
        <v>5.0999999999999996</v>
      </c>
      <c r="B53" s="822" t="s">
        <v>193</v>
      </c>
      <c r="C53" s="823"/>
      <c r="D53" s="824"/>
      <c r="E53" s="20">
        <f>VLOOKUP(A53,'Point Allocation'!$A$5:$J$15,MATCH(A7,'Point Allocation'!$A$5:$J$5,0),0)</f>
        <v>22</v>
      </c>
      <c r="F53" s="537"/>
      <c r="G53" s="31">
        <f>IFERROR(F53/$F$59,0)</f>
        <v>0</v>
      </c>
      <c r="H53" s="20">
        <f>E53*G53</f>
        <v>0</v>
      </c>
      <c r="Q53" s="52"/>
      <c r="R53" s="44"/>
    </row>
    <row r="54" spans="1:18" s="29" customFormat="1">
      <c r="A54" s="541">
        <v>5.2</v>
      </c>
      <c r="B54" s="822" t="s">
        <v>142</v>
      </c>
      <c r="C54" s="823"/>
      <c r="D54" s="824"/>
      <c r="E54" s="20">
        <f>VLOOKUP(A54,'Point Allocation'!$A$5:$J$15,MATCH(A7,'Point Allocation'!$A$5:$J$5,0),0)</f>
        <v>10</v>
      </c>
      <c r="F54" s="537"/>
      <c r="G54" s="31">
        <f>IFERROR(F54/$F$59,0)</f>
        <v>0</v>
      </c>
      <c r="H54" s="20">
        <f>E54*G54</f>
        <v>0</v>
      </c>
      <c r="Q54" s="52"/>
      <c r="R54" s="44"/>
    </row>
    <row r="55" spans="1:18" s="29" customFormat="1" ht="15.6">
      <c r="A55" s="60">
        <v>6</v>
      </c>
      <c r="B55" s="60" t="s">
        <v>202</v>
      </c>
      <c r="C55" s="48"/>
      <c r="D55" s="48"/>
      <c r="E55" s="8"/>
      <c r="F55" s="8"/>
      <c r="G55" s="22"/>
      <c r="H55" s="588"/>
      <c r="Q55" s="52"/>
      <c r="R55" s="44"/>
    </row>
    <row r="56" spans="1:18" s="29" customFormat="1">
      <c r="A56" s="591">
        <v>6.1</v>
      </c>
      <c r="B56" s="762"/>
      <c r="C56" s="763"/>
      <c r="D56" s="803"/>
      <c r="E56" s="537"/>
      <c r="F56" s="537"/>
      <c r="G56" s="31">
        <f>IFERROR(F56/$F$59,0)</f>
        <v>0</v>
      </c>
      <c r="H56" s="20">
        <f>E56*G56</f>
        <v>0</v>
      </c>
      <c r="Q56" s="52"/>
      <c r="R56" s="44"/>
    </row>
    <row r="57" spans="1:18" s="29" customFormat="1">
      <c r="A57" s="591">
        <v>6.2</v>
      </c>
      <c r="B57" s="762"/>
      <c r="C57" s="763"/>
      <c r="D57" s="803"/>
      <c r="E57" s="537"/>
      <c r="F57" s="537"/>
      <c r="G57" s="31">
        <f>IFERROR(F57/$F$59,0)</f>
        <v>0</v>
      </c>
      <c r="H57" s="20">
        <f>E57*G57</f>
        <v>0</v>
      </c>
      <c r="Q57" s="52"/>
      <c r="R57" s="44"/>
    </row>
    <row r="58" spans="1:18" s="29" customFormat="1">
      <c r="A58" s="591">
        <v>6.3</v>
      </c>
      <c r="B58" s="762"/>
      <c r="C58" s="763"/>
      <c r="D58" s="803"/>
      <c r="E58" s="537"/>
      <c r="F58" s="537"/>
      <c r="G58" s="31">
        <f>IFERROR(F58/$F$59,0)</f>
        <v>0</v>
      </c>
      <c r="H58" s="20">
        <f>E58*G58</f>
        <v>0</v>
      </c>
      <c r="Q58" s="52"/>
      <c r="R58" s="44"/>
    </row>
    <row r="59" spans="1:18" s="29" customFormat="1" ht="15.6">
      <c r="A59" s="592"/>
      <c r="B59" s="304"/>
      <c r="C59" s="305"/>
      <c r="D59" s="305"/>
      <c r="E59" s="306" t="s">
        <v>60</v>
      </c>
      <c r="F59" s="26">
        <f>SUM(F32,F35,F37,F38,F47,F48,F49,F50,F53,F54,F56,F57,F58)</f>
        <v>0</v>
      </c>
      <c r="G59" s="25">
        <f>SUM(G32,G35:G35,G37:G38,G47:G50,G53:G54,G56:G58)</f>
        <v>0</v>
      </c>
      <c r="H59" s="593">
        <f>IFERROR(SUM(H32:H58),0)</f>
        <v>0</v>
      </c>
      <c r="M59" s="61"/>
      <c r="Q59" s="52"/>
      <c r="R59" s="44"/>
    </row>
    <row r="60" spans="1:18" s="29" customFormat="1" ht="15.6" thickBot="1">
      <c r="A60" s="594"/>
      <c r="B60" s="361"/>
      <c r="C60" s="362"/>
      <c r="D60" s="362"/>
      <c r="E60" s="362"/>
      <c r="F60" s="362"/>
      <c r="G60" s="354"/>
      <c r="H60" s="595"/>
      <c r="Q60" s="52"/>
      <c r="R60" s="44"/>
    </row>
    <row r="61" spans="1:18" s="29" customFormat="1" ht="15.6">
      <c r="A61" s="896" t="s">
        <v>0</v>
      </c>
      <c r="B61" s="897"/>
      <c r="C61" s="461"/>
      <c r="D61" s="892" t="s">
        <v>4</v>
      </c>
      <c r="E61" s="894" t="s">
        <v>1</v>
      </c>
      <c r="F61" s="895"/>
      <c r="G61" s="890" t="s">
        <v>21</v>
      </c>
      <c r="H61" s="892" t="s">
        <v>62</v>
      </c>
      <c r="Q61" s="52"/>
      <c r="R61" s="44"/>
    </row>
    <row r="62" spans="1:18" s="29" customFormat="1" ht="31.2">
      <c r="A62" s="898"/>
      <c r="B62" s="899"/>
      <c r="C62" s="62"/>
      <c r="D62" s="893"/>
      <c r="E62" s="42" t="s">
        <v>117</v>
      </c>
      <c r="F62" s="42" t="s">
        <v>118</v>
      </c>
      <c r="G62" s="891"/>
      <c r="H62" s="893"/>
      <c r="I62" s="63"/>
      <c r="Q62" s="52"/>
      <c r="R62" s="44"/>
    </row>
    <row r="63" spans="1:18" s="29" customFormat="1" ht="15.6">
      <c r="A63" s="45" t="s">
        <v>208</v>
      </c>
      <c r="B63" s="45" t="s">
        <v>139</v>
      </c>
      <c r="C63" s="57"/>
      <c r="D63" s="64"/>
      <c r="E63" s="47"/>
      <c r="F63" s="47"/>
      <c r="G63" s="47"/>
      <c r="H63" s="596"/>
      <c r="I63" s="61"/>
      <c r="J63" s="61"/>
      <c r="K63" s="61"/>
      <c r="L63" s="61"/>
      <c r="Q63" s="52"/>
      <c r="R63" s="44"/>
    </row>
    <row r="64" spans="1:18" s="29" customFormat="1" ht="15" customHeight="1">
      <c r="A64" s="597" t="s">
        <v>314</v>
      </c>
      <c r="B64" s="837" t="s">
        <v>647</v>
      </c>
      <c r="C64" s="838"/>
      <c r="D64" s="5" t="s">
        <v>50</v>
      </c>
      <c r="E64" s="9">
        <v>3</v>
      </c>
      <c r="F64" s="9">
        <v>4</v>
      </c>
      <c r="G64" s="30"/>
      <c r="H64" s="20">
        <f>IF(G64&gt;=80%,F64,IF(G64&lt;65%,0,E64))</f>
        <v>0</v>
      </c>
      <c r="Q64" s="52"/>
      <c r="R64" s="44"/>
    </row>
    <row r="65" spans="1:18" s="29" customFormat="1">
      <c r="A65" s="597" t="s">
        <v>315</v>
      </c>
      <c r="B65" s="837" t="s">
        <v>646</v>
      </c>
      <c r="C65" s="838"/>
      <c r="D65" s="5" t="s">
        <v>50</v>
      </c>
      <c r="E65" s="9">
        <v>3</v>
      </c>
      <c r="F65" s="9">
        <v>4</v>
      </c>
      <c r="G65" s="30"/>
      <c r="H65" s="20">
        <f>IF(G65&gt;=80%,F65,IF(G65&lt;65%,0,E65))</f>
        <v>0</v>
      </c>
      <c r="Q65" s="52"/>
      <c r="R65" s="44"/>
    </row>
    <row r="66" spans="1:18" s="29" customFormat="1">
      <c r="A66" s="598" t="s">
        <v>316</v>
      </c>
      <c r="B66" s="837" t="s">
        <v>641</v>
      </c>
      <c r="C66" s="838"/>
      <c r="D66" s="5" t="s">
        <v>50</v>
      </c>
      <c r="E66" s="9">
        <v>3</v>
      </c>
      <c r="F66" s="9">
        <v>4</v>
      </c>
      <c r="G66" s="30"/>
      <c r="H66" s="20">
        <f>IF(G66&gt;=80%,F66,IF(G66&lt;65%,0,E66))</f>
        <v>0</v>
      </c>
      <c r="Q66" s="52"/>
      <c r="R66" s="44"/>
    </row>
    <row r="67" spans="1:18" s="29" customFormat="1" ht="51" customHeight="1">
      <c r="A67" s="597">
        <v>7.2</v>
      </c>
      <c r="B67" s="841" t="s">
        <v>319</v>
      </c>
      <c r="C67" s="841"/>
      <c r="D67" s="385" t="s">
        <v>50</v>
      </c>
      <c r="E67" s="546">
        <v>2</v>
      </c>
      <c r="F67" s="546">
        <v>2.5</v>
      </c>
      <c r="G67" s="518"/>
      <c r="H67" s="546">
        <f>IF(H38&gt;0,0,IF(G67&gt;=80%,F67,IF(G67&lt;65%,0,E67)))</f>
        <v>0</v>
      </c>
      <c r="I67" s="11"/>
      <c r="J67" s="11"/>
      <c r="K67" s="11"/>
      <c r="Q67" s="52"/>
      <c r="R67" s="44"/>
    </row>
    <row r="68" spans="1:18" s="29" customFormat="1" ht="15" customHeight="1">
      <c r="A68" s="597">
        <v>7.3</v>
      </c>
      <c r="B68" s="858" t="s">
        <v>215</v>
      </c>
      <c r="C68" s="859"/>
      <c r="D68" s="353"/>
      <c r="E68" s="353"/>
      <c r="F68" s="353"/>
      <c r="G68" s="519"/>
      <c r="H68" s="599"/>
      <c r="I68" s="11"/>
      <c r="J68" s="11"/>
      <c r="K68" s="11"/>
      <c r="Q68" s="52"/>
      <c r="R68" s="44"/>
    </row>
    <row r="69" spans="1:18" s="29" customFormat="1" ht="32.25" customHeight="1">
      <c r="A69" s="598" t="s">
        <v>209</v>
      </c>
      <c r="B69" s="839" t="s">
        <v>216</v>
      </c>
      <c r="C69" s="840"/>
      <c r="D69" s="980" t="s">
        <v>50</v>
      </c>
      <c r="E69" s="279">
        <v>1</v>
      </c>
      <c r="F69" s="279">
        <v>1.5</v>
      </c>
      <c r="G69" s="553"/>
      <c r="H69" s="279">
        <f>IF(H32+H38&gt;0,0.5,IF(G69&gt;=80%,F69,IF(G69&lt;65%,0,E69)))</f>
        <v>0</v>
      </c>
      <c r="J69" s="11"/>
      <c r="K69" s="11"/>
      <c r="Q69" s="52"/>
      <c r="R69" s="44"/>
    </row>
    <row r="70" spans="1:18" s="29" customFormat="1" ht="47.25" customHeight="1">
      <c r="A70" s="598" t="s">
        <v>210</v>
      </c>
      <c r="B70" s="839" t="s">
        <v>217</v>
      </c>
      <c r="C70" s="840"/>
      <c r="D70" s="981"/>
      <c r="E70" s="279">
        <v>1</v>
      </c>
      <c r="F70" s="279">
        <v>1.5</v>
      </c>
      <c r="G70" s="553"/>
      <c r="H70" s="279">
        <f>IF(H32+H38&gt;0,0.5,IF(G70&gt;=80%,F70,IF(G70&lt;65%,0,E70)))</f>
        <v>0</v>
      </c>
      <c r="Q70" s="52"/>
      <c r="R70" s="44"/>
    </row>
    <row r="71" spans="1:18" s="29" customFormat="1">
      <c r="A71" s="598" t="s">
        <v>222</v>
      </c>
      <c r="B71" s="839" t="s">
        <v>218</v>
      </c>
      <c r="C71" s="840"/>
      <c r="D71" s="981"/>
      <c r="E71" s="279">
        <v>1</v>
      </c>
      <c r="F71" s="279">
        <v>1.5</v>
      </c>
      <c r="G71" s="553"/>
      <c r="H71" s="279">
        <f>IF(H32+H38&gt;0,0.5,IF(G71&gt;=80%,F71,IF(G71&lt;65%,0,E71)))</f>
        <v>0</v>
      </c>
      <c r="Q71" s="52"/>
      <c r="R71" s="44"/>
    </row>
    <row r="72" spans="1:18" s="29" customFormat="1" ht="46.5" customHeight="1">
      <c r="A72" s="598" t="s">
        <v>211</v>
      </c>
      <c r="B72" s="839" t="s">
        <v>219</v>
      </c>
      <c r="C72" s="840"/>
      <c r="D72" s="982"/>
      <c r="E72" s="279">
        <v>1</v>
      </c>
      <c r="F72" s="279">
        <v>1.5</v>
      </c>
      <c r="G72" s="553"/>
      <c r="H72" s="279">
        <f>IF(H32+H38&gt;0,0.5,IF(G72&gt;=80%,F72,IF(G72&lt;65%,0,E72)))</f>
        <v>0</v>
      </c>
      <c r="Q72" s="52"/>
      <c r="R72" s="44"/>
    </row>
    <row r="73" spans="1:18" s="29" customFormat="1">
      <c r="A73" s="597">
        <v>7.4</v>
      </c>
      <c r="B73" s="923" t="s">
        <v>393</v>
      </c>
      <c r="C73" s="923"/>
      <c r="D73" s="332" t="s">
        <v>2</v>
      </c>
      <c r="E73" s="279">
        <v>1</v>
      </c>
      <c r="F73" s="279">
        <v>1.5</v>
      </c>
      <c r="G73" s="553"/>
      <c r="H73" s="279">
        <f>IF(G73&gt;=80%,F73,IF(G73&lt;65%,0,E73))</f>
        <v>0</v>
      </c>
      <c r="Q73" s="52"/>
      <c r="R73" s="44"/>
    </row>
    <row r="74" spans="1:18" s="29" customFormat="1" ht="15" customHeight="1">
      <c r="A74" s="600">
        <v>7.5</v>
      </c>
      <c r="B74" s="928" t="s">
        <v>380</v>
      </c>
      <c r="C74" s="928"/>
      <c r="D74" s="490" t="s">
        <v>377</v>
      </c>
      <c r="E74" s="979">
        <v>2</v>
      </c>
      <c r="F74" s="979"/>
      <c r="G74" s="552"/>
      <c r="H74" s="557">
        <f>IF(G74&gt;=5%,E74,0)</f>
        <v>0</v>
      </c>
      <c r="Q74" s="52"/>
      <c r="R74" s="44"/>
    </row>
    <row r="75" spans="1:18" s="29" customFormat="1" ht="15.6">
      <c r="A75" s="66" t="s">
        <v>212</v>
      </c>
      <c r="B75" s="66" t="s">
        <v>517</v>
      </c>
      <c r="C75" s="67"/>
      <c r="D75" s="68"/>
      <c r="E75" s="69"/>
      <c r="F75" s="69"/>
      <c r="G75" s="69"/>
      <c r="H75" s="601"/>
      <c r="Q75" s="52"/>
      <c r="R75" s="44"/>
    </row>
    <row r="76" spans="1:18" s="29" customFormat="1">
      <c r="A76" s="597">
        <v>8.1</v>
      </c>
      <c r="B76" s="836" t="s">
        <v>220</v>
      </c>
      <c r="C76" s="836"/>
      <c r="D76" s="5" t="s">
        <v>50</v>
      </c>
      <c r="E76" s="20">
        <v>2</v>
      </c>
      <c r="F76" s="20">
        <v>2.5</v>
      </c>
      <c r="G76" s="553"/>
      <c r="H76" s="20">
        <f>IF(G76&gt;=80%,F76,IF(G76&lt;65%,0,E76))</f>
        <v>0</v>
      </c>
      <c r="I76" s="70"/>
      <c r="Q76" s="52"/>
      <c r="R76" s="44"/>
    </row>
    <row r="77" spans="1:18" s="29" customFormat="1">
      <c r="A77" s="597">
        <v>8.1999999999999993</v>
      </c>
      <c r="B77" s="836" t="s">
        <v>221</v>
      </c>
      <c r="C77" s="836"/>
      <c r="D77" s="5" t="s">
        <v>50</v>
      </c>
      <c r="E77" s="20">
        <v>2</v>
      </c>
      <c r="F77" s="20">
        <v>2.5</v>
      </c>
      <c r="G77" s="553"/>
      <c r="H77" s="20">
        <f>IF(G77&gt;=80%,F77,IF(G77&lt;65%,0,E77))</f>
        <v>0</v>
      </c>
      <c r="I77" s="11"/>
      <c r="J77" s="11"/>
      <c r="K77" s="11"/>
      <c r="Q77" s="52"/>
      <c r="R77" s="44"/>
    </row>
    <row r="78" spans="1:18" s="29" customFormat="1" ht="30.6" customHeight="1">
      <c r="A78" s="602">
        <v>8.3000000000000007</v>
      </c>
      <c r="B78" s="825" t="s">
        <v>607</v>
      </c>
      <c r="C78" s="827"/>
      <c r="D78" s="420" t="s">
        <v>50</v>
      </c>
      <c r="E78" s="434">
        <v>2</v>
      </c>
      <c r="F78" s="434">
        <v>2.5</v>
      </c>
      <c r="G78" s="553"/>
      <c r="H78" s="279">
        <f>IF(H76&gt;0,0,IF(G78&gt;=80%,F78,IF(G78&lt;65%,0,E78)))</f>
        <v>0</v>
      </c>
      <c r="I78" s="11"/>
      <c r="J78" s="11"/>
      <c r="K78" s="11"/>
      <c r="Q78" s="52"/>
      <c r="R78" s="44"/>
    </row>
    <row r="79" spans="1:18" s="29" customFormat="1">
      <c r="A79" s="602">
        <v>8.4</v>
      </c>
      <c r="B79" s="917" t="s">
        <v>138</v>
      </c>
      <c r="C79" s="843"/>
      <c r="D79" s="420" t="s">
        <v>2</v>
      </c>
      <c r="E79" s="434">
        <v>2</v>
      </c>
      <c r="F79" s="434">
        <v>2.5</v>
      </c>
      <c r="G79" s="30"/>
      <c r="H79" s="20">
        <f>IF(G79&gt;=80%,F79,IF(G79&lt;65%,0,E79))</f>
        <v>0</v>
      </c>
      <c r="Q79" s="52"/>
      <c r="R79" s="44"/>
    </row>
    <row r="80" spans="1:18" s="29" customFormat="1" ht="15.6">
      <c r="A80" s="66" t="s">
        <v>213</v>
      </c>
      <c r="B80" s="66" t="s">
        <v>518</v>
      </c>
      <c r="C80" s="67"/>
      <c r="D80" s="68"/>
      <c r="E80" s="69"/>
      <c r="F80" s="69"/>
      <c r="G80" s="69"/>
      <c r="H80" s="601"/>
      <c r="Q80" s="52"/>
      <c r="R80" s="44"/>
    </row>
    <row r="81" spans="1:18" s="29" customFormat="1" ht="31.5" customHeight="1">
      <c r="A81" s="602">
        <v>9.1</v>
      </c>
      <c r="B81" s="978" t="s">
        <v>514</v>
      </c>
      <c r="C81" s="978"/>
      <c r="D81" s="420" t="s">
        <v>50</v>
      </c>
      <c r="E81" s="434" t="s">
        <v>49</v>
      </c>
      <c r="F81" s="434">
        <v>2.5</v>
      </c>
      <c r="G81" s="517">
        <f>F21</f>
        <v>0</v>
      </c>
      <c r="H81" s="434">
        <f>IF(G81&gt;=80%,F81,0)</f>
        <v>0</v>
      </c>
      <c r="Q81" s="52"/>
      <c r="R81" s="44"/>
    </row>
    <row r="82" spans="1:18" s="29" customFormat="1" ht="31.5" customHeight="1">
      <c r="A82" s="602">
        <v>9.1999999999999993</v>
      </c>
      <c r="B82" s="825" t="s">
        <v>608</v>
      </c>
      <c r="C82" s="827"/>
      <c r="D82" s="420" t="s">
        <v>50</v>
      </c>
      <c r="E82" s="434">
        <v>2</v>
      </c>
      <c r="F82" s="434">
        <v>2.5</v>
      </c>
      <c r="G82" s="553"/>
      <c r="H82" s="279">
        <f>IF(G82&gt;=80%,F82,IF(G82&lt;65%,0,E82))</f>
        <v>0</v>
      </c>
      <c r="Q82" s="52"/>
      <c r="R82" s="44"/>
    </row>
    <row r="83" spans="1:18" s="29" customFormat="1" ht="15.6">
      <c r="A83" s="71" t="s">
        <v>214</v>
      </c>
      <c r="B83" s="71" t="s">
        <v>202</v>
      </c>
      <c r="C83" s="57"/>
      <c r="D83" s="57"/>
      <c r="E83" s="72"/>
      <c r="F83" s="72"/>
      <c r="G83" s="73"/>
      <c r="H83" s="603"/>
      <c r="Q83" s="52"/>
      <c r="R83" s="44"/>
    </row>
    <row r="84" spans="1:18" s="29" customFormat="1">
      <c r="A84" s="597">
        <v>10.1</v>
      </c>
      <c r="B84" s="776"/>
      <c r="C84" s="776"/>
      <c r="D84" s="520"/>
      <c r="E84" s="537"/>
      <c r="F84" s="537"/>
      <c r="G84" s="553"/>
      <c r="H84" s="20">
        <f>IF(G84&gt;=80%,F84,IF(G84&lt;65%,0,E84))</f>
        <v>0</v>
      </c>
      <c r="Q84" s="52"/>
      <c r="R84" s="44"/>
    </row>
    <row r="85" spans="1:18" s="29" customFormat="1">
      <c r="A85" s="597">
        <v>10.199999999999999</v>
      </c>
      <c r="B85" s="776"/>
      <c r="C85" s="776"/>
      <c r="D85" s="520"/>
      <c r="E85" s="537"/>
      <c r="F85" s="537"/>
      <c r="G85" s="553"/>
      <c r="H85" s="20">
        <f>IF(G85&gt;=80%,F85,IF(G85&lt;65%,0,E85))</f>
        <v>0</v>
      </c>
      <c r="Q85" s="52"/>
      <c r="R85" s="44"/>
    </row>
    <row r="86" spans="1:18" s="29" customFormat="1">
      <c r="A86" s="597">
        <v>10.3</v>
      </c>
      <c r="B86" s="776"/>
      <c r="C86" s="776"/>
      <c r="D86" s="520"/>
      <c r="E86" s="537"/>
      <c r="F86" s="537"/>
      <c r="G86" s="553"/>
      <c r="H86" s="20">
        <f>IF(G86&gt;=80%,F86,IF(G86&lt;65%,0,E86))</f>
        <v>0</v>
      </c>
      <c r="Q86" s="52"/>
      <c r="R86" s="44"/>
    </row>
    <row r="87" spans="1:18" s="29" customFormat="1" ht="15.6">
      <c r="A87" s="604"/>
      <c r="B87" s="307"/>
      <c r="C87" s="305"/>
      <c r="D87" s="305"/>
      <c r="E87" s="308"/>
      <c r="F87" s="309"/>
      <c r="G87" s="310" t="s">
        <v>375</v>
      </c>
      <c r="H87" s="605">
        <f>IFERROR((SUM(H64:H86)),0)</f>
        <v>0</v>
      </c>
      <c r="Q87" s="52"/>
      <c r="R87" s="44"/>
    </row>
    <row r="88" spans="1:18" s="29" customFormat="1">
      <c r="A88" s="592"/>
      <c r="B88" s="307"/>
      <c r="C88" s="305"/>
      <c r="D88" s="305"/>
      <c r="E88" s="305"/>
      <c r="F88" s="305"/>
      <c r="G88" s="311"/>
      <c r="H88" s="571"/>
      <c r="Q88" s="52"/>
      <c r="R88" s="44"/>
    </row>
    <row r="89" spans="1:18" s="29" customFormat="1" ht="15.6">
      <c r="A89" s="592"/>
      <c r="B89" s="307"/>
      <c r="C89" s="305"/>
      <c r="D89" s="305"/>
      <c r="E89" s="305"/>
      <c r="F89" s="305"/>
      <c r="G89" s="312" t="s">
        <v>128</v>
      </c>
      <c r="H89" s="74">
        <f>IFERROR(MIN(G27,H59+H87),0)</f>
        <v>0</v>
      </c>
      <c r="Q89" s="52"/>
      <c r="R89" s="44"/>
    </row>
    <row r="90" spans="1:18" s="29" customFormat="1" ht="16.2" thickBot="1">
      <c r="A90" s="594"/>
      <c r="B90" s="361"/>
      <c r="C90" s="362"/>
      <c r="D90" s="362"/>
      <c r="E90" s="362"/>
      <c r="F90" s="362"/>
      <c r="G90" s="364"/>
      <c r="H90" s="606"/>
      <c r="Q90" s="52"/>
      <c r="R90" s="44"/>
    </row>
    <row r="91" spans="1:18" s="29" customFormat="1" ht="15.6">
      <c r="A91" s="607" t="s">
        <v>51</v>
      </c>
      <c r="B91" s="358"/>
      <c r="C91" s="358"/>
      <c r="D91" s="358"/>
      <c r="E91" s="358"/>
      <c r="F91" s="359" t="s">
        <v>42</v>
      </c>
      <c r="G91" s="360">
        <f>VLOOKUP($A$7,'Manpower allocation'!A4:D11,3,FALSE)*100</f>
        <v>40</v>
      </c>
      <c r="H91" s="608" t="s">
        <v>41</v>
      </c>
      <c r="I91" s="75">
        <f>VLOOKUP($A$7,'Manpower allocation'!A4:D11,3,FALSE)*100</f>
        <v>40</v>
      </c>
      <c r="Q91" s="52"/>
      <c r="R91" s="44"/>
    </row>
    <row r="92" spans="1:18" s="29" customFormat="1" ht="15.6">
      <c r="A92" s="592"/>
      <c r="B92" s="313"/>
      <c r="C92" s="308"/>
      <c r="D92" s="305"/>
      <c r="E92" s="305"/>
      <c r="F92" s="305"/>
      <c r="G92" s="314"/>
      <c r="H92" s="571"/>
      <c r="Q92" s="52"/>
      <c r="R92" s="44"/>
    </row>
    <row r="93" spans="1:18" s="29" customFormat="1" ht="46.8">
      <c r="A93" s="609" t="s">
        <v>0</v>
      </c>
      <c r="B93" s="556"/>
      <c r="C93" s="156"/>
      <c r="D93" s="76"/>
      <c r="E93" s="77" t="s">
        <v>17</v>
      </c>
      <c r="F93" s="78" t="s">
        <v>80</v>
      </c>
      <c r="G93" s="78" t="s">
        <v>20</v>
      </c>
      <c r="H93" s="550" t="s">
        <v>52</v>
      </c>
      <c r="Q93" s="52"/>
      <c r="R93" s="44"/>
    </row>
    <row r="94" spans="1:18" s="29" customFormat="1" ht="15.6">
      <c r="A94" s="79" t="s">
        <v>280</v>
      </c>
      <c r="B94" s="79" t="s">
        <v>298</v>
      </c>
      <c r="C94" s="80"/>
      <c r="D94" s="80"/>
      <c r="E94" s="81"/>
      <c r="F94" s="81"/>
      <c r="G94" s="81"/>
      <c r="H94" s="610"/>
      <c r="Q94" s="52"/>
      <c r="R94" s="44"/>
    </row>
    <row r="95" spans="1:18" s="29" customFormat="1" ht="15.6">
      <c r="A95" s="82">
        <v>1</v>
      </c>
      <c r="B95" s="82" t="s">
        <v>304</v>
      </c>
      <c r="C95" s="83"/>
      <c r="D95" s="83"/>
      <c r="E95" s="84"/>
      <c r="F95" s="84"/>
      <c r="G95" s="84"/>
      <c r="H95" s="611"/>
      <c r="Q95" s="52"/>
      <c r="R95" s="44"/>
    </row>
    <row r="96" spans="1:18" s="29" customFormat="1">
      <c r="A96" s="597">
        <v>1.1000000000000001</v>
      </c>
      <c r="B96" s="858" t="s">
        <v>271</v>
      </c>
      <c r="C96" s="823"/>
      <c r="D96" s="824"/>
      <c r="E96" s="85">
        <f>VLOOKUP(A96,'Point Allocation'!$A$20:$J$41,MATCH(A7,'Point Allocation'!$A$20:$J$20,0),0)</f>
        <v>30</v>
      </c>
      <c r="F96" s="86"/>
      <c r="G96" s="87">
        <f>IFERROR(F96/$F$120,0)</f>
        <v>0</v>
      </c>
      <c r="H96" s="612">
        <f>E96*G96</f>
        <v>0</v>
      </c>
      <c r="Q96" s="44"/>
      <c r="R96" s="44"/>
    </row>
    <row r="97" spans="1:18" s="29" customFormat="1" ht="15.6">
      <c r="A97" s="88">
        <v>2</v>
      </c>
      <c r="B97" s="88" t="s">
        <v>305</v>
      </c>
      <c r="C97" s="89"/>
      <c r="D97" s="90"/>
      <c r="E97" s="90"/>
      <c r="F97" s="91"/>
      <c r="G97" s="92"/>
      <c r="H97" s="613"/>
      <c r="Q97" s="52"/>
      <c r="R97" s="44"/>
    </row>
    <row r="98" spans="1:18" s="29" customFormat="1">
      <c r="A98" s="814">
        <v>2.1</v>
      </c>
      <c r="B98" s="822" t="s">
        <v>196</v>
      </c>
      <c r="C98" s="823"/>
      <c r="D98" s="824"/>
      <c r="E98" s="819">
        <f>VLOOKUP(A98,'Point Allocation'!$A$20:$J$41,MATCH(A7,'Point Allocation'!$A$20:$J$20,0),0)</f>
        <v>28</v>
      </c>
      <c r="F98" s="820"/>
      <c r="G98" s="821">
        <f>IFERROR(F98/$F$120,0)</f>
        <v>0</v>
      </c>
      <c r="H98" s="819">
        <f>E98*G98</f>
        <v>0</v>
      </c>
      <c r="Q98" s="52"/>
      <c r="R98" s="44"/>
    </row>
    <row r="99" spans="1:18" s="29" customFormat="1" ht="15.6">
      <c r="A99" s="878"/>
      <c r="B99" s="816" t="s">
        <v>119</v>
      </c>
      <c r="C99" s="817"/>
      <c r="D99" s="818"/>
      <c r="E99" s="819"/>
      <c r="F99" s="820"/>
      <c r="G99" s="821"/>
      <c r="H99" s="819"/>
      <c r="Q99" s="52"/>
      <c r="R99" s="44"/>
    </row>
    <row r="100" spans="1:18" s="29" customFormat="1">
      <c r="A100" s="814">
        <v>2.2000000000000002</v>
      </c>
      <c r="B100" s="825" t="s">
        <v>606</v>
      </c>
      <c r="C100" s="826"/>
      <c r="D100" s="827"/>
      <c r="E100" s="819">
        <f>VLOOKUP(A100,'Point Allocation'!$A$20:$J$41,MATCH(A7,'Point Allocation'!$A$20:$J$20,0),0)</f>
        <v>28</v>
      </c>
      <c r="F100" s="820"/>
      <c r="G100" s="821">
        <f>IFERROR(F100/$F$120,0)</f>
        <v>0</v>
      </c>
      <c r="H100" s="819">
        <f>E100*G100</f>
        <v>0</v>
      </c>
      <c r="Q100" s="52"/>
      <c r="R100" s="44"/>
    </row>
    <row r="101" spans="1:18" s="29" customFormat="1" ht="15.6">
      <c r="A101" s="815"/>
      <c r="B101" s="816" t="s">
        <v>119</v>
      </c>
      <c r="C101" s="817"/>
      <c r="D101" s="818"/>
      <c r="E101" s="819"/>
      <c r="F101" s="820"/>
      <c r="G101" s="821"/>
      <c r="H101" s="819"/>
      <c r="Q101" s="52"/>
      <c r="R101" s="44"/>
    </row>
    <row r="102" spans="1:18" s="29" customFormat="1" ht="15.6">
      <c r="A102" s="82">
        <v>3</v>
      </c>
      <c r="B102" s="82" t="s">
        <v>306</v>
      </c>
      <c r="C102" s="89"/>
      <c r="D102" s="89"/>
      <c r="E102" s="91"/>
      <c r="F102" s="91"/>
      <c r="G102" s="92"/>
      <c r="H102" s="614"/>
      <c r="Q102" s="52"/>
      <c r="R102" s="44"/>
    </row>
    <row r="103" spans="1:18" s="29" customFormat="1">
      <c r="A103" s="814">
        <v>3.1</v>
      </c>
      <c r="B103" s="822" t="s">
        <v>197</v>
      </c>
      <c r="C103" s="823"/>
      <c r="D103" s="824"/>
      <c r="E103" s="819">
        <f>VLOOKUP(A103,'Point Allocation'!$A$20:$J$41,MATCH(A7,'Point Allocation'!$A$20:$J$20,0),0)</f>
        <v>27</v>
      </c>
      <c r="F103" s="820"/>
      <c r="G103" s="821">
        <f>IFERROR(F103/$F$120,0)</f>
        <v>0</v>
      </c>
      <c r="H103" s="819">
        <f>E103*G103</f>
        <v>0</v>
      </c>
      <c r="Q103" s="52"/>
      <c r="R103" s="44"/>
    </row>
    <row r="104" spans="1:18" s="29" customFormat="1" ht="15.6">
      <c r="A104" s="878"/>
      <c r="B104" s="816" t="s">
        <v>267</v>
      </c>
      <c r="C104" s="817"/>
      <c r="D104" s="818"/>
      <c r="E104" s="819"/>
      <c r="F104" s="820"/>
      <c r="G104" s="821"/>
      <c r="H104" s="819"/>
      <c r="Q104" s="52"/>
      <c r="R104" s="44"/>
    </row>
    <row r="105" spans="1:18" s="29" customFormat="1" ht="15.6">
      <c r="A105" s="82">
        <v>4</v>
      </c>
      <c r="B105" s="82" t="s">
        <v>307</v>
      </c>
      <c r="C105" s="89"/>
      <c r="D105" s="89"/>
      <c r="E105" s="91"/>
      <c r="F105" s="91"/>
      <c r="G105" s="92"/>
      <c r="H105" s="614"/>
      <c r="Q105" s="52"/>
      <c r="R105" s="44"/>
    </row>
    <row r="106" spans="1:18" s="29" customFormat="1" ht="30" customHeight="1">
      <c r="A106" s="598" t="s">
        <v>194</v>
      </c>
      <c r="B106" s="833" t="s">
        <v>273</v>
      </c>
      <c r="C106" s="834"/>
      <c r="D106" s="835"/>
      <c r="E106" s="93">
        <f>VLOOKUP(A106,'Point Allocation'!$A$20:$J$41,MATCH(A7,'Point Allocation'!$A$20:$J$20,0),0)</f>
        <v>25</v>
      </c>
      <c r="F106" s="538"/>
      <c r="G106" s="539">
        <f>IFERROR(F106/$F$120,0)</f>
        <v>0</v>
      </c>
      <c r="H106" s="94">
        <f>E106*G106</f>
        <v>0</v>
      </c>
      <c r="Q106" s="939"/>
      <c r="R106" s="44"/>
    </row>
    <row r="107" spans="1:18" s="29" customFormat="1">
      <c r="A107" s="598" t="s">
        <v>195</v>
      </c>
      <c r="B107" s="833" t="s">
        <v>274</v>
      </c>
      <c r="C107" s="834"/>
      <c r="D107" s="835"/>
      <c r="E107" s="93">
        <f>VLOOKUP(A107,'Point Allocation'!$A$20:$J$41,MATCH(A7,'Point Allocation'!$A$20:$J$20,0),0)</f>
        <v>25</v>
      </c>
      <c r="F107" s="538"/>
      <c r="G107" s="539">
        <f>IFERROR(F107/$F$120,0)</f>
        <v>0</v>
      </c>
      <c r="H107" s="94">
        <f>E107*G107</f>
        <v>0</v>
      </c>
      <c r="Q107" s="939"/>
      <c r="R107" s="44"/>
    </row>
    <row r="108" spans="1:18" s="29" customFormat="1">
      <c r="A108" s="597">
        <v>4.2</v>
      </c>
      <c r="B108" s="848" t="s">
        <v>198</v>
      </c>
      <c r="C108" s="924"/>
      <c r="D108" s="849"/>
      <c r="E108" s="93">
        <f>VLOOKUP(A108,'Point Allocation'!$A$20:$J$41,MATCH(A7,'Point Allocation'!$A$20:$J$20,0),0)</f>
        <v>25</v>
      </c>
      <c r="F108" s="538"/>
      <c r="G108" s="539">
        <f>IFERROR(F108/$F$120,0)</f>
        <v>0</v>
      </c>
      <c r="H108" s="94">
        <f>E108*G108</f>
        <v>0</v>
      </c>
      <c r="Q108" s="52"/>
      <c r="R108" s="44"/>
    </row>
    <row r="109" spans="1:18" s="29" customFormat="1">
      <c r="A109" s="597">
        <v>4.3</v>
      </c>
      <c r="B109" s="925" t="s">
        <v>150</v>
      </c>
      <c r="C109" s="926"/>
      <c r="D109" s="927"/>
      <c r="E109" s="93">
        <f>VLOOKUP(A109,'Point Allocation'!$A$20:$J$41,MATCH(A7,'Point Allocation'!$A$20:$J$20,0),0)</f>
        <v>25</v>
      </c>
      <c r="F109" s="538"/>
      <c r="G109" s="539">
        <f>IFERROR(F109/$F$120,0)</f>
        <v>0</v>
      </c>
      <c r="H109" s="174">
        <f>E109*G109</f>
        <v>0</v>
      </c>
      <c r="Q109" s="52"/>
      <c r="R109" s="44"/>
    </row>
    <row r="110" spans="1:18" s="29" customFormat="1">
      <c r="A110" s="597">
        <v>4.4000000000000004</v>
      </c>
      <c r="B110" s="925" t="s">
        <v>320</v>
      </c>
      <c r="C110" s="926"/>
      <c r="D110" s="927"/>
      <c r="E110" s="93">
        <f>VLOOKUP(A110,'Point Allocation'!$A$20:$J$41,MATCH(A7,'Point Allocation'!$A$20:$J$20,0),0)</f>
        <v>22</v>
      </c>
      <c r="F110" s="538"/>
      <c r="G110" s="539">
        <f>IFERROR(F110/$F$120,0)</f>
        <v>0</v>
      </c>
      <c r="H110" s="174">
        <f>E110*G110</f>
        <v>0</v>
      </c>
      <c r="Q110" s="52"/>
      <c r="R110" s="44"/>
    </row>
    <row r="111" spans="1:18" s="29" customFormat="1" ht="15.6">
      <c r="A111" s="95" t="s">
        <v>281</v>
      </c>
      <c r="B111" s="95" t="s">
        <v>223</v>
      </c>
      <c r="C111" s="96"/>
      <c r="D111" s="97"/>
      <c r="E111" s="98"/>
      <c r="F111" s="99"/>
      <c r="G111" s="100"/>
      <c r="H111" s="615"/>
      <c r="Q111" s="52"/>
      <c r="R111" s="44"/>
    </row>
    <row r="112" spans="1:18" s="29" customFormat="1" ht="15.6">
      <c r="A112" s="82">
        <v>5</v>
      </c>
      <c r="B112" s="82" t="s">
        <v>224</v>
      </c>
      <c r="C112" s="89"/>
      <c r="D112" s="89"/>
      <c r="E112" s="91"/>
      <c r="F112" s="91"/>
      <c r="G112" s="92"/>
      <c r="H112" s="614"/>
      <c r="Q112" s="52"/>
      <c r="R112" s="44"/>
    </row>
    <row r="113" spans="1:18" s="29" customFormat="1">
      <c r="A113" s="597">
        <v>5.0999999999999996</v>
      </c>
      <c r="B113" s="822" t="s">
        <v>199</v>
      </c>
      <c r="C113" s="823"/>
      <c r="D113" s="824"/>
      <c r="E113" s="101">
        <f>VLOOKUP(A113,'Point Allocation'!$A$20:$J$41,MATCH(A7,'Point Allocation'!$A$20:$J$20,0),0)</f>
        <v>16</v>
      </c>
      <c r="F113" s="147"/>
      <c r="G113" s="539">
        <f>IFERROR(F113/$F$120,0)</f>
        <v>0</v>
      </c>
      <c r="H113" s="547">
        <f>E113*G113</f>
        <v>0</v>
      </c>
      <c r="Q113" s="52"/>
      <c r="R113" s="44"/>
    </row>
    <row r="114" spans="1:18" s="29" customFormat="1">
      <c r="A114" s="597">
        <v>5.2</v>
      </c>
      <c r="B114" s="822" t="s">
        <v>321</v>
      </c>
      <c r="C114" s="823"/>
      <c r="D114" s="824"/>
      <c r="E114" s="101">
        <f>VLOOKUP(A114,'Point Allocation'!$A$20:$J$41,MATCH(A7,'Point Allocation'!$A$20:$J$20,0),0)</f>
        <v>5</v>
      </c>
      <c r="F114" s="86"/>
      <c r="G114" s="539">
        <f>IFERROR(F114/$F$120,0)</f>
        <v>0</v>
      </c>
      <c r="H114" s="547">
        <f>E114*G114</f>
        <v>0</v>
      </c>
      <c r="Q114" s="52"/>
      <c r="R114" s="44"/>
    </row>
    <row r="115" spans="1:18" s="29" customFormat="1">
      <c r="A115" s="597">
        <v>5.3</v>
      </c>
      <c r="B115" s="822" t="s">
        <v>322</v>
      </c>
      <c r="C115" s="823"/>
      <c r="D115" s="824"/>
      <c r="E115" s="101">
        <f>VLOOKUP(A115,'Point Allocation'!$A$20:$J$41,MATCH(A7,'Point Allocation'!$A$20:$J$20,0),0)</f>
        <v>0</v>
      </c>
      <c r="F115" s="146"/>
      <c r="G115" s="539">
        <f>IFERROR(F115/$F$120,0)</f>
        <v>0</v>
      </c>
      <c r="H115" s="616">
        <f>E115*G115</f>
        <v>0</v>
      </c>
      <c r="Q115" s="52"/>
      <c r="R115" s="44"/>
    </row>
    <row r="116" spans="1:18" s="29" customFormat="1" ht="15.6">
      <c r="A116" s="102">
        <v>6</v>
      </c>
      <c r="B116" s="102" t="s">
        <v>202</v>
      </c>
      <c r="C116" s="89"/>
      <c r="D116" s="89"/>
      <c r="E116" s="91"/>
      <c r="F116" s="91"/>
      <c r="G116" s="92"/>
      <c r="H116" s="614"/>
      <c r="Q116" s="52"/>
      <c r="R116" s="44"/>
    </row>
    <row r="117" spans="1:18" s="29" customFormat="1">
      <c r="A117" s="386">
        <v>6.1</v>
      </c>
      <c r="B117" s="765"/>
      <c r="C117" s="766"/>
      <c r="D117" s="847"/>
      <c r="E117" s="538"/>
      <c r="F117" s="538"/>
      <c r="G117" s="539">
        <f>IFERROR(F117/$F$120,0)</f>
        <v>0</v>
      </c>
      <c r="H117" s="616">
        <f>E117*G117</f>
        <v>0</v>
      </c>
      <c r="Q117" s="52"/>
      <c r="R117" s="44"/>
    </row>
    <row r="118" spans="1:18" s="29" customFormat="1">
      <c r="A118" s="386">
        <v>6.2</v>
      </c>
      <c r="B118" s="765"/>
      <c r="C118" s="766"/>
      <c r="D118" s="847"/>
      <c r="E118" s="538"/>
      <c r="F118" s="538"/>
      <c r="G118" s="539">
        <f>IFERROR(F118/$F$120,0)</f>
        <v>0</v>
      </c>
      <c r="H118" s="616">
        <f>E118*G118</f>
        <v>0</v>
      </c>
      <c r="Q118" s="52"/>
      <c r="R118" s="44"/>
    </row>
    <row r="119" spans="1:18" s="29" customFormat="1">
      <c r="A119" s="386">
        <v>6.3</v>
      </c>
      <c r="B119" s="920"/>
      <c r="C119" s="920"/>
      <c r="D119" s="920"/>
      <c r="E119" s="538"/>
      <c r="F119" s="538"/>
      <c r="G119" s="539">
        <f>IFERROR(F119/$F$120,0)</f>
        <v>0</v>
      </c>
      <c r="H119" s="616">
        <f>E119*G119</f>
        <v>0</v>
      </c>
      <c r="Q119" s="52"/>
      <c r="R119" s="44"/>
    </row>
    <row r="120" spans="1:18" s="29" customFormat="1" ht="15.6">
      <c r="A120" s="604"/>
      <c r="B120" s="307"/>
      <c r="C120" s="305"/>
      <c r="D120" s="305"/>
      <c r="E120" s="312" t="s">
        <v>61</v>
      </c>
      <c r="F120" s="315">
        <f>SUM(F96:F119)+E19</f>
        <v>0</v>
      </c>
      <c r="G120" s="316">
        <f>SUM(G96:G119)+F19</f>
        <v>0</v>
      </c>
      <c r="H120" s="617">
        <f>IFERROR(SUM(H96:H119),0)</f>
        <v>0</v>
      </c>
      <c r="Q120" s="52"/>
      <c r="R120" s="44"/>
    </row>
    <row r="121" spans="1:18" s="29" customFormat="1" ht="15.6" thickBot="1">
      <c r="A121" s="594"/>
      <c r="B121" s="361"/>
      <c r="C121" s="362"/>
      <c r="D121" s="362"/>
      <c r="E121" s="362"/>
      <c r="F121" s="362"/>
      <c r="G121" s="354"/>
      <c r="H121" s="595"/>
      <c r="Q121" s="52"/>
      <c r="R121" s="44"/>
    </row>
    <row r="122" spans="1:18" s="29" customFormat="1" ht="31.2">
      <c r="A122" s="618" t="s">
        <v>0</v>
      </c>
      <c r="B122" s="458"/>
      <c r="C122" s="458"/>
      <c r="D122" s="549" t="s">
        <v>17</v>
      </c>
      <c r="E122" s="459" t="s">
        <v>80</v>
      </c>
      <c r="F122" s="460" t="s">
        <v>301</v>
      </c>
      <c r="G122" s="460" t="s">
        <v>302</v>
      </c>
      <c r="H122" s="549" t="s">
        <v>52</v>
      </c>
      <c r="Q122" s="52"/>
      <c r="R122" s="44"/>
    </row>
    <row r="123" spans="1:18" s="29" customFormat="1" ht="15.6">
      <c r="A123" s="79" t="s">
        <v>225</v>
      </c>
      <c r="B123" s="79" t="s">
        <v>299</v>
      </c>
      <c r="C123" s="80"/>
      <c r="D123" s="81"/>
      <c r="E123" s="81"/>
      <c r="F123" s="81"/>
      <c r="G123" s="81"/>
      <c r="H123" s="610"/>
      <c r="Q123" s="52"/>
      <c r="R123" s="44"/>
    </row>
    <row r="124" spans="1:18" s="29" customFormat="1" ht="15.6">
      <c r="A124" s="82">
        <v>7</v>
      </c>
      <c r="B124" s="82" t="s">
        <v>304</v>
      </c>
      <c r="C124" s="83"/>
      <c r="D124" s="84"/>
      <c r="E124" s="84"/>
      <c r="F124" s="84"/>
      <c r="G124" s="84"/>
      <c r="H124" s="611"/>
      <c r="Q124" s="52"/>
      <c r="R124" s="44"/>
    </row>
    <row r="125" spans="1:18" s="29" customFormat="1" ht="15" customHeight="1">
      <c r="A125" s="543">
        <v>7.1</v>
      </c>
      <c r="B125" s="858" t="s">
        <v>271</v>
      </c>
      <c r="C125" s="840"/>
      <c r="D125" s="94">
        <f>VLOOKUP(A125,'Point Allocation'!$A$20:$J$41,MATCH(A7,'Point Allocation'!$A$20:$J$20,0),0)</f>
        <v>10</v>
      </c>
      <c r="E125" s="85">
        <f>F96</f>
        <v>0</v>
      </c>
      <c r="F125" s="85">
        <f>F32</f>
        <v>0</v>
      </c>
      <c r="G125" s="87">
        <f>IFERROR(SUM(E125:F125)/SUM($E$143:$F$143),0)</f>
        <v>0</v>
      </c>
      <c r="H125" s="612">
        <f>D125*G125</f>
        <v>0</v>
      </c>
      <c r="Q125" s="52"/>
      <c r="R125" s="44"/>
    </row>
    <row r="126" spans="1:18" s="29" customFormat="1" ht="15.6">
      <c r="A126" s="88">
        <v>8</v>
      </c>
      <c r="B126" s="88" t="s">
        <v>305</v>
      </c>
      <c r="C126" s="89"/>
      <c r="D126" s="90"/>
      <c r="E126" s="91"/>
      <c r="F126" s="91"/>
      <c r="G126" s="92"/>
      <c r="H126" s="613"/>
      <c r="Q126" s="52"/>
      <c r="R126" s="44"/>
    </row>
    <row r="127" spans="1:18" s="29" customFormat="1">
      <c r="A127" s="814">
        <v>8.1</v>
      </c>
      <c r="B127" s="822" t="s">
        <v>303</v>
      </c>
      <c r="C127" s="824"/>
      <c r="D127" s="921">
        <f>VLOOKUP(A127,'Point Allocation'!$A$20:$J$41,MATCH(A7,'Point Allocation'!$A$20:$J$20,0),0)</f>
        <v>8</v>
      </c>
      <c r="E127" s="945">
        <f>F98</f>
        <v>0</v>
      </c>
      <c r="F127" s="946"/>
      <c r="G127" s="983">
        <f>IFERROR(SUM(E127:F128)/SUM($E$143:$F$143),0)</f>
        <v>0</v>
      </c>
      <c r="H127" s="819">
        <f>D127*G127</f>
        <v>0</v>
      </c>
      <c r="Q127" s="52"/>
      <c r="R127" s="44"/>
    </row>
    <row r="128" spans="1:18" s="29" customFormat="1" ht="15.6">
      <c r="A128" s="815"/>
      <c r="B128" s="816" t="s">
        <v>119</v>
      </c>
      <c r="C128" s="818"/>
      <c r="D128" s="922"/>
      <c r="E128" s="945"/>
      <c r="F128" s="946"/>
      <c r="G128" s="984"/>
      <c r="H128" s="819"/>
      <c r="Q128" s="52"/>
      <c r="R128" s="44"/>
    </row>
    <row r="129" spans="1:18" s="29" customFormat="1">
      <c r="A129" s="543">
        <v>8.1999999999999993</v>
      </c>
      <c r="B129" s="825" t="s">
        <v>606</v>
      </c>
      <c r="C129" s="827"/>
      <c r="D129" s="94">
        <f>VLOOKUP(A129,'Point Allocation'!$A$20:$J$41,MATCH(A7,'Point Allocation'!$A$20:$J$20,0),0)</f>
        <v>8</v>
      </c>
      <c r="E129" s="174">
        <f>F100</f>
        <v>0</v>
      </c>
      <c r="F129" s="555"/>
      <c r="G129" s="87">
        <f>IFERROR(SUM(E129:F129)/SUM($E$143:$F$143),0)</f>
        <v>0</v>
      </c>
      <c r="H129" s="94">
        <f>D129*G129</f>
        <v>0</v>
      </c>
      <c r="Q129" s="52"/>
      <c r="R129" s="44"/>
    </row>
    <row r="130" spans="1:18" s="29" customFormat="1" ht="15.6">
      <c r="A130" s="82">
        <v>9</v>
      </c>
      <c r="B130" s="82" t="s">
        <v>306</v>
      </c>
      <c r="C130" s="89"/>
      <c r="D130" s="91"/>
      <c r="E130" s="91"/>
      <c r="F130" s="91"/>
      <c r="G130" s="92"/>
      <c r="H130" s="614"/>
      <c r="Q130" s="52"/>
      <c r="R130" s="44"/>
    </row>
    <row r="131" spans="1:18" s="29" customFormat="1">
      <c r="A131" s="814">
        <v>9.1</v>
      </c>
      <c r="B131" s="822" t="s">
        <v>339</v>
      </c>
      <c r="C131" s="824"/>
      <c r="D131" s="921">
        <f>VLOOKUP(A131,'Point Allocation'!$A$20:$J$41,MATCH(A7,'Point Allocation'!$A$20:$J$20,0),0)</f>
        <v>6</v>
      </c>
      <c r="E131" s="946"/>
      <c r="F131" s="946"/>
      <c r="G131" s="821">
        <f>IFERROR(SUM(E131:F132)/SUM($E$143:$F$143),0)</f>
        <v>0</v>
      </c>
      <c r="H131" s="819">
        <f>D131*G131</f>
        <v>0</v>
      </c>
      <c r="Q131" s="52"/>
      <c r="R131" s="44"/>
    </row>
    <row r="132" spans="1:18" s="29" customFormat="1" ht="15.6">
      <c r="A132" s="815"/>
      <c r="B132" s="816" t="s">
        <v>5</v>
      </c>
      <c r="C132" s="818"/>
      <c r="D132" s="922"/>
      <c r="E132" s="946"/>
      <c r="F132" s="946"/>
      <c r="G132" s="821"/>
      <c r="H132" s="819"/>
      <c r="Q132" s="52"/>
      <c r="R132" s="44"/>
    </row>
    <row r="133" spans="1:18" s="29" customFormat="1" ht="15.6">
      <c r="A133" s="82">
        <v>10</v>
      </c>
      <c r="B133" s="82" t="s">
        <v>308</v>
      </c>
      <c r="C133" s="89"/>
      <c r="D133" s="91"/>
      <c r="E133" s="91"/>
      <c r="F133" s="91"/>
      <c r="G133" s="92"/>
      <c r="H133" s="614"/>
      <c r="Q133" s="52"/>
      <c r="R133" s="44"/>
    </row>
    <row r="134" spans="1:18" s="29" customFormat="1" ht="15" customHeight="1">
      <c r="A134" s="541">
        <v>10.1</v>
      </c>
      <c r="B134" s="822" t="s">
        <v>340</v>
      </c>
      <c r="C134" s="824"/>
      <c r="D134" s="94">
        <f>VLOOKUP(A134,'Point Allocation'!$A$20:$J$41,MATCH(A7,'Point Allocation'!$A$20:$J$20,0),0)</f>
        <v>4</v>
      </c>
      <c r="E134" s="555"/>
      <c r="F134" s="555"/>
      <c r="G134" s="87">
        <f>IFERROR(SUM(E134:F134)/SUM($E$143:$F$143),0)</f>
        <v>0</v>
      </c>
      <c r="H134" s="94">
        <f>D134*G134</f>
        <v>0</v>
      </c>
      <c r="Q134" s="52"/>
      <c r="R134" s="44"/>
    </row>
    <row r="135" spans="1:18" s="29" customFormat="1" ht="32.25" customHeight="1">
      <c r="A135" s="589">
        <v>10.199999999999999</v>
      </c>
      <c r="B135" s="825" t="s">
        <v>318</v>
      </c>
      <c r="C135" s="827"/>
      <c r="D135" s="94">
        <f>VLOOKUP(A135,'Point Allocation'!$A$20:$J$41,MATCH(A7,'Point Allocation'!$A$20:$J$20,0),0)</f>
        <v>4</v>
      </c>
      <c r="E135" s="173"/>
      <c r="F135" s="555"/>
      <c r="G135" s="539">
        <f>IFERROR(SUM(E135:F135)/SUM($E$143:$F$143),0)</f>
        <v>0</v>
      </c>
      <c r="H135" s="94">
        <f>D135*G135</f>
        <v>0</v>
      </c>
      <c r="Q135" s="52"/>
      <c r="R135" s="44"/>
    </row>
    <row r="136" spans="1:18" s="29" customFormat="1" ht="15.6">
      <c r="A136" s="95" t="s">
        <v>226</v>
      </c>
      <c r="B136" s="95" t="s">
        <v>248</v>
      </c>
      <c r="C136" s="96"/>
      <c r="D136" s="98"/>
      <c r="E136" s="99"/>
      <c r="F136" s="99"/>
      <c r="G136" s="100"/>
      <c r="H136" s="615"/>
      <c r="Q136" s="52"/>
      <c r="R136" s="44"/>
    </row>
    <row r="137" spans="1:18" s="29" customFormat="1" ht="15.6">
      <c r="A137" s="82">
        <v>11</v>
      </c>
      <c r="B137" s="82" t="s">
        <v>249</v>
      </c>
      <c r="C137" s="89"/>
      <c r="D137" s="91"/>
      <c r="E137" s="91"/>
      <c r="F137" s="91"/>
      <c r="G137" s="92"/>
      <c r="H137" s="614"/>
      <c r="Q137" s="52"/>
      <c r="R137" s="44"/>
    </row>
    <row r="138" spans="1:18" s="29" customFormat="1">
      <c r="A138" s="541">
        <v>11.1</v>
      </c>
      <c r="B138" s="822" t="s">
        <v>642</v>
      </c>
      <c r="C138" s="824"/>
      <c r="D138" s="94">
        <f>VLOOKUP(A138,'Point Allocation'!$A$20:$J$41,MATCH(A7,'Point Allocation'!$A$20:$J$20,0),0)</f>
        <v>2</v>
      </c>
      <c r="E138" s="555"/>
      <c r="F138" s="555"/>
      <c r="G138" s="539">
        <f>IFERROR(SUM(E138:F138)/SUM($E$143:$F$143),0)</f>
        <v>0</v>
      </c>
      <c r="H138" s="94">
        <f t="shared" ref="H138:H142" si="2">D138*G138</f>
        <v>0</v>
      </c>
      <c r="Q138" s="52"/>
      <c r="R138" s="44"/>
    </row>
    <row r="139" spans="1:18" s="29" customFormat="1">
      <c r="A139" s="619">
        <v>11.2</v>
      </c>
      <c r="B139" s="848" t="s">
        <v>310</v>
      </c>
      <c r="C139" s="849"/>
      <c r="D139" s="174">
        <f>VLOOKUP(A138,'Point Allocation'!$A$20:$J$41,MATCH(A7,'Point Allocation'!$A$20:$J$20,0),0)</f>
        <v>2</v>
      </c>
      <c r="E139" s="555"/>
      <c r="F139" s="555"/>
      <c r="G139" s="539">
        <f>IFERROR(SUM(E139:F139)/SUM($E$143:$F$143),0)</f>
        <v>0</v>
      </c>
      <c r="H139" s="94">
        <f t="shared" si="2"/>
        <v>0</v>
      </c>
      <c r="Q139" s="52"/>
      <c r="R139" s="44"/>
    </row>
    <row r="140" spans="1:18" s="29" customFormat="1">
      <c r="A140" s="541">
        <v>11.3</v>
      </c>
      <c r="B140" s="848" t="s">
        <v>317</v>
      </c>
      <c r="C140" s="849"/>
      <c r="D140" s="94">
        <f>VLOOKUP(A140,'Point Allocation'!$A$20:$J$41,MATCH(A7,'Point Allocation'!$A$20:$J$20,0),0)</f>
        <v>0</v>
      </c>
      <c r="E140" s="555"/>
      <c r="F140" s="555"/>
      <c r="G140" s="539">
        <f>IFERROR(SUM(E140:F140)/SUM($E$143:$F$143),0)</f>
        <v>0</v>
      </c>
      <c r="H140" s="94">
        <f t="shared" si="2"/>
        <v>0</v>
      </c>
      <c r="Q140" s="52"/>
      <c r="R140" s="44"/>
    </row>
    <row r="141" spans="1:18" s="29" customFormat="1">
      <c r="A141" s="620">
        <v>11.4</v>
      </c>
      <c r="B141" s="968"/>
      <c r="C141" s="969"/>
      <c r="D141" s="538"/>
      <c r="E141" s="555"/>
      <c r="F141" s="555"/>
      <c r="G141" s="539">
        <f>IFERROR(SUM(E141:F141)/SUM($E$143:$F$143),0)</f>
        <v>0</v>
      </c>
      <c r="H141" s="94">
        <f t="shared" si="2"/>
        <v>0</v>
      </c>
      <c r="Q141" s="52"/>
      <c r="R141" s="44"/>
    </row>
    <row r="142" spans="1:18" s="29" customFormat="1">
      <c r="A142" s="620">
        <v>11.5</v>
      </c>
      <c r="B142" s="968"/>
      <c r="C142" s="969"/>
      <c r="D142" s="538"/>
      <c r="E142" s="555"/>
      <c r="F142" s="555"/>
      <c r="G142" s="539">
        <f>IFERROR(SUM(E142:F142)/SUM($E$143:$F$143),0)</f>
        <v>0</v>
      </c>
      <c r="H142" s="94">
        <f t="shared" si="2"/>
        <v>0</v>
      </c>
      <c r="Q142" s="52"/>
      <c r="R142" s="44"/>
    </row>
    <row r="143" spans="1:18" s="29" customFormat="1" ht="15.6">
      <c r="A143" s="592"/>
      <c r="B143" s="307"/>
      <c r="C143" s="305"/>
      <c r="D143" s="312" t="s">
        <v>131</v>
      </c>
      <c r="E143" s="315">
        <f>SUM(E125:E142)</f>
        <v>0</v>
      </c>
      <c r="F143" s="317">
        <f>SUM(F125:F142)</f>
        <v>0</v>
      </c>
      <c r="G143" s="318">
        <f>SUM(G125:G142)</f>
        <v>0</v>
      </c>
      <c r="H143" s="621">
        <f>IFERROR(SUM(H125:H142),0)</f>
        <v>0</v>
      </c>
      <c r="Q143" s="52"/>
      <c r="R143" s="44"/>
    </row>
    <row r="144" spans="1:18" s="29" customFormat="1">
      <c r="A144" s="622"/>
      <c r="B144" s="307"/>
      <c r="C144" s="305"/>
      <c r="D144" s="305"/>
      <c r="E144" s="305"/>
      <c r="F144" s="305"/>
      <c r="G144" s="314"/>
      <c r="H144" s="571"/>
      <c r="Q144" s="52"/>
      <c r="R144" s="44"/>
    </row>
    <row r="145" spans="1:18" s="29" customFormat="1" ht="46.8">
      <c r="A145" s="970" t="s">
        <v>0</v>
      </c>
      <c r="B145" s="971"/>
      <c r="C145" s="163"/>
      <c r="D145" s="550" t="s">
        <v>57</v>
      </c>
      <c r="E145" s="550" t="s">
        <v>58</v>
      </c>
      <c r="F145" s="956" t="s">
        <v>59</v>
      </c>
      <c r="G145" s="956"/>
      <c r="H145" s="623" t="s">
        <v>62</v>
      </c>
      <c r="J145" s="103" t="s">
        <v>71</v>
      </c>
      <c r="K145" s="103">
        <v>1</v>
      </c>
      <c r="L145" s="103">
        <v>2</v>
      </c>
      <c r="M145" s="103">
        <v>3</v>
      </c>
      <c r="N145" s="103">
        <v>4</v>
      </c>
      <c r="O145" s="103">
        <v>5</v>
      </c>
      <c r="P145" s="103">
        <v>6</v>
      </c>
      <c r="Q145" s="52"/>
      <c r="R145" s="44"/>
    </row>
    <row r="146" spans="1:18" s="29" customFormat="1" ht="15.6">
      <c r="A146" s="126" t="s">
        <v>227</v>
      </c>
      <c r="B146" s="126" t="s">
        <v>139</v>
      </c>
      <c r="C146" s="162"/>
      <c r="D146" s="56"/>
      <c r="E146" s="56"/>
      <c r="F146" s="57"/>
      <c r="G146" s="104"/>
      <c r="H146" s="624"/>
      <c r="J146" s="103" t="s">
        <v>73</v>
      </c>
      <c r="K146" s="103" t="s">
        <v>72</v>
      </c>
      <c r="L146" s="103">
        <v>1</v>
      </c>
      <c r="M146" s="103">
        <v>2</v>
      </c>
      <c r="N146" s="103">
        <v>3</v>
      </c>
      <c r="O146" s="103">
        <v>4</v>
      </c>
      <c r="P146" s="103">
        <v>4</v>
      </c>
      <c r="Q146" s="52"/>
      <c r="R146" s="44"/>
    </row>
    <row r="147" spans="1:18" s="29" customFormat="1">
      <c r="A147" s="625" t="s">
        <v>228</v>
      </c>
      <c r="B147" s="386" t="s">
        <v>394</v>
      </c>
      <c r="C147" s="164" t="s">
        <v>55</v>
      </c>
      <c r="D147" s="820"/>
      <c r="E147" s="820"/>
      <c r="F147" s="949" t="str">
        <f>IF(D147&gt;9,D147/E147," ")</f>
        <v xml:space="preserve"> </v>
      </c>
      <c r="G147" s="949"/>
      <c r="H147" s="94">
        <f>IF(D147="",0,IF(D147&lt;9,2,IF((D147/E147)=0,2,IF((D147/E147)&lt;10%,1.5,IF((D147/E147)&lt;15%,1,IF((D147/E147)&lt;20%,0.5,0))))))</f>
        <v>0</v>
      </c>
      <c r="J147" s="103" t="s">
        <v>74</v>
      </c>
      <c r="K147" s="103" t="s">
        <v>72</v>
      </c>
      <c r="L147" s="103">
        <v>5</v>
      </c>
      <c r="M147" s="103">
        <v>15</v>
      </c>
      <c r="N147" s="103">
        <v>25</v>
      </c>
      <c r="O147" s="103">
        <v>35</v>
      </c>
      <c r="P147" s="103">
        <v>35</v>
      </c>
      <c r="Q147" s="52"/>
      <c r="R147" s="44"/>
    </row>
    <row r="148" spans="1:18" s="29" customFormat="1">
      <c r="A148" s="625" t="s">
        <v>229</v>
      </c>
      <c r="B148" s="386" t="s">
        <v>395</v>
      </c>
      <c r="C148" s="164" t="s">
        <v>56</v>
      </c>
      <c r="D148" s="820"/>
      <c r="E148" s="820"/>
      <c r="F148" s="950"/>
      <c r="G148" s="950"/>
      <c r="H148" s="94">
        <f>IF(E147="",0,IF(E147&lt;15,HLOOKUP(F148,J145:P152,4,FALSE),IF(E147&lt;45,HLOOKUP(F148,J145:P152,5,FALSE),IF(E147&lt;90,HLOOKUP(F148,J145:P152,6,FALSE),IF(E147&lt;135,HLOOKUP(F148,J145:P152,7,FALSE),IF(E147&gt;=135,HLOOKUP(F148,J145:P152,8,FALSE),3))))))</f>
        <v>0</v>
      </c>
      <c r="I148" s="54"/>
      <c r="J148" s="103" t="s">
        <v>75</v>
      </c>
      <c r="K148" s="103">
        <v>3</v>
      </c>
      <c r="L148" s="103">
        <v>3</v>
      </c>
      <c r="M148" s="103">
        <v>3</v>
      </c>
      <c r="N148" s="103">
        <v>2.5</v>
      </c>
      <c r="O148" s="103">
        <v>1.5</v>
      </c>
      <c r="P148" s="103">
        <v>0</v>
      </c>
      <c r="Q148" s="52"/>
      <c r="R148" s="44"/>
    </row>
    <row r="149" spans="1:18" s="29" customFormat="1">
      <c r="A149" s="592"/>
      <c r="B149" s="307"/>
      <c r="C149" s="314"/>
      <c r="D149" s="319"/>
      <c r="E149" s="319"/>
      <c r="F149" s="319"/>
      <c r="G149" s="319"/>
      <c r="H149" s="626"/>
      <c r="I149" s="54"/>
      <c r="J149" s="103" t="s">
        <v>76</v>
      </c>
      <c r="K149" s="103">
        <v>3</v>
      </c>
      <c r="L149" s="103">
        <v>3</v>
      </c>
      <c r="M149" s="103">
        <v>2.5</v>
      </c>
      <c r="N149" s="103">
        <v>1.5</v>
      </c>
      <c r="O149" s="103">
        <v>1</v>
      </c>
      <c r="P149" s="103">
        <v>0</v>
      </c>
      <c r="Q149" s="52"/>
      <c r="R149" s="44"/>
    </row>
    <row r="150" spans="1:18" s="29" customFormat="1" ht="15.6">
      <c r="A150" s="592"/>
      <c r="B150" s="320"/>
      <c r="C150" s="314"/>
      <c r="D150" s="314"/>
      <c r="E150" s="314"/>
      <c r="F150" s="305"/>
      <c r="G150" s="321"/>
      <c r="H150" s="627"/>
      <c r="I150" s="54"/>
      <c r="J150" s="103" t="s">
        <v>77</v>
      </c>
      <c r="K150" s="103">
        <v>3</v>
      </c>
      <c r="L150" s="103">
        <v>2.5</v>
      </c>
      <c r="M150" s="103">
        <v>1.5</v>
      </c>
      <c r="N150" s="103">
        <v>1</v>
      </c>
      <c r="O150" s="103">
        <v>0</v>
      </c>
      <c r="P150" s="103">
        <v>0</v>
      </c>
      <c r="Q150" s="52"/>
      <c r="R150" s="44"/>
    </row>
    <row r="151" spans="1:18" s="29" customFormat="1" ht="15.75" customHeight="1">
      <c r="A151" s="972" t="s">
        <v>0</v>
      </c>
      <c r="B151" s="973"/>
      <c r="C151" s="888"/>
      <c r="D151" s="974" t="s">
        <v>4</v>
      </c>
      <c r="E151" s="951" t="s">
        <v>1</v>
      </c>
      <c r="F151" s="952"/>
      <c r="G151" s="953" t="s">
        <v>21</v>
      </c>
      <c r="H151" s="947" t="s">
        <v>62</v>
      </c>
      <c r="I151" s="54"/>
      <c r="J151" s="103" t="s">
        <v>78</v>
      </c>
      <c r="K151" s="103">
        <v>3</v>
      </c>
      <c r="L151" s="103">
        <v>1.5</v>
      </c>
      <c r="M151" s="103">
        <v>1</v>
      </c>
      <c r="N151" s="103">
        <v>0</v>
      </c>
      <c r="O151" s="103">
        <v>0</v>
      </c>
      <c r="P151" s="103">
        <v>0</v>
      </c>
      <c r="Q151" s="52"/>
      <c r="R151" s="44"/>
    </row>
    <row r="152" spans="1:18" s="29" customFormat="1" ht="30" customHeight="1">
      <c r="A152" s="867"/>
      <c r="B152" s="868"/>
      <c r="C152" s="870"/>
      <c r="D152" s="952"/>
      <c r="E152" s="550" t="s">
        <v>64</v>
      </c>
      <c r="F152" s="550" t="s">
        <v>65</v>
      </c>
      <c r="G152" s="954"/>
      <c r="H152" s="948"/>
      <c r="I152" s="54"/>
      <c r="J152" s="103" t="s">
        <v>79</v>
      </c>
      <c r="K152" s="103">
        <v>3</v>
      </c>
      <c r="L152" s="103">
        <v>1</v>
      </c>
      <c r="M152" s="103">
        <v>0</v>
      </c>
      <c r="N152" s="103">
        <v>0</v>
      </c>
      <c r="O152" s="103">
        <v>0</v>
      </c>
      <c r="P152" s="103">
        <v>0</v>
      </c>
      <c r="Q152" s="52"/>
      <c r="R152" s="44"/>
    </row>
    <row r="153" spans="1:18" s="29" customFormat="1" ht="15.6">
      <c r="A153" s="105" t="s">
        <v>230</v>
      </c>
      <c r="B153" s="105" t="s">
        <v>516</v>
      </c>
      <c r="C153" s="106"/>
      <c r="D153" s="106"/>
      <c r="E153" s="106"/>
      <c r="F153" s="110"/>
      <c r="G153" s="111"/>
      <c r="H153" s="628"/>
      <c r="J153" s="103" t="s">
        <v>73</v>
      </c>
      <c r="K153" s="103" t="s">
        <v>72</v>
      </c>
      <c r="L153" s="103">
        <v>1</v>
      </c>
      <c r="M153" s="103">
        <v>2</v>
      </c>
      <c r="N153" s="103">
        <v>3</v>
      </c>
      <c r="O153" s="103">
        <v>4</v>
      </c>
      <c r="P153" s="103">
        <v>4</v>
      </c>
      <c r="Q153" s="52"/>
      <c r="R153" s="44"/>
    </row>
    <row r="154" spans="1:18" s="29" customFormat="1" ht="15.6">
      <c r="A154" s="149" t="s">
        <v>231</v>
      </c>
      <c r="B154" s="149" t="s">
        <v>517</v>
      </c>
      <c r="C154" s="150"/>
      <c r="D154" s="151"/>
      <c r="E154" s="152"/>
      <c r="F154" s="152"/>
      <c r="G154" s="153"/>
      <c r="H154" s="629"/>
      <c r="I154" s="54"/>
      <c r="Q154" s="52"/>
      <c r="R154" s="44"/>
    </row>
    <row r="155" spans="1:18" s="29" customFormat="1">
      <c r="A155" s="630" t="s">
        <v>232</v>
      </c>
      <c r="B155" s="825" t="s">
        <v>612</v>
      </c>
      <c r="C155" s="827"/>
      <c r="D155" s="522" t="s">
        <v>50</v>
      </c>
      <c r="E155" s="523">
        <v>2</v>
      </c>
      <c r="F155" s="523">
        <v>3</v>
      </c>
      <c r="G155" s="27"/>
      <c r="H155" s="434">
        <f t="shared" ref="H155:H166" si="3">IF(G155&gt;=80%,F155,IF(G155&lt;65%,0,E155))</f>
        <v>0</v>
      </c>
      <c r="Q155" s="52"/>
      <c r="R155" s="44"/>
    </row>
    <row r="156" spans="1:18" s="29" customFormat="1">
      <c r="A156" s="630" t="s">
        <v>233</v>
      </c>
      <c r="B156" s="917" t="s">
        <v>613</v>
      </c>
      <c r="C156" s="843"/>
      <c r="D156" s="483" t="s">
        <v>50</v>
      </c>
      <c r="E156" s="434">
        <v>2</v>
      </c>
      <c r="F156" s="434">
        <v>3</v>
      </c>
      <c r="G156" s="553"/>
      <c r="H156" s="434">
        <f>IF(G156&gt;=80%,F156,IF(G156&lt;65%,0,E156))</f>
        <v>0</v>
      </c>
      <c r="Q156" s="52"/>
      <c r="R156" s="44"/>
    </row>
    <row r="157" spans="1:18" s="29" customFormat="1">
      <c r="A157" s="631" t="s">
        <v>234</v>
      </c>
      <c r="B157" s="917" t="s">
        <v>563</v>
      </c>
      <c r="C157" s="843"/>
      <c r="D157" s="524" t="s">
        <v>50</v>
      </c>
      <c r="E157" s="554">
        <v>2</v>
      </c>
      <c r="F157" s="434">
        <v>2.5</v>
      </c>
      <c r="G157" s="551"/>
      <c r="H157" s="434">
        <f t="shared" ref="H157" si="4">IF(G157&gt;=80%,F157,IF(G157&lt;65%,0,E157))</f>
        <v>0</v>
      </c>
      <c r="Q157" s="52"/>
      <c r="R157" s="44"/>
    </row>
    <row r="158" spans="1:18" s="29" customFormat="1">
      <c r="A158" s="631" t="s">
        <v>235</v>
      </c>
      <c r="B158" s="917" t="s">
        <v>623</v>
      </c>
      <c r="C158" s="843"/>
      <c r="D158" s="524" t="s">
        <v>50</v>
      </c>
      <c r="E158" s="554">
        <v>2</v>
      </c>
      <c r="F158" s="434">
        <v>2.5</v>
      </c>
      <c r="G158" s="551"/>
      <c r="H158" s="434">
        <f>IF(G158&gt;=80%,F158,IF(G158&lt;65%,0,E158))</f>
        <v>0</v>
      </c>
      <c r="Q158" s="52"/>
      <c r="R158" s="44"/>
    </row>
    <row r="159" spans="1:18" s="29" customFormat="1">
      <c r="A159" s="630" t="s">
        <v>371</v>
      </c>
      <c r="B159" s="875" t="s">
        <v>379</v>
      </c>
      <c r="C159" s="876"/>
      <c r="D159" s="530" t="s">
        <v>50</v>
      </c>
      <c r="E159" s="523">
        <v>2</v>
      </c>
      <c r="F159" s="523">
        <v>2.5</v>
      </c>
      <c r="G159" s="529"/>
      <c r="H159" s="434">
        <f>IF(G159&gt;=80%,F159,IF(G159&lt;65%,0,E159))</f>
        <v>0</v>
      </c>
      <c r="Q159" s="52"/>
      <c r="R159" s="44"/>
    </row>
    <row r="160" spans="1:18" s="29" customFormat="1" ht="30">
      <c r="A160" s="871" t="s">
        <v>519</v>
      </c>
      <c r="B160" s="873" t="s">
        <v>397</v>
      </c>
      <c r="C160" s="940"/>
      <c r="D160" s="524" t="s">
        <v>402</v>
      </c>
      <c r="E160" s="964">
        <v>2.5</v>
      </c>
      <c r="F160" s="965"/>
      <c r="G160" s="933"/>
      <c r="H160" s="931">
        <f>IF(G160&gt;=35,E161,IF(G160&gt;=30,E160,0))</f>
        <v>0</v>
      </c>
      <c r="Q160" s="52"/>
      <c r="R160" s="44"/>
    </row>
    <row r="161" spans="1:18" s="29" customFormat="1" ht="30">
      <c r="A161" s="872"/>
      <c r="B161" s="941"/>
      <c r="C161" s="942"/>
      <c r="D161" s="524" t="s">
        <v>396</v>
      </c>
      <c r="E161" s="964">
        <v>3</v>
      </c>
      <c r="F161" s="965"/>
      <c r="G161" s="934"/>
      <c r="H161" s="932"/>
      <c r="Q161" s="52"/>
      <c r="R161" s="44"/>
    </row>
    <row r="162" spans="1:18" s="29" customFormat="1" ht="31.5" customHeight="1">
      <c r="A162" s="871" t="s">
        <v>520</v>
      </c>
      <c r="B162" s="873" t="s">
        <v>398</v>
      </c>
      <c r="C162" s="874"/>
      <c r="D162" s="524" t="s">
        <v>333</v>
      </c>
      <c r="E162" s="962">
        <v>4</v>
      </c>
      <c r="F162" s="963"/>
      <c r="G162" s="933"/>
      <c r="H162" s="931">
        <f>IF(G162&gt;=80,E162,IF(G162&gt;=70,E163,IF(G162&gt;=60,E164,IF(G162&gt;=50,E165,0))))</f>
        <v>0</v>
      </c>
      <c r="Q162" s="52"/>
      <c r="R162" s="44"/>
    </row>
    <row r="163" spans="1:18" s="29" customFormat="1" ht="31.5" customHeight="1">
      <c r="A163" s="975"/>
      <c r="B163" s="929"/>
      <c r="C163" s="930"/>
      <c r="D163" s="524" t="s">
        <v>334</v>
      </c>
      <c r="E163" s="962">
        <v>3</v>
      </c>
      <c r="F163" s="963"/>
      <c r="G163" s="935"/>
      <c r="H163" s="936"/>
      <c r="Q163" s="52"/>
      <c r="R163" s="44"/>
    </row>
    <row r="164" spans="1:18" s="29" customFormat="1" ht="31.5" customHeight="1">
      <c r="A164" s="975"/>
      <c r="B164" s="929"/>
      <c r="C164" s="930"/>
      <c r="D164" s="524" t="s">
        <v>368</v>
      </c>
      <c r="E164" s="962">
        <v>2</v>
      </c>
      <c r="F164" s="963"/>
      <c r="G164" s="935"/>
      <c r="H164" s="936"/>
      <c r="Q164" s="52"/>
      <c r="R164" s="44"/>
    </row>
    <row r="165" spans="1:18" s="29" customFormat="1" ht="31.5" customHeight="1">
      <c r="A165" s="872"/>
      <c r="B165" s="875"/>
      <c r="C165" s="876"/>
      <c r="D165" s="524" t="s">
        <v>369</v>
      </c>
      <c r="E165" s="962">
        <v>1</v>
      </c>
      <c r="F165" s="963"/>
      <c r="G165" s="934"/>
      <c r="H165" s="932"/>
      <c r="Q165" s="52"/>
      <c r="R165" s="44"/>
    </row>
    <row r="166" spans="1:18" s="29" customFormat="1" ht="31.5" customHeight="1">
      <c r="A166" s="871" t="s">
        <v>643</v>
      </c>
      <c r="B166" s="873" t="s">
        <v>614</v>
      </c>
      <c r="C166" s="874"/>
      <c r="D166" s="524" t="s">
        <v>66</v>
      </c>
      <c r="E166" s="525">
        <v>3.5</v>
      </c>
      <c r="F166" s="525">
        <v>4</v>
      </c>
      <c r="G166" s="27"/>
      <c r="H166" s="434">
        <f t="shared" si="3"/>
        <v>0</v>
      </c>
      <c r="Q166" s="52"/>
      <c r="R166" s="44"/>
    </row>
    <row r="167" spans="1:18" s="29" customFormat="1" ht="30">
      <c r="A167" s="872"/>
      <c r="B167" s="875"/>
      <c r="C167" s="876"/>
      <c r="D167" s="524" t="s">
        <v>67</v>
      </c>
      <c r="E167" s="525" t="s">
        <v>49</v>
      </c>
      <c r="F167" s="525">
        <v>3</v>
      </c>
      <c r="G167" s="27"/>
      <c r="H167" s="434">
        <f>IF(G167&gt;=80%,F167,0)</f>
        <v>0</v>
      </c>
      <c r="Q167" s="52"/>
      <c r="R167" s="44"/>
    </row>
    <row r="168" spans="1:18" s="29" customFormat="1" ht="15.6">
      <c r="A168" s="82">
        <v>14</v>
      </c>
      <c r="B168" s="470" t="s">
        <v>515</v>
      </c>
      <c r="C168" s="89"/>
      <c r="D168" s="151"/>
      <c r="E168" s="152"/>
      <c r="F168" s="152"/>
      <c r="G168" s="153"/>
      <c r="H168" s="629"/>
      <c r="Q168" s="52"/>
      <c r="R168" s="44"/>
    </row>
    <row r="169" spans="1:18" s="29" customFormat="1" ht="31.95" customHeight="1">
      <c r="A169" s="630" t="s">
        <v>236</v>
      </c>
      <c r="B169" s="875" t="s">
        <v>648</v>
      </c>
      <c r="C169" s="876"/>
      <c r="D169" s="527" t="s">
        <v>50</v>
      </c>
      <c r="E169" s="528">
        <v>2</v>
      </c>
      <c r="F169" s="528">
        <v>2.5</v>
      </c>
      <c r="G169" s="529"/>
      <c r="H169" s="9">
        <f>IF(G169&gt;=80%,F169,IF(G169&lt;65%,0,E169))</f>
        <v>0</v>
      </c>
      <c r="Q169" s="52"/>
      <c r="R169" s="44"/>
    </row>
    <row r="170" spans="1:18" s="29" customFormat="1">
      <c r="A170" s="630" t="s">
        <v>237</v>
      </c>
      <c r="B170" s="875" t="s">
        <v>615</v>
      </c>
      <c r="C170" s="876"/>
      <c r="D170" s="530" t="s">
        <v>50</v>
      </c>
      <c r="E170" s="523" t="s">
        <v>49</v>
      </c>
      <c r="F170" s="523">
        <v>2.5</v>
      </c>
      <c r="G170" s="526">
        <f>F23</f>
        <v>0</v>
      </c>
      <c r="H170" s="434">
        <f>IF(G170&gt;=80%,F170,0)</f>
        <v>0</v>
      </c>
      <c r="Q170" s="52"/>
      <c r="R170" s="44"/>
    </row>
    <row r="171" spans="1:18" s="29" customFormat="1" ht="32.25" customHeight="1">
      <c r="A171" s="630" t="s">
        <v>378</v>
      </c>
      <c r="B171" s="875" t="s">
        <v>617</v>
      </c>
      <c r="C171" s="876"/>
      <c r="D171" s="530" t="s">
        <v>50</v>
      </c>
      <c r="E171" s="523">
        <v>2</v>
      </c>
      <c r="F171" s="523">
        <v>3</v>
      </c>
      <c r="G171" s="529"/>
      <c r="H171" s="434">
        <f>IF(G171&gt;=80%,F171,IF(G171&lt;65%,0,E171))</f>
        <v>0</v>
      </c>
      <c r="Q171" s="52"/>
      <c r="R171" s="44"/>
    </row>
    <row r="172" spans="1:18" s="29" customFormat="1" ht="30" customHeight="1">
      <c r="A172" s="632" t="s">
        <v>521</v>
      </c>
      <c r="B172" s="825" t="s">
        <v>616</v>
      </c>
      <c r="C172" s="827"/>
      <c r="D172" s="420" t="s">
        <v>50</v>
      </c>
      <c r="E172" s="434">
        <v>2</v>
      </c>
      <c r="F172" s="434">
        <v>2.5</v>
      </c>
      <c r="G172" s="30"/>
      <c r="H172" s="434">
        <f>IF(G172&gt;=80%,F172,IF(G172&lt;65%,0,E172))</f>
        <v>0</v>
      </c>
      <c r="Q172" s="52"/>
      <c r="R172" s="44"/>
    </row>
    <row r="173" spans="1:18" s="29" customFormat="1" ht="15.6">
      <c r="A173" s="82">
        <v>15</v>
      </c>
      <c r="B173" s="82" t="s">
        <v>259</v>
      </c>
      <c r="C173" s="89"/>
      <c r="D173" s="151"/>
      <c r="E173" s="152"/>
      <c r="F173" s="152"/>
      <c r="G173" s="153"/>
      <c r="H173" s="629"/>
      <c r="Q173" s="52"/>
      <c r="R173" s="44"/>
    </row>
    <row r="174" spans="1:18" s="29" customFormat="1">
      <c r="A174" s="877" t="s">
        <v>238</v>
      </c>
      <c r="B174" s="879" t="s">
        <v>275</v>
      </c>
      <c r="C174" s="880"/>
      <c r="D174" s="943" t="s">
        <v>50</v>
      </c>
      <c r="E174" s="828">
        <v>2.5</v>
      </c>
      <c r="F174" s="828">
        <v>4</v>
      </c>
      <c r="G174" s="957"/>
      <c r="H174" s="828">
        <f>IF(G174&gt;=80%,F174,IF(G174&lt;65%,0,E174))</f>
        <v>0</v>
      </c>
      <c r="Q174" s="52"/>
      <c r="R174" s="44"/>
    </row>
    <row r="175" spans="1:18" s="29" customFormat="1" ht="15.6">
      <c r="A175" s="878"/>
      <c r="B175" s="810" t="s">
        <v>276</v>
      </c>
      <c r="C175" s="810"/>
      <c r="D175" s="944"/>
      <c r="E175" s="829"/>
      <c r="F175" s="829"/>
      <c r="G175" s="958"/>
      <c r="H175" s="829"/>
      <c r="Q175" s="52"/>
      <c r="R175" s="44"/>
    </row>
    <row r="176" spans="1:18" s="29" customFormat="1">
      <c r="A176" s="877" t="s">
        <v>239</v>
      </c>
      <c r="B176" s="858" t="s">
        <v>137</v>
      </c>
      <c r="C176" s="840"/>
      <c r="D176" s="937" t="s">
        <v>50</v>
      </c>
      <c r="E176" s="938">
        <v>2.5</v>
      </c>
      <c r="F176" s="938">
        <v>4</v>
      </c>
      <c r="G176" s="961"/>
      <c r="H176" s="811">
        <f>IF(G176&gt;=80%,F176,IF(G176&lt;65%,0,E176))</f>
        <v>0</v>
      </c>
      <c r="Q176" s="52"/>
      <c r="R176" s="44"/>
    </row>
    <row r="177" spans="1:18" s="29" customFormat="1" ht="15.6">
      <c r="A177" s="878"/>
      <c r="B177" s="810" t="s">
        <v>119</v>
      </c>
      <c r="C177" s="810"/>
      <c r="D177" s="937"/>
      <c r="E177" s="938"/>
      <c r="F177" s="938"/>
      <c r="G177" s="961"/>
      <c r="H177" s="811"/>
      <c r="Q177" s="52"/>
      <c r="R177" s="44"/>
    </row>
    <row r="178" spans="1:18" s="29" customFormat="1" ht="15.6">
      <c r="A178" s="102">
        <v>16</v>
      </c>
      <c r="B178" s="102" t="s">
        <v>202</v>
      </c>
      <c r="C178" s="89"/>
      <c r="D178" s="89"/>
      <c r="E178" s="91"/>
      <c r="F178" s="91"/>
      <c r="G178" s="92"/>
      <c r="H178" s="614"/>
      <c r="Q178" s="59"/>
      <c r="R178" s="44"/>
    </row>
    <row r="179" spans="1:18" s="29" customFormat="1">
      <c r="A179" s="598" t="s">
        <v>241</v>
      </c>
      <c r="B179" s="765"/>
      <c r="C179" s="766"/>
      <c r="D179" s="107"/>
      <c r="E179" s="538"/>
      <c r="F179" s="538"/>
      <c r="G179" s="65"/>
      <c r="H179" s="633">
        <f>IF(G179&gt;=80%,F179,IF(G179&lt;65%,0,E179))</f>
        <v>0</v>
      </c>
      <c r="Q179" s="52"/>
      <c r="R179" s="44"/>
    </row>
    <row r="180" spans="1:18" s="29" customFormat="1">
      <c r="A180" s="598" t="s">
        <v>242</v>
      </c>
      <c r="B180" s="765"/>
      <c r="C180" s="766"/>
      <c r="D180" s="107"/>
      <c r="E180" s="538"/>
      <c r="F180" s="538"/>
      <c r="G180" s="65"/>
      <c r="H180" s="633">
        <f>IF(G180&gt;=80%,F180,IF(G180&lt;65%,0,E180))</f>
        <v>0</v>
      </c>
      <c r="Q180" s="52"/>
      <c r="R180" s="44"/>
    </row>
    <row r="181" spans="1:18" s="29" customFormat="1">
      <c r="A181" s="598" t="s">
        <v>243</v>
      </c>
      <c r="B181" s="765"/>
      <c r="C181" s="766"/>
      <c r="D181" s="107"/>
      <c r="E181" s="538"/>
      <c r="F181" s="538"/>
      <c r="G181" s="65"/>
      <c r="H181" s="633">
        <f>IF(G181&gt;=80%,F181,IF(G181&lt;65%,0,E181))</f>
        <v>0</v>
      </c>
      <c r="Q181" s="52"/>
      <c r="R181" s="44"/>
    </row>
    <row r="182" spans="1:18" s="29" customFormat="1" ht="15.6">
      <c r="A182" s="604"/>
      <c r="B182" s="307"/>
      <c r="C182" s="305"/>
      <c r="D182" s="305"/>
      <c r="E182" s="305"/>
      <c r="F182" s="309"/>
      <c r="G182" s="310" t="s">
        <v>376</v>
      </c>
      <c r="H182" s="634">
        <f>IFERROR((SUM(H147:H181)),0)</f>
        <v>0</v>
      </c>
      <c r="Q182" s="52"/>
      <c r="R182" s="44"/>
    </row>
    <row r="183" spans="1:18" s="29" customFormat="1" ht="15.6" thickBot="1">
      <c r="A183" s="594"/>
      <c r="B183" s="361"/>
      <c r="C183" s="362"/>
      <c r="D183" s="362"/>
      <c r="E183" s="362"/>
      <c r="F183" s="362"/>
      <c r="G183" s="354"/>
      <c r="H183" s="595"/>
      <c r="Q183" s="52"/>
      <c r="R183" s="44"/>
    </row>
    <row r="184" spans="1:18" s="29" customFormat="1" ht="30.75" customHeight="1">
      <c r="A184" s="865" t="s">
        <v>0</v>
      </c>
      <c r="B184" s="866"/>
      <c r="C184" s="869"/>
      <c r="D184" s="856" t="s">
        <v>4</v>
      </c>
      <c r="E184" s="959" t="s">
        <v>1</v>
      </c>
      <c r="F184" s="960"/>
      <c r="G184" s="955" t="s">
        <v>21</v>
      </c>
      <c r="H184" s="856" t="s">
        <v>62</v>
      </c>
      <c r="Q184" s="52"/>
      <c r="R184" s="44"/>
    </row>
    <row r="185" spans="1:18" s="29" customFormat="1" ht="15.6">
      <c r="A185" s="867"/>
      <c r="B185" s="868"/>
      <c r="C185" s="870"/>
      <c r="D185" s="857"/>
      <c r="E185" s="550" t="s">
        <v>120</v>
      </c>
      <c r="F185" s="550" t="s">
        <v>121</v>
      </c>
      <c r="G185" s="956"/>
      <c r="H185" s="857"/>
      <c r="Q185" s="52"/>
      <c r="R185" s="44"/>
    </row>
    <row r="186" spans="1:18" s="29" customFormat="1" ht="15.6">
      <c r="A186" s="126" t="s">
        <v>240</v>
      </c>
      <c r="B186" s="105" t="s">
        <v>244</v>
      </c>
      <c r="C186" s="106"/>
      <c r="D186" s="106"/>
      <c r="E186" s="106"/>
      <c r="F186" s="110"/>
      <c r="G186" s="111"/>
      <c r="H186" s="628"/>
      <c r="Q186" s="52"/>
      <c r="R186" s="44"/>
    </row>
    <row r="187" spans="1:18" s="29" customFormat="1">
      <c r="A187" s="625" t="s">
        <v>277</v>
      </c>
      <c r="B187" s="858" t="s">
        <v>245</v>
      </c>
      <c r="C187" s="859"/>
      <c r="D187" s="5" t="s">
        <v>50</v>
      </c>
      <c r="E187" s="20">
        <v>-1</v>
      </c>
      <c r="F187" s="20">
        <v>-2</v>
      </c>
      <c r="G187" s="28"/>
      <c r="H187" s="20">
        <f>IF(G187&gt;=30%,F187,IF(G187=0%,0,E187))</f>
        <v>0</v>
      </c>
      <c r="Q187" s="52"/>
      <c r="R187" s="44"/>
    </row>
    <row r="188" spans="1:18" s="29" customFormat="1">
      <c r="A188" s="625" t="s">
        <v>278</v>
      </c>
      <c r="B188" s="858" t="s">
        <v>246</v>
      </c>
      <c r="C188" s="859"/>
      <c r="D188" s="5" t="s">
        <v>50</v>
      </c>
      <c r="E188" s="20">
        <v>-1</v>
      </c>
      <c r="F188" s="20">
        <v>-1.5</v>
      </c>
      <c r="G188" s="28"/>
      <c r="H188" s="20">
        <f>IF(G188&gt;=30%,F188,IF(G188=0%,0,E188))</f>
        <v>0</v>
      </c>
      <c r="Q188" s="52"/>
      <c r="R188" s="44"/>
    </row>
    <row r="189" spans="1:18" s="29" customFormat="1">
      <c r="A189" s="625" t="s">
        <v>279</v>
      </c>
      <c r="B189" s="858" t="s">
        <v>247</v>
      </c>
      <c r="C189" s="859"/>
      <c r="D189" s="5" t="s">
        <v>50</v>
      </c>
      <c r="E189" s="811">
        <v>-1</v>
      </c>
      <c r="F189" s="811"/>
      <c r="G189" s="553"/>
      <c r="H189" s="20">
        <f>IF(G189&gt;0%,E189,0)</f>
        <v>0</v>
      </c>
      <c r="Q189" s="52"/>
      <c r="R189" s="44"/>
    </row>
    <row r="190" spans="1:18" s="29" customFormat="1" ht="15.6">
      <c r="A190" s="604"/>
      <c r="B190" s="307"/>
      <c r="C190" s="305"/>
      <c r="D190" s="305"/>
      <c r="E190" s="305"/>
      <c r="F190" s="309"/>
      <c r="G190" s="310" t="s">
        <v>133</v>
      </c>
      <c r="H190" s="634">
        <f>IFERROR(MAX(SUM(H187:H189),-4),0)</f>
        <v>0</v>
      </c>
      <c r="Q190" s="44"/>
      <c r="R190" s="44"/>
    </row>
    <row r="191" spans="1:18" s="29" customFormat="1">
      <c r="A191" s="592"/>
      <c r="B191" s="307"/>
      <c r="C191" s="305"/>
      <c r="D191" s="305"/>
      <c r="E191" s="305"/>
      <c r="F191" s="305"/>
      <c r="G191" s="314"/>
      <c r="H191" s="571"/>
      <c r="Q191" s="52"/>
      <c r="R191" s="44"/>
    </row>
    <row r="192" spans="1:18" s="29" customFormat="1" ht="15.6">
      <c r="A192" s="592"/>
      <c r="B192" s="307"/>
      <c r="C192" s="305"/>
      <c r="D192" s="305"/>
      <c r="E192" s="305"/>
      <c r="F192" s="305"/>
      <c r="G192" s="312" t="s">
        <v>132</v>
      </c>
      <c r="H192" s="154">
        <f>IFERROR(MIN(SUM(H120+H143+H182+H190),G91),0)</f>
        <v>0</v>
      </c>
      <c r="Q192" s="52"/>
      <c r="R192" s="44"/>
    </row>
    <row r="193" spans="1:18" s="29" customFormat="1" ht="16.2" thickBot="1">
      <c r="A193" s="594"/>
      <c r="B193" s="361"/>
      <c r="C193" s="362"/>
      <c r="D193" s="362"/>
      <c r="E193" s="362"/>
      <c r="F193" s="362"/>
      <c r="G193" s="363"/>
      <c r="H193" s="606"/>
      <c r="Q193" s="52"/>
      <c r="R193" s="44"/>
    </row>
    <row r="194" spans="1:18" s="29" customFormat="1" ht="15.6">
      <c r="A194" s="635" t="s">
        <v>63</v>
      </c>
      <c r="B194" s="355"/>
      <c r="C194" s="355"/>
      <c r="D194" s="355"/>
      <c r="E194" s="355"/>
      <c r="F194" s="356" t="s">
        <v>42</v>
      </c>
      <c r="G194" s="533">
        <f>VLOOKUP($A$7,'Manpower allocation'!A4:D11,4,FALSE)*100</f>
        <v>15</v>
      </c>
      <c r="H194" s="636" t="s">
        <v>41</v>
      </c>
      <c r="I194" s="108">
        <f>VLOOKUP($A$7,'Manpower allocation'!A4:D11,4,FALSE)*100</f>
        <v>15</v>
      </c>
      <c r="Q194" s="52"/>
      <c r="R194" s="44"/>
    </row>
    <row r="195" spans="1:18" s="29" customFormat="1" ht="15.6">
      <c r="A195" s="592"/>
      <c r="B195" s="313"/>
      <c r="C195" s="305"/>
      <c r="D195" s="305"/>
      <c r="E195" s="305"/>
      <c r="F195" s="305"/>
      <c r="G195" s="314"/>
      <c r="H195" s="571"/>
      <c r="Q195" s="52"/>
      <c r="R195" s="44"/>
    </row>
    <row r="196" spans="1:18" s="29" customFormat="1" ht="46.8">
      <c r="A196" s="850" t="s">
        <v>0</v>
      </c>
      <c r="B196" s="851"/>
      <c r="C196" s="109"/>
      <c r="D196" s="545" t="s">
        <v>17</v>
      </c>
      <c r="E196" s="545" t="s">
        <v>124</v>
      </c>
      <c r="F196" s="545" t="s">
        <v>108</v>
      </c>
      <c r="G196" s="545" t="s">
        <v>18</v>
      </c>
      <c r="H196" s="545" t="s">
        <v>62</v>
      </c>
      <c r="Q196" s="52"/>
      <c r="R196" s="44"/>
    </row>
    <row r="197" spans="1:18" s="29" customFormat="1" ht="15.6">
      <c r="A197" s="105" t="s">
        <v>250</v>
      </c>
      <c r="B197" s="531" t="s">
        <v>618</v>
      </c>
      <c r="C197" s="106"/>
      <c r="D197" s="106"/>
      <c r="E197" s="106"/>
      <c r="F197" s="110"/>
      <c r="G197" s="111"/>
      <c r="H197" s="628"/>
      <c r="Q197" s="52"/>
      <c r="R197" s="44"/>
    </row>
    <row r="198" spans="1:18" s="29" customFormat="1" ht="15.6">
      <c r="A198" s="112">
        <v>1</v>
      </c>
      <c r="B198" s="112" t="s">
        <v>304</v>
      </c>
      <c r="C198" s="113"/>
      <c r="D198" s="114"/>
      <c r="E198" s="114"/>
      <c r="F198" s="114"/>
      <c r="G198" s="114"/>
      <c r="H198" s="637"/>
      <c r="Q198" s="52"/>
      <c r="R198" s="44"/>
    </row>
    <row r="199" spans="1:18" s="29" customFormat="1">
      <c r="A199" s="541">
        <v>1.1000000000000001</v>
      </c>
      <c r="B199" s="822" t="s">
        <v>271</v>
      </c>
      <c r="C199" s="824"/>
      <c r="D199" s="20">
        <f>VLOOKUP(A199,'Point Allocation'!$A$46:$J$55,MATCH(A7,'Point Allocation'!$A$46:$J$46,0),0)</f>
        <v>15</v>
      </c>
      <c r="E199" s="38"/>
      <c r="F199" s="38"/>
      <c r="G199" s="31">
        <f>MIN(IFERROR(F199/E199,0),100%)</f>
        <v>0</v>
      </c>
      <c r="H199" s="20">
        <f>D199*G199</f>
        <v>0</v>
      </c>
      <c r="Q199" s="52"/>
      <c r="R199" s="44"/>
    </row>
    <row r="200" spans="1:18" s="29" customFormat="1" ht="15.6">
      <c r="A200" s="115">
        <v>2</v>
      </c>
      <c r="B200" s="115" t="s">
        <v>305</v>
      </c>
      <c r="C200" s="116"/>
      <c r="D200" s="32"/>
      <c r="E200" s="33"/>
      <c r="F200" s="33"/>
      <c r="G200" s="34"/>
      <c r="H200" s="638"/>
      <c r="Q200" s="52"/>
      <c r="R200" s="44"/>
    </row>
    <row r="201" spans="1:18" s="29" customFormat="1" ht="33" customHeight="1">
      <c r="A201" s="544">
        <v>2.1</v>
      </c>
      <c r="B201" s="863" t="s">
        <v>251</v>
      </c>
      <c r="C201" s="864"/>
      <c r="D201" s="20">
        <f>VLOOKUP(A201,'Point Allocation'!$A$46:$J$55,MATCH(A7,'Point Allocation'!$A$46:$J$46,0),0)</f>
        <v>12</v>
      </c>
      <c r="E201" s="38"/>
      <c r="F201" s="38"/>
      <c r="G201" s="31">
        <f>MIN(IFERROR(F201/E201,0),100%)</f>
        <v>0</v>
      </c>
      <c r="H201" s="20">
        <f>D201*G201</f>
        <v>0</v>
      </c>
      <c r="Q201" s="52"/>
      <c r="R201" s="44"/>
    </row>
    <row r="202" spans="1:18" s="29" customFormat="1" ht="15.6">
      <c r="A202" s="112">
        <v>3</v>
      </c>
      <c r="B202" s="112" t="s">
        <v>309</v>
      </c>
      <c r="C202" s="117"/>
      <c r="D202" s="35"/>
      <c r="E202" s="35"/>
      <c r="F202" s="35"/>
      <c r="G202" s="34"/>
      <c r="H202" s="639"/>
      <c r="Q202" s="52"/>
      <c r="R202" s="44"/>
    </row>
    <row r="203" spans="1:18" s="29" customFormat="1">
      <c r="A203" s="540">
        <v>3.1</v>
      </c>
      <c r="B203" s="837" t="s">
        <v>400</v>
      </c>
      <c r="C203" s="838"/>
      <c r="D203" s="20">
        <f>VLOOKUP(A203,'Point Allocation'!$A$46:$J$55,MATCH(A7,'Point Allocation'!$A$46:$J$46,0),0)</f>
        <v>4</v>
      </c>
      <c r="E203" s="38"/>
      <c r="F203" s="38"/>
      <c r="G203" s="31">
        <f>MIN(IFERROR(F203/E203,0),100%)</f>
        <v>0</v>
      </c>
      <c r="H203" s="20">
        <f>D203*G203</f>
        <v>0</v>
      </c>
      <c r="Q203" s="52"/>
      <c r="R203" s="44"/>
    </row>
    <row r="204" spans="1:18" s="29" customFormat="1">
      <c r="A204" s="540">
        <v>3.2</v>
      </c>
      <c r="B204" s="837" t="s">
        <v>401</v>
      </c>
      <c r="C204" s="838"/>
      <c r="D204" s="20">
        <f>VLOOKUP(A204,'Point Allocation'!$A$46:$J$55,MATCH(A7,'Point Allocation'!$A$46:$J$46,0),0)</f>
        <v>4</v>
      </c>
      <c r="E204" s="165"/>
      <c r="F204" s="38"/>
      <c r="G204" s="31">
        <f>MIN(IFERROR(F204/E204,0),100%)</f>
        <v>0</v>
      </c>
      <c r="H204" s="20">
        <f>D204*G204</f>
        <v>0</v>
      </c>
      <c r="Q204" s="52"/>
      <c r="R204" s="44"/>
    </row>
    <row r="205" spans="1:18" s="29" customFormat="1">
      <c r="A205" s="543">
        <v>3.3</v>
      </c>
      <c r="B205" s="858" t="s">
        <v>161</v>
      </c>
      <c r="C205" s="859"/>
      <c r="D205" s="20">
        <f>VLOOKUP(A205,'Point Allocation'!$A$46:$J$55,MATCH(A7,'Point Allocation'!$A$46:$J$46,0),0)</f>
        <v>4</v>
      </c>
      <c r="E205" s="166"/>
      <c r="F205" s="537"/>
      <c r="G205" s="31">
        <f>MIN(IFERROR(F205/E205,0),100%)</f>
        <v>0</v>
      </c>
      <c r="H205" s="20">
        <f>D205*G205</f>
        <v>0</v>
      </c>
      <c r="Q205" s="52"/>
      <c r="R205" s="44"/>
    </row>
    <row r="206" spans="1:18" s="29" customFormat="1" ht="15.6">
      <c r="A206" s="592"/>
      <c r="B206" s="307"/>
      <c r="C206" s="305"/>
      <c r="D206" s="306" t="s">
        <v>6</v>
      </c>
      <c r="E206" s="283">
        <f>MAX(SUM(E199:E205),F206)</f>
        <v>0</v>
      </c>
      <c r="F206" s="283">
        <f>SUM(F199:F205)</f>
        <v>0</v>
      </c>
      <c r="G206" s="322">
        <f>IFERROR(MIN(F206/E206,100%),0)</f>
        <v>0</v>
      </c>
      <c r="H206" s="593">
        <f>IFERROR(SUM(H199:H205),0)</f>
        <v>0</v>
      </c>
      <c r="Q206" s="52"/>
      <c r="R206" s="44"/>
    </row>
    <row r="207" spans="1:18" s="29" customFormat="1" ht="15.6">
      <c r="A207" s="592"/>
      <c r="B207" s="320"/>
      <c r="C207" s="323"/>
      <c r="D207" s="324"/>
      <c r="E207" s="323"/>
      <c r="F207" s="323"/>
      <c r="G207" s="325"/>
      <c r="H207" s="317"/>
      <c r="Q207" s="52"/>
      <c r="R207" s="44"/>
    </row>
    <row r="208" spans="1:18" s="29" customFormat="1" ht="15.6">
      <c r="A208" s="850" t="s">
        <v>0</v>
      </c>
      <c r="B208" s="851"/>
      <c r="C208" s="860"/>
      <c r="D208" s="862" t="s">
        <v>4</v>
      </c>
      <c r="E208" s="862" t="s">
        <v>1</v>
      </c>
      <c r="F208" s="862"/>
      <c r="G208" s="881" t="s">
        <v>21</v>
      </c>
      <c r="H208" s="881" t="s">
        <v>62</v>
      </c>
      <c r="Q208" s="52"/>
      <c r="R208" s="44"/>
    </row>
    <row r="209" spans="1:18" s="29" customFormat="1" ht="30.75" customHeight="1">
      <c r="A209" s="852"/>
      <c r="B209" s="853"/>
      <c r="C209" s="861"/>
      <c r="D209" s="862"/>
      <c r="E209" s="545" t="s">
        <v>64</v>
      </c>
      <c r="F209" s="545" t="s">
        <v>65</v>
      </c>
      <c r="G209" s="881"/>
      <c r="H209" s="881"/>
      <c r="Q209" s="52"/>
      <c r="R209" s="44"/>
    </row>
    <row r="210" spans="1:18" s="29" customFormat="1" ht="15.6">
      <c r="A210" s="45" t="s">
        <v>253</v>
      </c>
      <c r="B210" s="45" t="s">
        <v>254</v>
      </c>
      <c r="C210" s="56"/>
      <c r="D210" s="56"/>
      <c r="E210" s="56"/>
      <c r="F210" s="57"/>
      <c r="G210" s="104"/>
      <c r="H210" s="624"/>
      <c r="Q210" s="52"/>
      <c r="R210" s="44"/>
    </row>
    <row r="211" spans="1:18" s="29" customFormat="1" ht="15.6">
      <c r="A211" s="118">
        <v>4</v>
      </c>
      <c r="B211" s="118" t="s">
        <v>307</v>
      </c>
      <c r="C211" s="116"/>
      <c r="D211" s="119"/>
      <c r="E211" s="120"/>
      <c r="F211" s="120"/>
      <c r="G211" s="121"/>
      <c r="H211" s="640"/>
      <c r="Q211" s="52"/>
      <c r="R211" s="44"/>
    </row>
    <row r="212" spans="1:18" s="29" customFormat="1">
      <c r="A212" s="541">
        <v>4.0999999999999996</v>
      </c>
      <c r="B212" s="822" t="s">
        <v>155</v>
      </c>
      <c r="C212" s="824"/>
      <c r="D212" s="5" t="s">
        <v>50</v>
      </c>
      <c r="E212" s="20" t="s">
        <v>49</v>
      </c>
      <c r="F212" s="20">
        <f>VLOOKUP(A212,'Point Allocation'!$A$46:$J$55,MATCH(A7,'Point Allocation'!$A$46:$J$46,0),0)</f>
        <v>1.5</v>
      </c>
      <c r="G212" s="553"/>
      <c r="H212" s="20">
        <f>IF(G212&gt;=80%,F212,0)</f>
        <v>0</v>
      </c>
      <c r="Q212" s="52"/>
      <c r="R212" s="44"/>
    </row>
    <row r="213" spans="1:18" s="29" customFormat="1">
      <c r="A213" s="541">
        <v>4.2</v>
      </c>
      <c r="B213" s="822" t="s">
        <v>152</v>
      </c>
      <c r="C213" s="824"/>
      <c r="D213" s="5" t="s">
        <v>50</v>
      </c>
      <c r="E213" s="20" t="s">
        <v>49</v>
      </c>
      <c r="F213" s="20">
        <f>VLOOKUP(A213,'Point Allocation'!$A$46:$J$55,MATCH(A7,'Point Allocation'!$A$46:$J$46,0),0)</f>
        <v>1.5</v>
      </c>
      <c r="G213" s="553"/>
      <c r="H213" s="20">
        <f>IF(G213&gt;=80%,F213,0)</f>
        <v>0</v>
      </c>
      <c r="Q213" s="52"/>
      <c r="R213" s="44"/>
    </row>
    <row r="214" spans="1:18" s="29" customFormat="1">
      <c r="A214" s="541">
        <v>4.3</v>
      </c>
      <c r="B214" s="822" t="s">
        <v>146</v>
      </c>
      <c r="C214" s="824"/>
      <c r="D214" s="5" t="s">
        <v>3</v>
      </c>
      <c r="E214" s="20" t="s">
        <v>49</v>
      </c>
      <c r="F214" s="20">
        <f>VLOOKUP(A214,'Point Allocation'!$A$46:$J$55,MATCH(A7,'Point Allocation'!$A$46:$J$46,0),0)</f>
        <v>1.5</v>
      </c>
      <c r="G214" s="553"/>
      <c r="H214" s="20">
        <f>IF(G214&gt;=80%,F214,0)</f>
        <v>0</v>
      </c>
      <c r="Q214" s="52"/>
      <c r="R214" s="44"/>
    </row>
    <row r="215" spans="1:18" s="29" customFormat="1">
      <c r="A215" s="542">
        <v>4.4000000000000004</v>
      </c>
      <c r="B215" s="848" t="s">
        <v>252</v>
      </c>
      <c r="C215" s="849"/>
      <c r="D215" s="5" t="s">
        <v>3</v>
      </c>
      <c r="E215" s="20" t="s">
        <v>49</v>
      </c>
      <c r="F215" s="20">
        <f>VLOOKUP(A215,'Point Allocation'!$A$46:$J$55,MATCH(A7,'Point Allocation'!$A$46:$J$46,0),0)</f>
        <v>1.5</v>
      </c>
      <c r="G215" s="553"/>
      <c r="H215" s="20">
        <f>IF(G215&gt;=80%,F215,0)</f>
        <v>0</v>
      </c>
      <c r="Q215" s="52"/>
      <c r="R215" s="44"/>
    </row>
    <row r="216" spans="1:18" s="29" customFormat="1" ht="15.6">
      <c r="A216" s="118">
        <v>5</v>
      </c>
      <c r="B216" s="118" t="s">
        <v>202</v>
      </c>
      <c r="C216" s="116"/>
      <c r="D216" s="122"/>
      <c r="E216" s="123"/>
      <c r="F216" s="123"/>
      <c r="G216" s="124"/>
      <c r="H216" s="641"/>
      <c r="Q216" s="52"/>
      <c r="R216" s="44"/>
    </row>
    <row r="217" spans="1:18" s="29" customFormat="1">
      <c r="A217" s="591">
        <v>5.0999999999999996</v>
      </c>
      <c r="B217" s="765"/>
      <c r="C217" s="847"/>
      <c r="D217" s="391"/>
      <c r="E217" s="537"/>
      <c r="F217" s="537"/>
      <c r="G217" s="553"/>
      <c r="H217" s="633">
        <f>IF(G217&gt;=80%,F217,IF(G217&lt;65%,0,E217))</f>
        <v>0</v>
      </c>
      <c r="Q217" s="52"/>
      <c r="R217" s="44"/>
    </row>
    <row r="218" spans="1:18" s="29" customFormat="1">
      <c r="A218" s="591">
        <v>5.2</v>
      </c>
      <c r="B218" s="765"/>
      <c r="C218" s="847"/>
      <c r="D218" s="391"/>
      <c r="E218" s="537"/>
      <c r="F218" s="537"/>
      <c r="G218" s="553"/>
      <c r="H218" s="633">
        <f>IF(G218&gt;=80%,F218,IF(G218&lt;65%,0,E218))</f>
        <v>0</v>
      </c>
      <c r="Q218" s="52"/>
      <c r="R218" s="44"/>
    </row>
    <row r="219" spans="1:18" s="29" customFormat="1">
      <c r="A219" s="591">
        <v>5.3</v>
      </c>
      <c r="B219" s="765"/>
      <c r="C219" s="847"/>
      <c r="D219" s="391"/>
      <c r="E219" s="537"/>
      <c r="F219" s="537"/>
      <c r="G219" s="553"/>
      <c r="H219" s="633">
        <f>IF(G219&gt;=80%,F219,IF(G219&lt;65%,0,E219))</f>
        <v>0</v>
      </c>
      <c r="Q219" s="52"/>
      <c r="R219" s="44"/>
    </row>
    <row r="220" spans="1:18" s="29" customFormat="1" ht="15.6">
      <c r="A220" s="592"/>
      <c r="B220" s="326"/>
      <c r="C220" s="326"/>
      <c r="D220" s="314"/>
      <c r="E220" s="314"/>
      <c r="F220" s="314"/>
      <c r="G220" s="312" t="s">
        <v>7</v>
      </c>
      <c r="H220" s="617">
        <f>IFERROR(SUM(H212:H215,H217:H219),0)</f>
        <v>0</v>
      </c>
      <c r="Q220" s="52"/>
      <c r="R220" s="44"/>
    </row>
    <row r="221" spans="1:18" s="29" customFormat="1">
      <c r="A221" s="592"/>
      <c r="B221" s="307"/>
      <c r="C221" s="305"/>
      <c r="D221" s="305"/>
      <c r="E221" s="305"/>
      <c r="F221" s="305"/>
      <c r="G221" s="314"/>
      <c r="H221" s="571"/>
      <c r="Q221" s="52"/>
      <c r="R221" s="44"/>
    </row>
    <row r="222" spans="1:18" s="29" customFormat="1" ht="15.6">
      <c r="A222" s="850" t="s">
        <v>0</v>
      </c>
      <c r="B222" s="851"/>
      <c r="C222" s="860"/>
      <c r="D222" s="881" t="s">
        <v>4</v>
      </c>
      <c r="E222" s="862" t="s">
        <v>1</v>
      </c>
      <c r="F222" s="862"/>
      <c r="G222" s="881" t="s">
        <v>21</v>
      </c>
      <c r="H222" s="881" t="s">
        <v>62</v>
      </c>
      <c r="Q222" s="52"/>
      <c r="R222" s="44"/>
    </row>
    <row r="223" spans="1:18" s="29" customFormat="1" ht="31.2">
      <c r="A223" s="852"/>
      <c r="B223" s="853"/>
      <c r="C223" s="861"/>
      <c r="D223" s="862"/>
      <c r="E223" s="545" t="s">
        <v>64</v>
      </c>
      <c r="F223" s="545" t="s">
        <v>65</v>
      </c>
      <c r="G223" s="881"/>
      <c r="H223" s="881"/>
      <c r="Q223" s="52"/>
      <c r="R223" s="44"/>
    </row>
    <row r="224" spans="1:18" s="29" customFormat="1" ht="15.6">
      <c r="A224" s="105" t="s">
        <v>255</v>
      </c>
      <c r="B224" s="105" t="s">
        <v>518</v>
      </c>
      <c r="C224" s="125"/>
      <c r="D224" s="126"/>
      <c r="E224" s="126"/>
      <c r="F224" s="127"/>
      <c r="G224" s="128"/>
      <c r="H224" s="127"/>
      <c r="Q224" s="52"/>
      <c r="R224" s="44"/>
    </row>
    <row r="225" spans="1:18" s="29" customFormat="1" ht="15.6">
      <c r="A225" s="625" t="s">
        <v>188</v>
      </c>
      <c r="B225" s="822" t="s">
        <v>256</v>
      </c>
      <c r="C225" s="824"/>
      <c r="D225" s="94" t="s">
        <v>2</v>
      </c>
      <c r="E225" s="94">
        <v>1</v>
      </c>
      <c r="F225" s="94">
        <v>2</v>
      </c>
      <c r="G225" s="65"/>
      <c r="H225" s="94">
        <f>IF(G225&gt;=80%,F225,IF(G225&lt;65%,0,E225))</f>
        <v>0</v>
      </c>
      <c r="J225" s="131"/>
      <c r="Q225" s="52"/>
      <c r="R225" s="44"/>
    </row>
    <row r="226" spans="1:18" s="29" customFormat="1">
      <c r="A226" s="575" t="s">
        <v>189</v>
      </c>
      <c r="B226" s="825" t="s">
        <v>619</v>
      </c>
      <c r="C226" s="827"/>
      <c r="D226" s="94" t="s">
        <v>50</v>
      </c>
      <c r="E226" s="94">
        <v>0.5</v>
      </c>
      <c r="F226" s="94">
        <v>1</v>
      </c>
      <c r="G226" s="65"/>
      <c r="H226" s="94">
        <f>IF(G226&gt;=80%,F226,IF(G226&lt;65%,0,E226))</f>
        <v>0</v>
      </c>
      <c r="Q226" s="52"/>
      <c r="R226" s="44"/>
    </row>
    <row r="227" spans="1:18" s="29" customFormat="1" ht="15.6">
      <c r="A227" s="592"/>
      <c r="B227" s="307"/>
      <c r="C227" s="305"/>
      <c r="D227" s="305"/>
      <c r="E227" s="305"/>
      <c r="F227" s="308"/>
      <c r="G227" s="312" t="s">
        <v>109</v>
      </c>
      <c r="H227" s="129">
        <f>IFERROR(SUM(H225:H226),0)</f>
        <v>0</v>
      </c>
      <c r="Q227" s="52"/>
      <c r="R227" s="44"/>
    </row>
    <row r="228" spans="1:18" s="29" customFormat="1">
      <c r="A228" s="592"/>
      <c r="B228" s="307"/>
      <c r="C228" s="305"/>
      <c r="D228" s="305"/>
      <c r="E228" s="305"/>
      <c r="F228" s="305"/>
      <c r="G228" s="314"/>
      <c r="H228" s="571"/>
      <c r="Q228" s="52"/>
      <c r="R228" s="44"/>
    </row>
    <row r="229" spans="1:18" s="29" customFormat="1" ht="15.6">
      <c r="A229" s="592"/>
      <c r="B229" s="307"/>
      <c r="C229" s="305"/>
      <c r="D229" s="305"/>
      <c r="E229" s="305"/>
      <c r="F229" s="305"/>
      <c r="G229" s="312" t="s">
        <v>110</v>
      </c>
      <c r="H229" s="129">
        <f>IFERROR(MIN(SUM(H206+H220+H227),G194),0)</f>
        <v>0</v>
      </c>
      <c r="Q229" s="52"/>
      <c r="R229" s="44"/>
    </row>
    <row r="230" spans="1:18" s="29" customFormat="1" ht="16.2" thickBot="1">
      <c r="A230" s="594"/>
      <c r="B230" s="361"/>
      <c r="C230" s="362"/>
      <c r="D230" s="362"/>
      <c r="E230" s="362"/>
      <c r="F230" s="362"/>
      <c r="G230" s="364"/>
      <c r="H230" s="606"/>
      <c r="Q230" s="52"/>
      <c r="R230" s="44"/>
    </row>
    <row r="231" spans="1:18" s="29" customFormat="1" ht="15.6">
      <c r="A231" s="642" t="s">
        <v>129</v>
      </c>
      <c r="B231" s="455"/>
      <c r="C231" s="455"/>
      <c r="D231" s="455"/>
      <c r="E231" s="455"/>
      <c r="F231" s="456" t="s">
        <v>42</v>
      </c>
      <c r="G231" s="457">
        <v>20</v>
      </c>
      <c r="H231" s="643" t="s">
        <v>41</v>
      </c>
      <c r="Q231" s="52"/>
      <c r="R231" s="44"/>
    </row>
    <row r="232" spans="1:18" s="29" customFormat="1" ht="15.6">
      <c r="A232" s="592"/>
      <c r="B232" s="329"/>
      <c r="C232" s="305"/>
      <c r="D232" s="305"/>
      <c r="E232" s="305"/>
      <c r="F232" s="305"/>
      <c r="G232" s="314"/>
      <c r="H232" s="571"/>
      <c r="Q232" s="52"/>
      <c r="R232" s="44"/>
    </row>
    <row r="233" spans="1:18" s="29" customFormat="1" ht="33" customHeight="1">
      <c r="A233" s="854" t="s">
        <v>0</v>
      </c>
      <c r="B233" s="855"/>
      <c r="C233" s="132"/>
      <c r="D233" s="132"/>
      <c r="E233" s="133" t="s">
        <v>4</v>
      </c>
      <c r="F233" s="133" t="s">
        <v>69</v>
      </c>
      <c r="G233" s="134" t="s">
        <v>21</v>
      </c>
      <c r="H233" s="644" t="s">
        <v>62</v>
      </c>
      <c r="Q233" s="52"/>
      <c r="R233" s="44"/>
    </row>
    <row r="234" spans="1:18" s="29" customFormat="1" ht="15.6">
      <c r="A234" s="105" t="s">
        <v>257</v>
      </c>
      <c r="B234" s="105" t="s">
        <v>258</v>
      </c>
      <c r="C234" s="106"/>
      <c r="D234" s="106"/>
      <c r="E234" s="106"/>
      <c r="F234" s="57"/>
      <c r="G234" s="135"/>
      <c r="H234" s="645"/>
      <c r="I234" s="130"/>
      <c r="Q234" s="52"/>
      <c r="R234" s="44"/>
    </row>
    <row r="235" spans="1:18" s="29" customFormat="1" ht="15.6">
      <c r="A235" s="591">
        <v>1.1000000000000001</v>
      </c>
      <c r="B235" s="816" t="s">
        <v>122</v>
      </c>
      <c r="C235" s="817"/>
      <c r="D235" s="818"/>
      <c r="E235" s="155"/>
      <c r="F235" s="136"/>
      <c r="G235" s="137"/>
      <c r="H235" s="547">
        <f t="shared" ref="H235:H240" si="5">F235*G235</f>
        <v>0</v>
      </c>
      <c r="Q235" s="52"/>
      <c r="R235" s="44"/>
    </row>
    <row r="236" spans="1:18" s="29" customFormat="1" ht="15.6">
      <c r="A236" s="589">
        <v>1.2</v>
      </c>
      <c r="B236" s="844" t="s">
        <v>123</v>
      </c>
      <c r="C236" s="845"/>
      <c r="D236" s="846"/>
      <c r="E236" s="155"/>
      <c r="F236" s="136"/>
      <c r="G236" s="137"/>
      <c r="H236" s="547">
        <f t="shared" si="5"/>
        <v>0</v>
      </c>
      <c r="Q236" s="52"/>
      <c r="R236" s="44"/>
    </row>
    <row r="237" spans="1:18" s="29" customFormat="1" ht="15.6">
      <c r="A237" s="591">
        <v>1.3</v>
      </c>
      <c r="B237" s="816" t="s">
        <v>114</v>
      </c>
      <c r="C237" s="817"/>
      <c r="D237" s="818"/>
      <c r="E237" s="155"/>
      <c r="F237" s="136"/>
      <c r="G237" s="137"/>
      <c r="H237" s="547">
        <f t="shared" si="5"/>
        <v>0</v>
      </c>
      <c r="Q237" s="52"/>
      <c r="R237" s="44"/>
    </row>
    <row r="238" spans="1:18" s="29" customFormat="1" ht="15.6">
      <c r="A238" s="591">
        <v>1.4</v>
      </c>
      <c r="B238" s="816" t="s">
        <v>282</v>
      </c>
      <c r="C238" s="817"/>
      <c r="D238" s="818"/>
      <c r="E238" s="155"/>
      <c r="F238" s="136"/>
      <c r="G238" s="137"/>
      <c r="H238" s="547">
        <f t="shared" si="5"/>
        <v>0</v>
      </c>
      <c r="Q238" s="52"/>
      <c r="R238" s="44"/>
    </row>
    <row r="239" spans="1:18" s="29" customFormat="1" ht="15.6">
      <c r="A239" s="591">
        <v>1.5</v>
      </c>
      <c r="B239" s="816"/>
      <c r="C239" s="817"/>
      <c r="D239" s="818"/>
      <c r="E239" s="155"/>
      <c r="F239" s="136"/>
      <c r="G239" s="137"/>
      <c r="H239" s="547">
        <f t="shared" si="5"/>
        <v>0</v>
      </c>
      <c r="Q239" s="52"/>
      <c r="R239" s="44"/>
    </row>
    <row r="240" spans="1:18" s="29" customFormat="1" ht="15.6">
      <c r="A240" s="591">
        <v>1.6</v>
      </c>
      <c r="B240" s="816"/>
      <c r="C240" s="817"/>
      <c r="D240" s="818"/>
      <c r="E240" s="155"/>
      <c r="F240" s="136"/>
      <c r="G240" s="137"/>
      <c r="H240" s="547">
        <f t="shared" si="5"/>
        <v>0</v>
      </c>
      <c r="Q240" s="52"/>
      <c r="R240" s="44"/>
    </row>
    <row r="241" spans="1:18" s="29" customFormat="1" ht="15.6">
      <c r="A241" s="105" t="s">
        <v>260</v>
      </c>
      <c r="B241" s="105" t="s">
        <v>259</v>
      </c>
      <c r="C241" s="106"/>
      <c r="D241" s="106"/>
      <c r="E241" s="106"/>
      <c r="F241" s="57"/>
      <c r="G241" s="135"/>
      <c r="H241" s="645"/>
      <c r="Q241" s="52"/>
      <c r="R241" s="44"/>
    </row>
    <row r="242" spans="1:18" s="29" customFormat="1" ht="30.6" customHeight="1">
      <c r="A242" s="620">
        <v>2.1</v>
      </c>
      <c r="B242" s="825" t="s">
        <v>620</v>
      </c>
      <c r="C242" s="842"/>
      <c r="D242" s="843"/>
      <c r="E242" s="148" t="s">
        <v>367</v>
      </c>
      <c r="F242" s="389">
        <v>2</v>
      </c>
      <c r="G242" s="390"/>
      <c r="H242" s="547">
        <f>IFERROR(VLOOKUP(E242,J243:K246,2,FALSE),0)</f>
        <v>0</v>
      </c>
      <c r="J242" s="29" t="s">
        <v>367</v>
      </c>
      <c r="K242" s="29">
        <v>0</v>
      </c>
      <c r="Q242" s="52"/>
      <c r="R242" s="44"/>
    </row>
    <row r="243" spans="1:18" s="29" customFormat="1" ht="15.6">
      <c r="A243" s="592"/>
      <c r="B243" s="304"/>
      <c r="C243" s="305"/>
      <c r="D243" s="305"/>
      <c r="E243" s="305"/>
      <c r="F243" s="305"/>
      <c r="G243" s="312" t="s">
        <v>130</v>
      </c>
      <c r="H243" s="138">
        <f>IFERROR(MIN(SUM(H235:H242),G231),0)</f>
        <v>0</v>
      </c>
      <c r="J243" s="29" t="s">
        <v>363</v>
      </c>
      <c r="K243" s="29">
        <v>2</v>
      </c>
      <c r="Q243" s="44"/>
      <c r="R243" s="44"/>
    </row>
    <row r="244" spans="1:18" s="29" customFormat="1">
      <c r="A244" s="592"/>
      <c r="B244" s="307"/>
      <c r="C244" s="305"/>
      <c r="D244" s="305"/>
      <c r="E244" s="305"/>
      <c r="F244" s="305"/>
      <c r="G244" s="314"/>
      <c r="H244" s="571"/>
      <c r="J244" s="29" t="s">
        <v>364</v>
      </c>
      <c r="K244" s="29">
        <v>2</v>
      </c>
      <c r="Q244" s="44"/>
      <c r="R244" s="44"/>
    </row>
    <row r="245" spans="1:18" s="29" customFormat="1" ht="15.6">
      <c r="A245" s="592"/>
      <c r="B245" s="307"/>
      <c r="C245" s="305"/>
      <c r="D245" s="305"/>
      <c r="E245" s="305"/>
      <c r="F245" s="305"/>
      <c r="G245" s="312" t="s">
        <v>68</v>
      </c>
      <c r="H245" s="617">
        <f>IFERROR(H89+H192+H229+H243,0)</f>
        <v>0</v>
      </c>
      <c r="J245" s="29" t="s">
        <v>365</v>
      </c>
      <c r="K245" s="29">
        <v>2</v>
      </c>
      <c r="Q245" s="44"/>
      <c r="R245" s="44"/>
    </row>
    <row r="246" spans="1:18" s="29" customFormat="1">
      <c r="A246" s="592"/>
      <c r="B246" s="307"/>
      <c r="C246" s="305"/>
      <c r="D246" s="305"/>
      <c r="E246" s="305"/>
      <c r="F246" s="305"/>
      <c r="G246" s="314"/>
      <c r="H246" s="571"/>
      <c r="J246" s="29" t="s">
        <v>366</v>
      </c>
      <c r="K246" s="29">
        <v>2</v>
      </c>
      <c r="Q246" s="52"/>
      <c r="R246" s="44"/>
    </row>
    <row r="247" spans="1:18" s="29" customFormat="1" ht="15.75" customHeight="1">
      <c r="A247" s="592"/>
      <c r="B247" s="327" t="s">
        <v>37</v>
      </c>
      <c r="C247" s="314"/>
      <c r="D247" s="809" t="s">
        <v>372</v>
      </c>
      <c r="E247" s="809"/>
      <c r="F247" s="809"/>
      <c r="G247" s="314"/>
      <c r="H247" s="646"/>
      <c r="Q247" s="52"/>
      <c r="R247" s="44"/>
    </row>
    <row r="248" spans="1:18" s="29" customFormat="1" ht="15.6">
      <c r="A248" s="592"/>
      <c r="B248" s="328"/>
      <c r="C248" s="314"/>
      <c r="D248" s="809"/>
      <c r="E248" s="809"/>
      <c r="F248" s="809"/>
      <c r="G248" s="314"/>
      <c r="H248" s="646"/>
      <c r="Q248" s="52"/>
      <c r="R248" s="44"/>
    </row>
    <row r="249" spans="1:18" s="29" customFormat="1" ht="15.6">
      <c r="A249" s="647" t="s">
        <v>261</v>
      </c>
      <c r="B249" s="328" t="s">
        <v>99</v>
      </c>
      <c r="C249" s="347">
        <f>IFERROR(SUM(G32+G35+G37+G38+G47+G50),0)</f>
        <v>0</v>
      </c>
      <c r="D249" s="314" t="s">
        <v>265</v>
      </c>
      <c r="E249" s="137"/>
      <c r="F249" s="314" t="s">
        <v>266</v>
      </c>
      <c r="G249" s="139">
        <f>MIN(IFERROR(SUM(C249+E249),0),100%)</f>
        <v>0</v>
      </c>
      <c r="H249" s="571"/>
      <c r="L249" s="52"/>
      <c r="M249" s="44"/>
    </row>
    <row r="250" spans="1:18" s="29" customFormat="1" ht="15.6">
      <c r="A250" s="647" t="s">
        <v>262</v>
      </c>
      <c r="B250" s="328" t="s">
        <v>100</v>
      </c>
      <c r="C250" s="347">
        <f>IFERROR(SUM(F19+G96+G98+G100+G103+G106+G107+G108+G109+G110),0)</f>
        <v>0</v>
      </c>
      <c r="D250" s="314" t="s">
        <v>265</v>
      </c>
      <c r="E250" s="137"/>
      <c r="F250" s="314" t="s">
        <v>266</v>
      </c>
      <c r="G250" s="139">
        <f>MIN(IFERROR(SUM(C250+E250),0),100%)</f>
        <v>0</v>
      </c>
      <c r="H250" s="571"/>
      <c r="L250" s="52"/>
      <c r="M250" s="44"/>
    </row>
    <row r="251" spans="1:18" s="29" customFormat="1" ht="15.6">
      <c r="A251" s="647" t="s">
        <v>263</v>
      </c>
      <c r="B251" s="328" t="s">
        <v>101</v>
      </c>
      <c r="C251" s="347">
        <f>IFERROR(G206,0)</f>
        <v>0</v>
      </c>
      <c r="D251" s="314" t="s">
        <v>265</v>
      </c>
      <c r="E251" s="137"/>
      <c r="F251" s="286" t="s">
        <v>266</v>
      </c>
      <c r="G251" s="139">
        <f>MIN(IFERROR(SUM(C251+E251),0),100%)</f>
        <v>0</v>
      </c>
      <c r="H251" s="562"/>
      <c r="I251" s="3"/>
      <c r="J251" s="3"/>
      <c r="K251" s="3"/>
      <c r="L251" s="52"/>
      <c r="M251" s="44"/>
    </row>
    <row r="252" spans="1:18" s="29" customFormat="1">
      <c r="A252" s="622"/>
      <c r="B252" s="320"/>
      <c r="C252" s="323"/>
      <c r="D252" s="323"/>
      <c r="E252" s="323"/>
      <c r="F252" s="323"/>
      <c r="G252" s="648"/>
      <c r="H252" s="649"/>
      <c r="J252" s="3"/>
      <c r="K252" s="3"/>
      <c r="L252" s="3"/>
      <c r="M252" s="3"/>
      <c r="N252" s="3"/>
      <c r="O252" s="3"/>
      <c r="P252" s="3"/>
      <c r="Q252" s="52"/>
      <c r="R252" s="44"/>
    </row>
    <row r="253" spans="1:18" s="29" customFormat="1">
      <c r="A253" s="161"/>
      <c r="B253" s="3"/>
      <c r="C253" s="3"/>
      <c r="D253" s="3"/>
      <c r="E253" s="3"/>
      <c r="F253" s="3"/>
      <c r="G253" s="10"/>
      <c r="H253" s="3"/>
      <c r="J253" s="3"/>
      <c r="K253" s="3"/>
      <c r="L253" s="3"/>
      <c r="M253" s="3"/>
      <c r="N253" s="3"/>
      <c r="O253" s="3"/>
      <c r="P253" s="3"/>
      <c r="Q253" s="52"/>
      <c r="R253" s="44"/>
    </row>
    <row r="254" spans="1:18" s="29" customFormat="1">
      <c r="A254" s="161"/>
      <c r="B254" s="3"/>
      <c r="C254" s="3"/>
      <c r="D254" s="3"/>
      <c r="E254" s="3"/>
      <c r="F254" s="3"/>
      <c r="G254" s="10"/>
      <c r="H254" s="3"/>
      <c r="J254" s="3"/>
      <c r="K254" s="3"/>
      <c r="L254" s="3"/>
      <c r="M254" s="3"/>
      <c r="N254" s="3"/>
      <c r="O254" s="3"/>
      <c r="P254" s="3"/>
      <c r="Q254" s="52"/>
      <c r="R254" s="44"/>
    </row>
    <row r="255" spans="1:18" s="29" customFormat="1">
      <c r="A255" s="161"/>
      <c r="B255" s="3"/>
      <c r="C255" s="3"/>
      <c r="D255" s="3"/>
      <c r="E255" s="3"/>
      <c r="F255" s="3"/>
      <c r="G255" s="10"/>
      <c r="H255" s="3"/>
      <c r="J255" s="3"/>
      <c r="K255" s="3"/>
      <c r="L255" s="3"/>
      <c r="M255" s="3"/>
      <c r="N255" s="3"/>
      <c r="O255" s="3"/>
      <c r="P255" s="3"/>
      <c r="Q255" s="52"/>
      <c r="R255" s="44"/>
    </row>
    <row r="256" spans="1:18" s="29" customFormat="1">
      <c r="A256" s="161"/>
      <c r="B256" s="3"/>
      <c r="C256" s="3"/>
      <c r="D256" s="3"/>
      <c r="E256" s="3"/>
      <c r="F256" s="3"/>
      <c r="G256" s="10"/>
      <c r="H256" s="3"/>
      <c r="J256" s="3"/>
      <c r="K256" s="3"/>
      <c r="L256" s="3"/>
      <c r="M256" s="3"/>
      <c r="N256" s="3"/>
      <c r="O256" s="3"/>
      <c r="P256" s="3"/>
      <c r="Q256" s="44"/>
      <c r="R256" s="44"/>
    </row>
    <row r="257" spans="1:18" s="29" customFormat="1">
      <c r="A257" s="161"/>
      <c r="B257" s="3"/>
      <c r="C257" s="3"/>
      <c r="D257" s="3"/>
      <c r="E257" s="3"/>
      <c r="F257" s="3"/>
      <c r="G257" s="10"/>
      <c r="H257" s="3"/>
      <c r="J257" s="3"/>
      <c r="K257" s="3"/>
      <c r="L257" s="3"/>
      <c r="M257" s="3"/>
      <c r="N257" s="3"/>
      <c r="O257" s="3"/>
      <c r="P257" s="3"/>
      <c r="Q257" s="44"/>
      <c r="R257" s="44"/>
    </row>
    <row r="258" spans="1:18" s="29" customFormat="1">
      <c r="A258" s="161"/>
      <c r="B258" s="3"/>
      <c r="C258" s="3"/>
      <c r="D258" s="3"/>
      <c r="E258" s="3"/>
      <c r="F258" s="3"/>
      <c r="G258" s="10"/>
      <c r="H258" s="3"/>
      <c r="J258" s="3"/>
      <c r="K258" s="3"/>
      <c r="L258" s="3"/>
      <c r="M258" s="3"/>
      <c r="N258" s="3"/>
      <c r="O258" s="3"/>
      <c r="P258" s="3"/>
      <c r="Q258" s="44"/>
      <c r="R258" s="44"/>
    </row>
    <row r="259" spans="1:18" s="29" customFormat="1">
      <c r="A259" s="161"/>
      <c r="B259" s="3"/>
      <c r="C259" s="3"/>
      <c r="D259" s="3"/>
      <c r="E259" s="3"/>
      <c r="F259" s="3"/>
      <c r="G259" s="10"/>
      <c r="H259" s="3"/>
      <c r="J259" s="3"/>
      <c r="K259" s="3"/>
      <c r="L259" s="3"/>
      <c r="M259" s="3"/>
      <c r="N259" s="3"/>
      <c r="O259" s="3"/>
      <c r="P259" s="3"/>
      <c r="Q259" s="44"/>
      <c r="R259" s="44"/>
    </row>
  </sheetData>
  <sheetProtection algorithmName="SHA-512" hashValue="orvNGck48iJ3JNZKLPZk9zx9M6hc0Iv7cGqjHnciy7UteUYHVt4yoC88KereSEXbZWEHd+e+f9IYnyTc+aq+Yw==" saltValue="FdWBfuCzlDx79PykYk30Fg==" spinCount="100000" sheet="1" selectLockedCells="1"/>
  <mergeCells count="236">
    <mergeCell ref="A4:B4"/>
    <mergeCell ref="A7:B7"/>
    <mergeCell ref="D7:G7"/>
    <mergeCell ref="B134:C134"/>
    <mergeCell ref="B17:C17"/>
    <mergeCell ref="B19:C19"/>
    <mergeCell ref="B20:C20"/>
    <mergeCell ref="B21:C21"/>
    <mergeCell ref="D11:D12"/>
    <mergeCell ref="B22:C22"/>
    <mergeCell ref="E11:E12"/>
    <mergeCell ref="F11:F12"/>
    <mergeCell ref="B81:C81"/>
    <mergeCell ref="B96:D96"/>
    <mergeCell ref="B113:D113"/>
    <mergeCell ref="B109:D109"/>
    <mergeCell ref="B99:D99"/>
    <mergeCell ref="B129:C129"/>
    <mergeCell ref="A98:A99"/>
    <mergeCell ref="B79:C79"/>
    <mergeCell ref="A11:B12"/>
    <mergeCell ref="A103:A104"/>
    <mergeCell ref="B14:C14"/>
    <mergeCell ref="B15:C15"/>
    <mergeCell ref="B16:C16"/>
    <mergeCell ref="D69:D72"/>
    <mergeCell ref="B45:D45"/>
    <mergeCell ref="B53:D53"/>
    <mergeCell ref="B50:D50"/>
    <mergeCell ref="B54:D54"/>
    <mergeCell ref="B44:D44"/>
    <mergeCell ref="B23:C23"/>
    <mergeCell ref="B24:C24"/>
    <mergeCell ref="B25:C25"/>
    <mergeCell ref="B64:C64"/>
    <mergeCell ref="B74:C74"/>
    <mergeCell ref="B69:C69"/>
    <mergeCell ref="B67:C67"/>
    <mergeCell ref="B66:C66"/>
    <mergeCell ref="B68:C68"/>
    <mergeCell ref="B65:C65"/>
    <mergeCell ref="B70:C70"/>
    <mergeCell ref="B71:C71"/>
    <mergeCell ref="B73:C73"/>
    <mergeCell ref="B72:C72"/>
    <mergeCell ref="H98:H99"/>
    <mergeCell ref="B101:D101"/>
    <mergeCell ref="B108:D108"/>
    <mergeCell ref="B103:D103"/>
    <mergeCell ref="B104:D104"/>
    <mergeCell ref="G100:G101"/>
    <mergeCell ref="H100:H101"/>
    <mergeCell ref="E103:E104"/>
    <mergeCell ref="F103:F104"/>
    <mergeCell ref="G103:G104"/>
    <mergeCell ref="H103:H104"/>
    <mergeCell ref="B106:D106"/>
    <mergeCell ref="B107:D107"/>
    <mergeCell ref="B98:D98"/>
    <mergeCell ref="G98:G99"/>
    <mergeCell ref="A176:A177"/>
    <mergeCell ref="Q106:Q107"/>
    <mergeCell ref="B114:D114"/>
    <mergeCell ref="B127:C127"/>
    <mergeCell ref="B115:D115"/>
    <mergeCell ref="B117:D117"/>
    <mergeCell ref="B118:D118"/>
    <mergeCell ref="B119:D119"/>
    <mergeCell ref="B125:C125"/>
    <mergeCell ref="A127:A128"/>
    <mergeCell ref="D127:D128"/>
    <mergeCell ref="H127:H128"/>
    <mergeCell ref="B110:D110"/>
    <mergeCell ref="G127:G128"/>
    <mergeCell ref="B128:C128"/>
    <mergeCell ref="B77:C77"/>
    <mergeCell ref="G208:G209"/>
    <mergeCell ref="B135:C135"/>
    <mergeCell ref="B138:C138"/>
    <mergeCell ref="B139:C139"/>
    <mergeCell ref="B140:C140"/>
    <mergeCell ref="B141:C141"/>
    <mergeCell ref="B142:C142"/>
    <mergeCell ref="A145:B145"/>
    <mergeCell ref="F145:G145"/>
    <mergeCell ref="D147:D148"/>
    <mergeCell ref="A166:A167"/>
    <mergeCell ref="B166:C167"/>
    <mergeCell ref="B179:C179"/>
    <mergeCell ref="B180:C180"/>
    <mergeCell ref="C151:C152"/>
    <mergeCell ref="D151:D152"/>
    <mergeCell ref="E151:F151"/>
    <mergeCell ref="G151:G152"/>
    <mergeCell ref="B203:C203"/>
    <mergeCell ref="B204:C204"/>
    <mergeCell ref="B158:C158"/>
    <mergeCell ref="D208:D209"/>
    <mergeCell ref="B159:C159"/>
    <mergeCell ref="B84:C84"/>
    <mergeCell ref="B85:C85"/>
    <mergeCell ref="B86:C86"/>
    <mergeCell ref="A100:A101"/>
    <mergeCell ref="B100:D100"/>
    <mergeCell ref="E100:E101"/>
    <mergeCell ref="F100:F101"/>
    <mergeCell ref="E98:E99"/>
    <mergeCell ref="F98:F99"/>
    <mergeCell ref="H32:H33"/>
    <mergeCell ref="B33:D33"/>
    <mergeCell ref="B35:D35"/>
    <mergeCell ref="A38:A39"/>
    <mergeCell ref="B38:D39"/>
    <mergeCell ref="E38:E39"/>
    <mergeCell ref="H38:H39"/>
    <mergeCell ref="B32:D32"/>
    <mergeCell ref="E32:E33"/>
    <mergeCell ref="B37:D37"/>
    <mergeCell ref="A32:A33"/>
    <mergeCell ref="F32:F33"/>
    <mergeCell ref="G32:G33"/>
    <mergeCell ref="B155:C155"/>
    <mergeCell ref="B156:C156"/>
    <mergeCell ref="B157:C157"/>
    <mergeCell ref="H40:H45"/>
    <mergeCell ref="B43:D43"/>
    <mergeCell ref="B48:D48"/>
    <mergeCell ref="B49:D49"/>
    <mergeCell ref="B56:D56"/>
    <mergeCell ref="B57:D57"/>
    <mergeCell ref="B58:D58"/>
    <mergeCell ref="A61:B62"/>
    <mergeCell ref="D61:D62"/>
    <mergeCell ref="E61:F61"/>
    <mergeCell ref="G61:G62"/>
    <mergeCell ref="H61:H62"/>
    <mergeCell ref="B41:D41"/>
    <mergeCell ref="B42:D42"/>
    <mergeCell ref="B47:D47"/>
    <mergeCell ref="E40:E45"/>
    <mergeCell ref="B40:D40"/>
    <mergeCell ref="E74:F74"/>
    <mergeCell ref="B76:C76"/>
    <mergeCell ref="B78:C78"/>
    <mergeCell ref="B82:C82"/>
    <mergeCell ref="A162:A165"/>
    <mergeCell ref="B172:C172"/>
    <mergeCell ref="B162:C165"/>
    <mergeCell ref="H131:H132"/>
    <mergeCell ref="B132:C132"/>
    <mergeCell ref="E127:E128"/>
    <mergeCell ref="F127:F128"/>
    <mergeCell ref="A160:A161"/>
    <mergeCell ref="B160:C161"/>
    <mergeCell ref="E160:F160"/>
    <mergeCell ref="G160:G161"/>
    <mergeCell ref="H160:H161"/>
    <mergeCell ref="E161:F161"/>
    <mergeCell ref="E147:E148"/>
    <mergeCell ref="F147:G147"/>
    <mergeCell ref="F148:G148"/>
    <mergeCell ref="A151:B152"/>
    <mergeCell ref="A131:A132"/>
    <mergeCell ref="B131:C131"/>
    <mergeCell ref="D131:D132"/>
    <mergeCell ref="E131:E132"/>
    <mergeCell ref="F131:F132"/>
    <mergeCell ref="G131:G132"/>
    <mergeCell ref="H151:H152"/>
    <mergeCell ref="A174:A175"/>
    <mergeCell ref="B174:C174"/>
    <mergeCell ref="D174:D175"/>
    <mergeCell ref="E174:E175"/>
    <mergeCell ref="F174:F175"/>
    <mergeCell ref="G174:G175"/>
    <mergeCell ref="H174:H175"/>
    <mergeCell ref="B175:C175"/>
    <mergeCell ref="B171:C171"/>
    <mergeCell ref="B176:C176"/>
    <mergeCell ref="D176:D177"/>
    <mergeCell ref="E176:E177"/>
    <mergeCell ref="F176:F177"/>
    <mergeCell ref="G176:G177"/>
    <mergeCell ref="E162:F162"/>
    <mergeCell ref="G162:G165"/>
    <mergeCell ref="H176:H177"/>
    <mergeCell ref="B177:C177"/>
    <mergeCell ref="H162:H165"/>
    <mergeCell ref="E163:F163"/>
    <mergeCell ref="E164:F164"/>
    <mergeCell ref="E165:F165"/>
    <mergeCell ref="B170:C170"/>
    <mergeCell ref="B169:C169"/>
    <mergeCell ref="B181:C181"/>
    <mergeCell ref="A184:B185"/>
    <mergeCell ref="C184:C185"/>
    <mergeCell ref="D184:D185"/>
    <mergeCell ref="E184:F184"/>
    <mergeCell ref="G184:G185"/>
    <mergeCell ref="H184:H185"/>
    <mergeCell ref="B187:C187"/>
    <mergeCell ref="B188:C188"/>
    <mergeCell ref="B189:C189"/>
    <mergeCell ref="E189:F189"/>
    <mergeCell ref="B236:D236"/>
    <mergeCell ref="B237:D237"/>
    <mergeCell ref="B238:D238"/>
    <mergeCell ref="B239:D239"/>
    <mergeCell ref="B240:D240"/>
    <mergeCell ref="B225:C225"/>
    <mergeCell ref="B226:C226"/>
    <mergeCell ref="A233:B233"/>
    <mergeCell ref="B205:C205"/>
    <mergeCell ref="A196:B196"/>
    <mergeCell ref="B199:C199"/>
    <mergeCell ref="B201:C201"/>
    <mergeCell ref="E208:F208"/>
    <mergeCell ref="B242:D242"/>
    <mergeCell ref="D247:F248"/>
    <mergeCell ref="H208:H209"/>
    <mergeCell ref="B212:C212"/>
    <mergeCell ref="B213:C213"/>
    <mergeCell ref="B214:C214"/>
    <mergeCell ref="B215:C215"/>
    <mergeCell ref="B218:C218"/>
    <mergeCell ref="B219:C219"/>
    <mergeCell ref="A222:B223"/>
    <mergeCell ref="C222:C223"/>
    <mergeCell ref="D222:D223"/>
    <mergeCell ref="E222:F222"/>
    <mergeCell ref="G222:G223"/>
    <mergeCell ref="H222:H223"/>
    <mergeCell ref="B235:D235"/>
    <mergeCell ref="B217:C217"/>
    <mergeCell ref="A208:B209"/>
    <mergeCell ref="C208:C209"/>
  </mergeCells>
  <dataValidations count="3">
    <dataValidation type="list" allowBlank="1" showInputMessage="1" showErrorMessage="1" sqref="A7" xr:uid="{4A5E97B7-2AA6-46A0-87AE-518C3E5B3FD6}">
      <formula1>$J$1:$J$7</formula1>
    </dataValidation>
    <dataValidation type="list" allowBlank="1" showInputMessage="1" showErrorMessage="1" sqref="E242" xr:uid="{72D0A034-B3A6-43A2-861C-0B3037AB9223}">
      <formula1>$J$242:$J$246</formula1>
    </dataValidation>
    <dataValidation type="list" allowBlank="1" showInputMessage="1" showErrorMessage="1" sqref="F148:G148" xr:uid="{4211C618-56B3-4D78-AB3F-352ABE0386FC}">
      <formula1>$K$145:$P$145</formula1>
    </dataValidation>
  </dataValidations>
  <pageMargins left="0.25" right="0.25" top="0.75" bottom="0.75" header="0.3" footer="0.3"/>
  <pageSetup paperSize="9" scale="55" fitToHeight="4" orientation="portrait" r:id="rId1"/>
  <headerFooter>
    <oddFooter>&amp;F</oddFooter>
  </headerFooter>
  <rowBreaks count="3" manualBreakCount="3">
    <brk id="60" max="7" man="1"/>
    <brk id="121" max="7" man="1"/>
    <brk id="183"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R259"/>
  <sheetViews>
    <sheetView zoomScale="80" zoomScaleNormal="80" zoomScaleSheetLayoutView="100" workbookViewId="0">
      <selection activeCell="A7" sqref="A7:B7"/>
    </sheetView>
  </sheetViews>
  <sheetFormatPr defaultColWidth="9.109375" defaultRowHeight="15"/>
  <cols>
    <col min="1" max="1" width="7" style="160"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29" style="3" hidden="1" customWidth="1"/>
    <col min="10" max="10" width="45.6640625" style="3" hidden="1" customWidth="1"/>
    <col min="11" max="15" width="9.109375" style="3" hidden="1" customWidth="1"/>
    <col min="16" max="16" width="9.6640625" style="3" hidden="1" customWidth="1"/>
    <col min="17" max="17" width="9.109375" style="3" customWidth="1"/>
    <col min="18" max="16384" width="9.109375" style="3"/>
  </cols>
  <sheetData>
    <row r="1" spans="1:15" ht="15.6">
      <c r="A1" s="558" t="s">
        <v>89</v>
      </c>
      <c r="B1" s="559"/>
      <c r="C1" s="559"/>
      <c r="D1" s="559"/>
      <c r="E1" s="559"/>
      <c r="F1" s="559"/>
      <c r="G1" s="559"/>
      <c r="H1" s="560"/>
      <c r="J1" s="3" t="s">
        <v>40</v>
      </c>
    </row>
    <row r="2" spans="1:15">
      <c r="A2" s="561"/>
      <c r="B2" s="264"/>
      <c r="C2" s="264"/>
      <c r="D2" s="264"/>
      <c r="E2" s="264"/>
      <c r="F2" s="264"/>
      <c r="G2" s="265"/>
      <c r="H2" s="562"/>
      <c r="I2" s="6"/>
      <c r="J2" s="6" t="s">
        <v>384</v>
      </c>
    </row>
    <row r="3" spans="1:15" ht="15.6">
      <c r="A3" s="563" t="s">
        <v>336</v>
      </c>
      <c r="B3" s="264"/>
      <c r="C3" s="264"/>
      <c r="D3" s="331" t="s">
        <v>134</v>
      </c>
      <c r="E3" s="331" t="s">
        <v>135</v>
      </c>
      <c r="F3" s="331" t="s">
        <v>136</v>
      </c>
      <c r="G3" s="289" t="s">
        <v>104</v>
      </c>
      <c r="H3" s="564" t="s">
        <v>62</v>
      </c>
      <c r="I3" s="6"/>
      <c r="J3" s="6" t="s">
        <v>44</v>
      </c>
    </row>
    <row r="4" spans="1:15" ht="15.6">
      <c r="A4" s="966">
        <f>Summary!A6</f>
        <v>0</v>
      </c>
      <c r="B4" s="967"/>
      <c r="C4" s="264"/>
      <c r="D4" s="74">
        <f>H89</f>
        <v>0</v>
      </c>
      <c r="E4" s="154">
        <f>H192</f>
        <v>0</v>
      </c>
      <c r="F4" s="129">
        <f>H229</f>
        <v>0</v>
      </c>
      <c r="G4" s="138">
        <f>H243</f>
        <v>0</v>
      </c>
      <c r="H4" s="565">
        <f>H245</f>
        <v>0</v>
      </c>
      <c r="I4" s="6"/>
      <c r="J4" s="6" t="s">
        <v>15</v>
      </c>
    </row>
    <row r="5" spans="1:15">
      <c r="A5" s="561"/>
      <c r="B5" s="264"/>
      <c r="C5" s="264"/>
      <c r="D5" s="264"/>
      <c r="E5" s="264"/>
      <c r="F5" s="264"/>
      <c r="G5" s="265"/>
      <c r="H5" s="562"/>
      <c r="I5" s="6"/>
      <c r="J5" s="6" t="s">
        <v>16</v>
      </c>
    </row>
    <row r="6" spans="1:15" s="4" customFormat="1" ht="15.6">
      <c r="A6" s="563" t="s">
        <v>90</v>
      </c>
      <c r="B6" s="296"/>
      <c r="C6" s="296"/>
      <c r="D6" s="297" t="s">
        <v>35</v>
      </c>
      <c r="E6" s="264"/>
      <c r="F6" s="264"/>
      <c r="G6" s="265"/>
      <c r="H6" s="562"/>
      <c r="I6" s="6"/>
      <c r="J6" s="6" t="s">
        <v>383</v>
      </c>
      <c r="K6" s="3"/>
      <c r="L6" s="3"/>
      <c r="M6" s="3"/>
    </row>
    <row r="7" spans="1:15" ht="15.75" customHeight="1">
      <c r="A7" s="976" t="s">
        <v>384</v>
      </c>
      <c r="B7" s="977"/>
      <c r="D7" s="761">
        <f>Summary!A79</f>
        <v>0</v>
      </c>
      <c r="E7" s="779"/>
      <c r="F7" s="779"/>
      <c r="G7" s="780"/>
      <c r="H7" s="566"/>
      <c r="I7" s="29"/>
      <c r="J7" s="29" t="s">
        <v>382</v>
      </c>
    </row>
    <row r="8" spans="1:15" ht="15.6" thickBot="1">
      <c r="A8" s="561"/>
      <c r="B8" s="298"/>
      <c r="C8" s="264"/>
      <c r="D8" s="264"/>
      <c r="E8" s="264"/>
      <c r="F8" s="264"/>
      <c r="G8" s="265"/>
      <c r="H8" s="562"/>
    </row>
    <row r="9" spans="1:15" ht="16.2" thickBot="1">
      <c r="A9" s="567" t="s">
        <v>125</v>
      </c>
      <c r="B9" s="140"/>
      <c r="C9" s="140"/>
      <c r="D9" s="140"/>
      <c r="E9" s="140"/>
      <c r="F9" s="141"/>
      <c r="G9" s="16"/>
      <c r="H9" s="568"/>
    </row>
    <row r="10" spans="1:15">
      <c r="A10" s="561"/>
      <c r="B10" s="299"/>
      <c r="C10" s="264"/>
      <c r="D10" s="264"/>
      <c r="E10" s="264"/>
      <c r="F10" s="264"/>
      <c r="G10" s="265"/>
      <c r="H10" s="562"/>
    </row>
    <row r="11" spans="1:15" ht="15.75" customHeight="1">
      <c r="A11" s="905" t="s">
        <v>0</v>
      </c>
      <c r="B11" s="906"/>
      <c r="C11" s="144"/>
      <c r="D11" s="883" t="s">
        <v>4</v>
      </c>
      <c r="E11" s="882" t="s">
        <v>80</v>
      </c>
      <c r="F11" s="882" t="s">
        <v>21</v>
      </c>
      <c r="G11" s="300"/>
      <c r="H11" s="569"/>
    </row>
    <row r="12" spans="1:15" ht="15.75" customHeight="1">
      <c r="A12" s="907"/>
      <c r="B12" s="908"/>
      <c r="C12" s="145"/>
      <c r="D12" s="884"/>
      <c r="E12" s="882"/>
      <c r="F12" s="882"/>
      <c r="G12" s="300"/>
      <c r="H12" s="569"/>
    </row>
    <row r="13" spans="1:15" s="29" customFormat="1" ht="15.6">
      <c r="A13" s="570" t="s">
        <v>127</v>
      </c>
      <c r="B13" s="167"/>
      <c r="C13" s="167"/>
      <c r="D13" s="167"/>
      <c r="E13" s="170"/>
      <c r="F13" s="170"/>
      <c r="G13" s="301"/>
      <c r="H13" s="571"/>
      <c r="N13" s="44"/>
      <c r="O13" s="44"/>
    </row>
    <row r="14" spans="1:15">
      <c r="A14" s="572">
        <v>1</v>
      </c>
      <c r="B14" s="826" t="s">
        <v>268</v>
      </c>
      <c r="C14" s="827"/>
      <c r="D14" s="511" t="s">
        <v>2</v>
      </c>
      <c r="E14" s="512" t="s">
        <v>49</v>
      </c>
      <c r="F14" s="30"/>
      <c r="G14" s="573" t="str">
        <f>IF(F14&lt;65%,"To comply with min. 65%"," ")</f>
        <v>To comply with min. 65%</v>
      </c>
      <c r="H14" s="574"/>
    </row>
    <row r="15" spans="1:15">
      <c r="A15" s="575">
        <v>2</v>
      </c>
      <c r="B15" s="826" t="s">
        <v>590</v>
      </c>
      <c r="C15" s="827"/>
      <c r="D15" s="513" t="s">
        <v>50</v>
      </c>
      <c r="E15" s="514" t="s">
        <v>49</v>
      </c>
      <c r="F15" s="553"/>
      <c r="G15" s="573" t="str">
        <f>IF(F15&lt;80%,"To comply with min. 80%"," ")</f>
        <v>To comply with min. 80%</v>
      </c>
      <c r="H15" s="562"/>
    </row>
    <row r="16" spans="1:15" ht="15" customHeight="1">
      <c r="A16" s="572">
        <v>3</v>
      </c>
      <c r="B16" s="826" t="s">
        <v>589</v>
      </c>
      <c r="C16" s="827"/>
      <c r="D16" s="513" t="s">
        <v>50</v>
      </c>
      <c r="E16" s="514" t="s">
        <v>49</v>
      </c>
      <c r="F16" s="553"/>
      <c r="G16" s="573" t="str">
        <f>IF(F16&lt;80%,"To comply with min. 80%"," ")</f>
        <v>To comply with min. 80%</v>
      </c>
      <c r="H16" s="569"/>
    </row>
    <row r="17" spans="1:18">
      <c r="A17" s="572">
        <v>4</v>
      </c>
      <c r="B17" s="826" t="s">
        <v>591</v>
      </c>
      <c r="C17" s="827"/>
      <c r="D17" s="515" t="s">
        <v>3</v>
      </c>
      <c r="E17" s="514" t="s">
        <v>49</v>
      </c>
      <c r="F17" s="553"/>
      <c r="G17" s="573" t="str">
        <f>IF(F17&lt;65%,"To comply with min. 65%"," ")</f>
        <v>To comply with min. 65%</v>
      </c>
      <c r="H17" s="569"/>
    </row>
    <row r="18" spans="1:18" s="29" customFormat="1" ht="15.6">
      <c r="A18" s="576" t="s">
        <v>126</v>
      </c>
      <c r="B18" s="167"/>
      <c r="C18" s="167"/>
      <c r="D18" s="167"/>
      <c r="E18" s="168"/>
      <c r="F18" s="169"/>
      <c r="G18" s="534"/>
      <c r="H18" s="571"/>
      <c r="J18" s="10"/>
      <c r="N18" s="44"/>
      <c r="O18" s="44"/>
    </row>
    <row r="19" spans="1:18" ht="32.25" customHeight="1">
      <c r="A19" s="577">
        <v>5</v>
      </c>
      <c r="B19" s="886" t="s">
        <v>269</v>
      </c>
      <c r="C19" s="887"/>
      <c r="D19" s="143" t="s">
        <v>3</v>
      </c>
      <c r="E19" s="537"/>
      <c r="F19" s="31">
        <f>IFERROR(E19/$F$120,0)</f>
        <v>0</v>
      </c>
      <c r="G19" s="573" t="str">
        <f>IF(OR($A$7=$J$2,$A$7=$J$3),IF(E19=0,"Please input wall length"," ")," ")</f>
        <v>Please input wall length</v>
      </c>
      <c r="H19" s="569"/>
    </row>
    <row r="20" spans="1:18">
      <c r="A20" s="577" t="s">
        <v>509</v>
      </c>
      <c r="B20" s="826" t="s">
        <v>270</v>
      </c>
      <c r="C20" s="827"/>
      <c r="D20" s="516" t="s">
        <v>50</v>
      </c>
      <c r="E20" s="514" t="s">
        <v>49</v>
      </c>
      <c r="F20" s="30"/>
      <c r="G20" s="573" t="str">
        <f>IF(OR($A$7=$J$2,$A$7=$J$3),IF(F20&lt;65%,"To comply with min. 65%"," ")," ")</f>
        <v>To comply with min. 65%</v>
      </c>
      <c r="H20" s="569"/>
    </row>
    <row r="21" spans="1:18">
      <c r="A21" s="577" t="s">
        <v>510</v>
      </c>
      <c r="B21" s="826" t="s">
        <v>592</v>
      </c>
      <c r="C21" s="827"/>
      <c r="D21" s="516" t="s">
        <v>50</v>
      </c>
      <c r="E21" s="514" t="s">
        <v>49</v>
      </c>
      <c r="F21" s="30"/>
      <c r="G21" s="573" t="str">
        <f>IF(OR($A$7=$J$2,$A$7=$J$3),IF(F21&lt;60%,"To comply with min. 60%"," ")," ")</f>
        <v>To comply with min. 60%</v>
      </c>
      <c r="H21" s="569"/>
    </row>
    <row r="22" spans="1:18">
      <c r="A22" s="577" t="s">
        <v>511</v>
      </c>
      <c r="B22" s="826" t="s">
        <v>593</v>
      </c>
      <c r="C22" s="827"/>
      <c r="D22" s="516" t="s">
        <v>50</v>
      </c>
      <c r="E22" s="514" t="s">
        <v>49</v>
      </c>
      <c r="F22" s="30"/>
      <c r="G22" s="573" t="str">
        <f>IF(OR($A$7=$J$2,$A$7=$J$3),IF(F22&lt;65%,"To comply with min. 65%"," ")," ")</f>
        <v>To comply with min. 65%</v>
      </c>
      <c r="H22" s="569"/>
    </row>
    <row r="23" spans="1:18">
      <c r="A23" s="577" t="s">
        <v>512</v>
      </c>
      <c r="B23" s="826" t="s">
        <v>594</v>
      </c>
      <c r="C23" s="827"/>
      <c r="D23" s="516" t="s">
        <v>50</v>
      </c>
      <c r="E23" s="514" t="s">
        <v>49</v>
      </c>
      <c r="F23" s="30"/>
      <c r="G23" s="573" t="str">
        <f>IF(OR($A$7=$J$2,$A$7=$J$3),IF(F23&lt;60%,"To comply with min. 60%"," ")," ")</f>
        <v>To comply with min. 60%</v>
      </c>
      <c r="H23" s="569"/>
    </row>
    <row r="24" spans="1:18">
      <c r="A24" s="577" t="s">
        <v>283</v>
      </c>
      <c r="B24" s="826" t="s">
        <v>595</v>
      </c>
      <c r="C24" s="827"/>
      <c r="D24" s="513" t="s">
        <v>50</v>
      </c>
      <c r="E24" s="514" t="s">
        <v>49</v>
      </c>
      <c r="F24" s="553"/>
      <c r="G24" s="573" t="str">
        <f>IF(OR($A$7=$J$2,$A$7=$J$3),IF(F24&lt;65%,"To comply with min. 65%"," ")," ")</f>
        <v>To comply with min. 65%</v>
      </c>
      <c r="H24" s="569"/>
    </row>
    <row r="25" spans="1:18">
      <c r="A25" s="577" t="s">
        <v>513</v>
      </c>
      <c r="B25" s="826" t="s">
        <v>596</v>
      </c>
      <c r="C25" s="827"/>
      <c r="D25" s="513" t="s">
        <v>50</v>
      </c>
      <c r="E25" s="514" t="s">
        <v>49</v>
      </c>
      <c r="F25" s="553"/>
      <c r="G25" s="573" t="str">
        <f>IF(OR($A$7=$J$2,$A$7=$J$3),IF(F25&lt;80%,"To comply with min. 80%"," ")," ")</f>
        <v>To comply with min. 80%</v>
      </c>
      <c r="H25" s="569"/>
    </row>
    <row r="26" spans="1:18">
      <c r="A26" s="561"/>
      <c r="B26" s="264"/>
      <c r="C26" s="264"/>
      <c r="D26" s="264"/>
      <c r="E26" s="264"/>
      <c r="F26" s="264"/>
      <c r="G26" s="265"/>
      <c r="H26" s="562"/>
      <c r="J26" s="6"/>
    </row>
    <row r="27" spans="1:18" ht="15.6">
      <c r="A27" s="578" t="s">
        <v>43</v>
      </c>
      <c r="B27" s="157"/>
      <c r="C27" s="157"/>
      <c r="D27" s="157"/>
      <c r="E27" s="157"/>
      <c r="F27" s="158" t="s">
        <v>42</v>
      </c>
      <c r="G27" s="159">
        <f>VLOOKUP($A$7,'Manpower allocation'!A4:D11,2,FALSE)*100</f>
        <v>45</v>
      </c>
      <c r="H27" s="579" t="s">
        <v>41</v>
      </c>
      <c r="I27" s="365">
        <f>VLOOKUP($A$7,'Manpower allocation'!A4:D11,2,FALSE)*100</f>
        <v>45</v>
      </c>
      <c r="J27" s="6"/>
    </row>
    <row r="28" spans="1:18" ht="15.6">
      <c r="A28" s="561"/>
      <c r="B28" s="302"/>
      <c r="C28" s="303"/>
      <c r="D28" s="264"/>
      <c r="E28" s="264"/>
      <c r="F28" s="264"/>
      <c r="G28" s="265"/>
      <c r="H28" s="562"/>
      <c r="J28" s="6"/>
    </row>
    <row r="29" spans="1:18" s="29" customFormat="1" ht="46.8">
      <c r="A29" s="580" t="s">
        <v>0</v>
      </c>
      <c r="B29" s="40"/>
      <c r="C29" s="40"/>
      <c r="D29" s="41"/>
      <c r="E29" s="42" t="s">
        <v>17</v>
      </c>
      <c r="F29" s="42" t="s">
        <v>113</v>
      </c>
      <c r="G29" s="42" t="s">
        <v>18</v>
      </c>
      <c r="H29" s="42" t="s">
        <v>52</v>
      </c>
      <c r="J29" s="43"/>
      <c r="Q29" s="44"/>
      <c r="R29" s="44"/>
    </row>
    <row r="30" spans="1:18" s="29" customFormat="1" ht="15.6">
      <c r="A30" s="581" t="s">
        <v>187</v>
      </c>
      <c r="B30" s="45" t="s">
        <v>203</v>
      </c>
      <c r="C30" s="46"/>
      <c r="D30" s="46"/>
      <c r="E30" s="47"/>
      <c r="F30" s="47"/>
      <c r="G30" s="47"/>
      <c r="H30" s="582"/>
      <c r="Q30" s="44"/>
      <c r="R30" s="44"/>
    </row>
    <row r="31" spans="1:18" s="29" customFormat="1" ht="15.6">
      <c r="A31" s="583">
        <v>1</v>
      </c>
      <c r="B31" s="39" t="s">
        <v>304</v>
      </c>
      <c r="C31" s="40"/>
      <c r="D31" s="48"/>
      <c r="E31" s="40"/>
      <c r="F31" s="49"/>
      <c r="G31" s="49"/>
      <c r="H31" s="584"/>
      <c r="Q31" s="44"/>
      <c r="R31" s="44"/>
    </row>
    <row r="32" spans="1:18" s="29" customFormat="1">
      <c r="A32" s="918">
        <v>1.1000000000000001</v>
      </c>
      <c r="B32" s="836" t="s">
        <v>271</v>
      </c>
      <c r="C32" s="885"/>
      <c r="D32" s="885"/>
      <c r="E32" s="811">
        <f>VLOOKUP(A32,'Point Allocation'!$A$5:$J$15,MATCH(A7,'Point Allocation'!$A$5:$J$5,0),0)</f>
        <v>45</v>
      </c>
      <c r="F32" s="812"/>
      <c r="G32" s="813">
        <f>IFERROR(F32/$F$59,0)</f>
        <v>0</v>
      </c>
      <c r="H32" s="811">
        <f>E32*G32</f>
        <v>0</v>
      </c>
      <c r="Q32" s="44"/>
      <c r="R32" s="44"/>
    </row>
    <row r="33" spans="1:18" s="29" customFormat="1" ht="15.6">
      <c r="A33" s="919"/>
      <c r="B33" s="810" t="s">
        <v>358</v>
      </c>
      <c r="C33" s="810"/>
      <c r="D33" s="810"/>
      <c r="E33" s="811"/>
      <c r="F33" s="812"/>
      <c r="G33" s="813">
        <f t="shared" ref="G33" si="0">IFERROR(F33/$F$59,0)</f>
        <v>0</v>
      </c>
      <c r="H33" s="811"/>
      <c r="Q33" s="44"/>
      <c r="R33" s="44"/>
    </row>
    <row r="34" spans="1:18" s="29" customFormat="1" ht="15.6">
      <c r="A34" s="583">
        <v>2</v>
      </c>
      <c r="B34" s="39" t="s">
        <v>305</v>
      </c>
      <c r="C34" s="50"/>
      <c r="D34" s="48"/>
      <c r="E34" s="51"/>
      <c r="F34" s="8"/>
      <c r="G34" s="22"/>
      <c r="H34" s="585"/>
      <c r="Q34" s="52"/>
      <c r="R34" s="44"/>
    </row>
    <row r="35" spans="1:18" s="29" customFormat="1">
      <c r="A35" s="586">
        <v>2.1</v>
      </c>
      <c r="B35" s="858" t="s">
        <v>192</v>
      </c>
      <c r="C35" s="859"/>
      <c r="D35" s="840"/>
      <c r="E35" s="20">
        <f>VLOOKUP(A35,'Point Allocation'!$A$5:$J$15,MATCH(A7,'Point Allocation'!$A$5:$J$5,0),0)</f>
        <v>42</v>
      </c>
      <c r="F35" s="537"/>
      <c r="G35" s="31">
        <f>IFERROR(F35/$F$59,0)</f>
        <v>0</v>
      </c>
      <c r="H35" s="20">
        <f>E35*G35</f>
        <v>0</v>
      </c>
      <c r="Q35" s="52"/>
      <c r="R35" s="44"/>
    </row>
    <row r="36" spans="1:18" s="29" customFormat="1" ht="15.6">
      <c r="A36" s="583">
        <v>3</v>
      </c>
      <c r="B36" s="39" t="s">
        <v>306</v>
      </c>
      <c r="C36" s="50"/>
      <c r="D36" s="48"/>
      <c r="E36" s="51"/>
      <c r="F36" s="8"/>
      <c r="G36" s="22"/>
      <c r="H36" s="585"/>
      <c r="Q36" s="52"/>
      <c r="R36" s="44"/>
    </row>
    <row r="37" spans="1:18" s="29" customFormat="1" ht="15" customHeight="1">
      <c r="A37" s="586">
        <v>3.1</v>
      </c>
      <c r="B37" s="858" t="s">
        <v>640</v>
      </c>
      <c r="C37" s="859"/>
      <c r="D37" s="840"/>
      <c r="E37" s="20">
        <f>VLOOKUP(A37,'Point Allocation'!$A$5:$J$15,MATCH(A7,'Point Allocation'!$A$5:$J$5,0),0)</f>
        <v>39</v>
      </c>
      <c r="F37" s="37"/>
      <c r="G37" s="31">
        <f>IFERROR(F37/$F$59,0)</f>
        <v>0</v>
      </c>
      <c r="H37" s="546">
        <f>E37*G37</f>
        <v>0</v>
      </c>
      <c r="Q37" s="52"/>
      <c r="R37" s="44"/>
    </row>
    <row r="38" spans="1:18" s="29" customFormat="1" ht="31.5" customHeight="1">
      <c r="A38" s="909">
        <v>3.2</v>
      </c>
      <c r="B38" s="863" t="s">
        <v>296</v>
      </c>
      <c r="C38" s="911"/>
      <c r="D38" s="864"/>
      <c r="E38" s="828">
        <f>VLOOKUP(A38,'Point Allocation'!$A$5:$J$15,MATCH(A7,'Point Allocation'!$A$5:$J$5,0),0)</f>
        <v>39</v>
      </c>
      <c r="F38" s="37"/>
      <c r="G38" s="31">
        <f>IFERROR(F38/$F$59,0)</f>
        <v>0</v>
      </c>
      <c r="H38" s="828">
        <f>IF(SUM(I40:I45)&gt;=4,E38*G38,0)</f>
        <v>0</v>
      </c>
      <c r="Q38" s="52"/>
      <c r="R38" s="44"/>
    </row>
    <row r="39" spans="1:18" s="29" customFormat="1" ht="46.95" customHeight="1">
      <c r="A39" s="910"/>
      <c r="B39" s="912"/>
      <c r="C39" s="913"/>
      <c r="D39" s="914"/>
      <c r="E39" s="829"/>
      <c r="F39" s="521" t="s">
        <v>601</v>
      </c>
      <c r="G39" s="53" t="s">
        <v>116</v>
      </c>
      <c r="H39" s="829"/>
      <c r="Q39" s="52"/>
      <c r="R39" s="44"/>
    </row>
    <row r="40" spans="1:18" s="29" customFormat="1" ht="112.2" customHeight="1">
      <c r="A40" s="587" t="s">
        <v>181</v>
      </c>
      <c r="B40" s="830" t="s">
        <v>323</v>
      </c>
      <c r="C40" s="831"/>
      <c r="D40" s="832"/>
      <c r="E40" s="900"/>
      <c r="F40" s="536" t="s">
        <v>609</v>
      </c>
      <c r="G40" s="552"/>
      <c r="H40" s="889"/>
      <c r="I40" s="54">
        <f t="shared" ref="I40:I45" si="1">IF(G40&gt;=65%,1,0)</f>
        <v>0</v>
      </c>
      <c r="Q40" s="52"/>
      <c r="R40" s="44"/>
    </row>
    <row r="41" spans="1:18" s="29" customFormat="1" ht="63" customHeight="1">
      <c r="A41" s="587" t="s">
        <v>182</v>
      </c>
      <c r="B41" s="833" t="s">
        <v>204</v>
      </c>
      <c r="C41" s="834"/>
      <c r="D41" s="835"/>
      <c r="E41" s="900"/>
      <c r="F41" s="483" t="s">
        <v>598</v>
      </c>
      <c r="G41" s="553"/>
      <c r="H41" s="889"/>
      <c r="I41" s="54">
        <f t="shared" si="1"/>
        <v>0</v>
      </c>
      <c r="Q41" s="52"/>
      <c r="R41" s="44"/>
    </row>
    <row r="42" spans="1:18" s="29" customFormat="1" ht="48.75" customHeight="1">
      <c r="A42" s="587" t="s">
        <v>190</v>
      </c>
      <c r="B42" s="833" t="s">
        <v>205</v>
      </c>
      <c r="C42" s="834"/>
      <c r="D42" s="835"/>
      <c r="E42" s="900"/>
      <c r="F42" s="483" t="s">
        <v>611</v>
      </c>
      <c r="G42" s="553"/>
      <c r="H42" s="889"/>
      <c r="I42" s="54">
        <f t="shared" si="1"/>
        <v>0</v>
      </c>
      <c r="Q42" s="52"/>
      <c r="R42" s="44"/>
    </row>
    <row r="43" spans="1:18" s="29" customFormat="1" ht="45">
      <c r="A43" s="587" t="s">
        <v>183</v>
      </c>
      <c r="B43" s="833" t="s">
        <v>206</v>
      </c>
      <c r="C43" s="834"/>
      <c r="D43" s="835"/>
      <c r="E43" s="900"/>
      <c r="F43" s="483" t="s">
        <v>597</v>
      </c>
      <c r="G43" s="553"/>
      <c r="H43" s="889"/>
      <c r="I43" s="54">
        <f t="shared" si="1"/>
        <v>0</v>
      </c>
      <c r="Q43" s="52"/>
      <c r="R43" s="44"/>
    </row>
    <row r="44" spans="1:18" s="29" customFormat="1" ht="63" customHeight="1">
      <c r="A44" s="587" t="s">
        <v>191</v>
      </c>
      <c r="B44" s="833" t="s">
        <v>207</v>
      </c>
      <c r="C44" s="834"/>
      <c r="D44" s="835"/>
      <c r="E44" s="900"/>
      <c r="F44" s="483" t="s">
        <v>599</v>
      </c>
      <c r="G44" s="553"/>
      <c r="H44" s="889"/>
      <c r="I44" s="54">
        <f t="shared" si="1"/>
        <v>0</v>
      </c>
      <c r="Q44" s="52"/>
      <c r="R44" s="44"/>
    </row>
    <row r="45" spans="1:18" s="29" customFormat="1" ht="31.5" customHeight="1">
      <c r="A45" s="587" t="s">
        <v>184</v>
      </c>
      <c r="B45" s="915" t="s">
        <v>610</v>
      </c>
      <c r="C45" s="916"/>
      <c r="D45" s="886"/>
      <c r="E45" s="901"/>
      <c r="F45" s="483" t="s">
        <v>600</v>
      </c>
      <c r="G45" s="553"/>
      <c r="H45" s="829"/>
      <c r="I45" s="54">
        <f t="shared" si="1"/>
        <v>0</v>
      </c>
      <c r="Q45" s="52"/>
      <c r="R45" s="44"/>
    </row>
    <row r="46" spans="1:18" s="29" customFormat="1" ht="15.6">
      <c r="A46" s="583" t="s">
        <v>185</v>
      </c>
      <c r="B46" s="39" t="s">
        <v>307</v>
      </c>
      <c r="C46" s="55"/>
      <c r="D46" s="48"/>
      <c r="E46" s="51"/>
      <c r="F46" s="36"/>
      <c r="G46" s="23"/>
      <c r="H46" s="588"/>
      <c r="Q46" s="52"/>
      <c r="R46" s="44"/>
    </row>
    <row r="47" spans="1:18" s="29" customFormat="1" ht="31.5" customHeight="1">
      <c r="A47" s="543">
        <v>4.0999999999999996</v>
      </c>
      <c r="B47" s="858" t="s">
        <v>602</v>
      </c>
      <c r="C47" s="859"/>
      <c r="D47" s="840"/>
      <c r="E47" s="20">
        <f>VLOOKUP(A47,'Point Allocation'!$A$5:$J$15,MATCH(A7,'Point Allocation'!$A$5:$J$5,0),0)</f>
        <v>35</v>
      </c>
      <c r="F47" s="537"/>
      <c r="G47" s="31">
        <f>IFERROR(F47/$F$59,0)</f>
        <v>0</v>
      </c>
      <c r="H47" s="20">
        <f>E47*G47</f>
        <v>0</v>
      </c>
      <c r="Q47" s="52"/>
      <c r="R47" s="44"/>
    </row>
    <row r="48" spans="1:18" s="29" customFormat="1">
      <c r="A48" s="589">
        <v>4.2</v>
      </c>
      <c r="B48" s="825" t="s">
        <v>313</v>
      </c>
      <c r="C48" s="826"/>
      <c r="D48" s="827"/>
      <c r="E48" s="20">
        <f>VLOOKUP(A48,'Point Allocation'!$A$5:$J$15,MATCH(A7,'Point Allocation'!$A$5:$J$5,0),0)</f>
        <v>35</v>
      </c>
      <c r="F48" s="537"/>
      <c r="G48" s="31">
        <f>IFERROR(F48/$F$59,0)</f>
        <v>0</v>
      </c>
      <c r="H48" s="20">
        <f>E48*G48</f>
        <v>0</v>
      </c>
      <c r="Q48" s="52"/>
      <c r="R48" s="44"/>
    </row>
    <row r="49" spans="1:18" s="29" customFormat="1">
      <c r="A49" s="589">
        <v>4.3</v>
      </c>
      <c r="B49" s="902" t="s">
        <v>311</v>
      </c>
      <c r="C49" s="903"/>
      <c r="D49" s="904"/>
      <c r="E49" s="20">
        <f>VLOOKUP(A49,'Point Allocation'!$A$5:$J$15,MATCH(A7,'Point Allocation'!$A$5:$J$5,0),0)</f>
        <v>28</v>
      </c>
      <c r="F49" s="537"/>
      <c r="G49" s="31">
        <f>IFERROR(F49/$F$59,0)</f>
        <v>0</v>
      </c>
      <c r="H49" s="20">
        <f>E49*G49</f>
        <v>0</v>
      </c>
      <c r="Q49" s="52"/>
      <c r="R49" s="44"/>
    </row>
    <row r="50" spans="1:18" s="29" customFormat="1">
      <c r="A50" s="543">
        <v>4.4000000000000004</v>
      </c>
      <c r="B50" s="858" t="s">
        <v>312</v>
      </c>
      <c r="C50" s="859"/>
      <c r="D50" s="840"/>
      <c r="E50" s="20">
        <f>VLOOKUP(A50,'Point Allocation'!$A$5:$J$15,MATCH(A7,'Point Allocation'!$A$5:$J$5,0),0)</f>
        <v>28</v>
      </c>
      <c r="F50" s="537"/>
      <c r="G50" s="31">
        <f>IFERROR(F50/$F$59,0)</f>
        <v>0</v>
      </c>
      <c r="H50" s="20">
        <f>E50*G50</f>
        <v>0</v>
      </c>
      <c r="Q50" s="52"/>
      <c r="R50" s="44"/>
    </row>
    <row r="51" spans="1:18" s="58" customFormat="1" ht="15.6">
      <c r="A51" s="581" t="s">
        <v>186</v>
      </c>
      <c r="B51" s="45" t="s">
        <v>200</v>
      </c>
      <c r="C51" s="56"/>
      <c r="D51" s="57"/>
      <c r="E51" s="7"/>
      <c r="F51" s="7"/>
      <c r="G51" s="24"/>
      <c r="H51" s="590"/>
      <c r="I51" s="29"/>
      <c r="J51" s="29"/>
      <c r="K51" s="29"/>
      <c r="L51" s="29"/>
      <c r="M51" s="29"/>
      <c r="Q51" s="59"/>
    </row>
    <row r="52" spans="1:18" s="58" customFormat="1" ht="15.6">
      <c r="A52" s="39">
        <v>5</v>
      </c>
      <c r="B52" s="39" t="s">
        <v>201</v>
      </c>
      <c r="C52" s="48"/>
      <c r="D52" s="48"/>
      <c r="E52" s="8"/>
      <c r="F52" s="8"/>
      <c r="G52" s="22"/>
      <c r="H52" s="588"/>
      <c r="I52" s="29"/>
      <c r="J52" s="29"/>
      <c r="K52" s="29"/>
      <c r="L52" s="29"/>
      <c r="M52" s="29"/>
      <c r="Q52" s="59"/>
    </row>
    <row r="53" spans="1:18" s="29" customFormat="1">
      <c r="A53" s="541">
        <v>5.0999999999999996</v>
      </c>
      <c r="B53" s="822" t="s">
        <v>193</v>
      </c>
      <c r="C53" s="823"/>
      <c r="D53" s="824"/>
      <c r="E53" s="20">
        <f>VLOOKUP(A53,'Point Allocation'!$A$5:$J$15,MATCH(A7,'Point Allocation'!$A$5:$J$5,0),0)</f>
        <v>22</v>
      </c>
      <c r="F53" s="537"/>
      <c r="G53" s="31">
        <f>IFERROR(F53/$F$59,0)</f>
        <v>0</v>
      </c>
      <c r="H53" s="20">
        <f>E53*G53</f>
        <v>0</v>
      </c>
      <c r="Q53" s="52"/>
      <c r="R53" s="44"/>
    </row>
    <row r="54" spans="1:18" s="29" customFormat="1">
      <c r="A54" s="541">
        <v>5.2</v>
      </c>
      <c r="B54" s="822" t="s">
        <v>142</v>
      </c>
      <c r="C54" s="823"/>
      <c r="D54" s="824"/>
      <c r="E54" s="20">
        <f>VLOOKUP(A54,'Point Allocation'!$A$5:$J$15,MATCH(A7,'Point Allocation'!$A$5:$J$5,0),0)</f>
        <v>10</v>
      </c>
      <c r="F54" s="537"/>
      <c r="G54" s="31">
        <f>IFERROR(F54/$F$59,0)</f>
        <v>0</v>
      </c>
      <c r="H54" s="20">
        <f>E54*G54</f>
        <v>0</v>
      </c>
      <c r="Q54" s="52"/>
      <c r="R54" s="44"/>
    </row>
    <row r="55" spans="1:18" s="29" customFormat="1" ht="15.6">
      <c r="A55" s="60">
        <v>6</v>
      </c>
      <c r="B55" s="60" t="s">
        <v>202</v>
      </c>
      <c r="C55" s="48"/>
      <c r="D55" s="48"/>
      <c r="E55" s="8"/>
      <c r="F55" s="8"/>
      <c r="G55" s="22"/>
      <c r="H55" s="588"/>
      <c r="Q55" s="52"/>
      <c r="R55" s="44"/>
    </row>
    <row r="56" spans="1:18" s="29" customFormat="1">
      <c r="A56" s="591">
        <v>6.1</v>
      </c>
      <c r="B56" s="762"/>
      <c r="C56" s="763"/>
      <c r="D56" s="803"/>
      <c r="E56" s="537"/>
      <c r="F56" s="537"/>
      <c r="G56" s="31">
        <f>IFERROR(F56/$F$59,0)</f>
        <v>0</v>
      </c>
      <c r="H56" s="20">
        <f>E56*G56</f>
        <v>0</v>
      </c>
      <c r="Q56" s="52"/>
      <c r="R56" s="44"/>
    </row>
    <row r="57" spans="1:18" s="29" customFormat="1">
      <c r="A57" s="591">
        <v>6.2</v>
      </c>
      <c r="B57" s="762"/>
      <c r="C57" s="763"/>
      <c r="D57" s="803"/>
      <c r="E57" s="537"/>
      <c r="F57" s="537"/>
      <c r="G57" s="31">
        <f>IFERROR(F57/$F$59,0)</f>
        <v>0</v>
      </c>
      <c r="H57" s="20">
        <f>E57*G57</f>
        <v>0</v>
      </c>
      <c r="Q57" s="52"/>
      <c r="R57" s="44"/>
    </row>
    <row r="58" spans="1:18" s="29" customFormat="1">
      <c r="A58" s="591">
        <v>6.3</v>
      </c>
      <c r="B58" s="762"/>
      <c r="C58" s="763"/>
      <c r="D58" s="803"/>
      <c r="E58" s="537"/>
      <c r="F58" s="537"/>
      <c r="G58" s="31">
        <f>IFERROR(F58/$F$59,0)</f>
        <v>0</v>
      </c>
      <c r="H58" s="20">
        <f>E58*G58</f>
        <v>0</v>
      </c>
      <c r="Q58" s="52"/>
      <c r="R58" s="44"/>
    </row>
    <row r="59" spans="1:18" s="29" customFormat="1" ht="15.6">
      <c r="A59" s="592"/>
      <c r="B59" s="304"/>
      <c r="C59" s="305"/>
      <c r="D59" s="305"/>
      <c r="E59" s="306" t="s">
        <v>60</v>
      </c>
      <c r="F59" s="26">
        <f>SUM(F32,F35,F37,F38,F47,F48,F49,F50,F53,F54,F56,F57,F58)</f>
        <v>0</v>
      </c>
      <c r="G59" s="25">
        <f>SUM(G32,G35:G35,G37:G38,G47:G50,G53:G54,G56:G58)</f>
        <v>0</v>
      </c>
      <c r="H59" s="593">
        <f>IFERROR(SUM(H32:H58),0)</f>
        <v>0</v>
      </c>
      <c r="M59" s="61"/>
      <c r="Q59" s="52"/>
      <c r="R59" s="44"/>
    </row>
    <row r="60" spans="1:18" s="29" customFormat="1" ht="15.6" thickBot="1">
      <c r="A60" s="594"/>
      <c r="B60" s="361"/>
      <c r="C60" s="362"/>
      <c r="D60" s="362"/>
      <c r="E60" s="362"/>
      <c r="F60" s="362"/>
      <c r="G60" s="354"/>
      <c r="H60" s="595"/>
      <c r="Q60" s="52"/>
      <c r="R60" s="44"/>
    </row>
    <row r="61" spans="1:18" s="29" customFormat="1" ht="15.6">
      <c r="A61" s="896" t="s">
        <v>0</v>
      </c>
      <c r="B61" s="897"/>
      <c r="C61" s="461"/>
      <c r="D61" s="892" t="s">
        <v>4</v>
      </c>
      <c r="E61" s="894" t="s">
        <v>1</v>
      </c>
      <c r="F61" s="895"/>
      <c r="G61" s="890" t="s">
        <v>21</v>
      </c>
      <c r="H61" s="892" t="s">
        <v>62</v>
      </c>
      <c r="Q61" s="52"/>
      <c r="R61" s="44"/>
    </row>
    <row r="62" spans="1:18" s="29" customFormat="1" ht="31.2">
      <c r="A62" s="898"/>
      <c r="B62" s="899"/>
      <c r="C62" s="62"/>
      <c r="D62" s="893"/>
      <c r="E62" s="42" t="s">
        <v>117</v>
      </c>
      <c r="F62" s="42" t="s">
        <v>118</v>
      </c>
      <c r="G62" s="891"/>
      <c r="H62" s="893"/>
      <c r="I62" s="63"/>
      <c r="Q62" s="52"/>
      <c r="R62" s="44"/>
    </row>
    <row r="63" spans="1:18" s="29" customFormat="1" ht="15.6">
      <c r="A63" s="45" t="s">
        <v>208</v>
      </c>
      <c r="B63" s="45" t="s">
        <v>139</v>
      </c>
      <c r="C63" s="57"/>
      <c r="D63" s="64"/>
      <c r="E63" s="47"/>
      <c r="F63" s="47"/>
      <c r="G63" s="47"/>
      <c r="H63" s="596"/>
      <c r="I63" s="61"/>
      <c r="J63" s="61"/>
      <c r="K63" s="61"/>
      <c r="L63" s="61"/>
      <c r="Q63" s="52"/>
      <c r="R63" s="44"/>
    </row>
    <row r="64" spans="1:18" s="29" customFormat="1" ht="15" customHeight="1">
      <c r="A64" s="597" t="s">
        <v>314</v>
      </c>
      <c r="B64" s="837" t="s">
        <v>647</v>
      </c>
      <c r="C64" s="838"/>
      <c r="D64" s="5" t="s">
        <v>50</v>
      </c>
      <c r="E64" s="9">
        <v>3</v>
      </c>
      <c r="F64" s="9">
        <v>4</v>
      </c>
      <c r="G64" s="30"/>
      <c r="H64" s="20">
        <f>IF(G64&gt;=80%,F64,IF(G64&lt;65%,0,E64))</f>
        <v>0</v>
      </c>
      <c r="Q64" s="52"/>
      <c r="R64" s="44"/>
    </row>
    <row r="65" spans="1:18" s="29" customFormat="1">
      <c r="A65" s="597" t="s">
        <v>315</v>
      </c>
      <c r="B65" s="837" t="s">
        <v>646</v>
      </c>
      <c r="C65" s="838"/>
      <c r="D65" s="5" t="s">
        <v>50</v>
      </c>
      <c r="E65" s="9">
        <v>3</v>
      </c>
      <c r="F65" s="9">
        <v>4</v>
      </c>
      <c r="G65" s="30"/>
      <c r="H65" s="20">
        <f>IF(G65&gt;=80%,F65,IF(G65&lt;65%,0,E65))</f>
        <v>0</v>
      </c>
      <c r="Q65" s="52"/>
      <c r="R65" s="44"/>
    </row>
    <row r="66" spans="1:18" s="29" customFormat="1">
      <c r="A66" s="598" t="s">
        <v>316</v>
      </c>
      <c r="B66" s="837" t="s">
        <v>641</v>
      </c>
      <c r="C66" s="838"/>
      <c r="D66" s="5" t="s">
        <v>50</v>
      </c>
      <c r="E66" s="9">
        <v>3</v>
      </c>
      <c r="F66" s="9">
        <v>4</v>
      </c>
      <c r="G66" s="30"/>
      <c r="H66" s="20">
        <f>IF(G66&gt;=80%,F66,IF(G66&lt;65%,0,E66))</f>
        <v>0</v>
      </c>
      <c r="Q66" s="52"/>
      <c r="R66" s="44"/>
    </row>
    <row r="67" spans="1:18" s="29" customFormat="1" ht="51" customHeight="1">
      <c r="A67" s="597">
        <v>7.2</v>
      </c>
      <c r="B67" s="841" t="s">
        <v>319</v>
      </c>
      <c r="C67" s="841"/>
      <c r="D67" s="385" t="s">
        <v>50</v>
      </c>
      <c r="E67" s="546">
        <v>2</v>
      </c>
      <c r="F67" s="546">
        <v>2.5</v>
      </c>
      <c r="G67" s="518"/>
      <c r="H67" s="546">
        <f>IF(H38&gt;0,0,IF(G67&gt;=80%,F67,IF(G67&lt;65%,0,E67)))</f>
        <v>0</v>
      </c>
      <c r="I67" s="11"/>
      <c r="J67" s="11"/>
      <c r="K67" s="11"/>
      <c r="Q67" s="52"/>
      <c r="R67" s="44"/>
    </row>
    <row r="68" spans="1:18" s="29" customFormat="1" ht="15" customHeight="1">
      <c r="A68" s="597">
        <v>7.3</v>
      </c>
      <c r="B68" s="858" t="s">
        <v>215</v>
      </c>
      <c r="C68" s="859"/>
      <c r="D68" s="353"/>
      <c r="E68" s="353"/>
      <c r="F68" s="353"/>
      <c r="G68" s="519"/>
      <c r="H68" s="599"/>
      <c r="I68" s="11"/>
      <c r="J68" s="11"/>
      <c r="K68" s="11"/>
      <c r="Q68" s="52"/>
      <c r="R68" s="44"/>
    </row>
    <row r="69" spans="1:18" s="29" customFormat="1" ht="32.25" customHeight="1">
      <c r="A69" s="598" t="s">
        <v>209</v>
      </c>
      <c r="B69" s="839" t="s">
        <v>216</v>
      </c>
      <c r="C69" s="840"/>
      <c r="D69" s="980" t="s">
        <v>50</v>
      </c>
      <c r="E69" s="279">
        <v>1</v>
      </c>
      <c r="F69" s="279">
        <v>1.5</v>
      </c>
      <c r="G69" s="553"/>
      <c r="H69" s="279">
        <f>IF(H32+H38&gt;0,0.5,IF(G69&gt;=80%,F69,IF(G69&lt;65%,0,E69)))</f>
        <v>0</v>
      </c>
      <c r="J69" s="11"/>
      <c r="K69" s="11"/>
      <c r="Q69" s="52"/>
      <c r="R69" s="44"/>
    </row>
    <row r="70" spans="1:18" s="29" customFormat="1" ht="47.25" customHeight="1">
      <c r="A70" s="598" t="s">
        <v>210</v>
      </c>
      <c r="B70" s="839" t="s">
        <v>217</v>
      </c>
      <c r="C70" s="840"/>
      <c r="D70" s="981"/>
      <c r="E70" s="279">
        <v>1</v>
      </c>
      <c r="F70" s="279">
        <v>1.5</v>
      </c>
      <c r="G70" s="553"/>
      <c r="H70" s="279">
        <f>IF(H32+H38&gt;0,0.5,IF(G70&gt;=80%,F70,IF(G70&lt;65%,0,E70)))</f>
        <v>0</v>
      </c>
      <c r="Q70" s="52"/>
      <c r="R70" s="44"/>
    </row>
    <row r="71" spans="1:18" s="29" customFormat="1">
      <c r="A71" s="598" t="s">
        <v>222</v>
      </c>
      <c r="B71" s="839" t="s">
        <v>218</v>
      </c>
      <c r="C71" s="840"/>
      <c r="D71" s="981"/>
      <c r="E71" s="279">
        <v>1</v>
      </c>
      <c r="F71" s="279">
        <v>1.5</v>
      </c>
      <c r="G71" s="553"/>
      <c r="H71" s="279">
        <f>IF(H32+H38&gt;0,0.5,IF(G71&gt;=80%,F71,IF(G71&lt;65%,0,E71)))</f>
        <v>0</v>
      </c>
      <c r="Q71" s="52"/>
      <c r="R71" s="44"/>
    </row>
    <row r="72" spans="1:18" s="29" customFormat="1" ht="46.5" customHeight="1">
      <c r="A72" s="598" t="s">
        <v>211</v>
      </c>
      <c r="B72" s="839" t="s">
        <v>219</v>
      </c>
      <c r="C72" s="840"/>
      <c r="D72" s="982"/>
      <c r="E72" s="279">
        <v>1</v>
      </c>
      <c r="F72" s="279">
        <v>1.5</v>
      </c>
      <c r="G72" s="553"/>
      <c r="H72" s="279">
        <f>IF(H32+H38&gt;0,0.5,IF(G72&gt;=80%,F72,IF(G72&lt;65%,0,E72)))</f>
        <v>0</v>
      </c>
      <c r="Q72" s="52"/>
      <c r="R72" s="44"/>
    </row>
    <row r="73" spans="1:18" s="29" customFormat="1">
      <c r="A73" s="597">
        <v>7.4</v>
      </c>
      <c r="B73" s="923" t="s">
        <v>393</v>
      </c>
      <c r="C73" s="923"/>
      <c r="D73" s="332" t="s">
        <v>2</v>
      </c>
      <c r="E73" s="279">
        <v>1</v>
      </c>
      <c r="F73" s="279">
        <v>1.5</v>
      </c>
      <c r="G73" s="553"/>
      <c r="H73" s="279">
        <f>IF(G73&gt;=80%,F73,IF(G73&lt;65%,0,E73))</f>
        <v>0</v>
      </c>
      <c r="Q73" s="52"/>
      <c r="R73" s="44"/>
    </row>
    <row r="74" spans="1:18" s="29" customFormat="1" ht="15" customHeight="1">
      <c r="A74" s="600">
        <v>7.5</v>
      </c>
      <c r="B74" s="928" t="s">
        <v>380</v>
      </c>
      <c r="C74" s="928"/>
      <c r="D74" s="490" t="s">
        <v>377</v>
      </c>
      <c r="E74" s="979">
        <v>2</v>
      </c>
      <c r="F74" s="979"/>
      <c r="G74" s="552"/>
      <c r="H74" s="557">
        <f>IF(G74&gt;=5%,E74,0)</f>
        <v>0</v>
      </c>
      <c r="Q74" s="52"/>
      <c r="R74" s="44"/>
    </row>
    <row r="75" spans="1:18" s="29" customFormat="1" ht="15.6">
      <c r="A75" s="66" t="s">
        <v>212</v>
      </c>
      <c r="B75" s="66" t="s">
        <v>517</v>
      </c>
      <c r="C75" s="67"/>
      <c r="D75" s="68"/>
      <c r="E75" s="69"/>
      <c r="F75" s="69"/>
      <c r="G75" s="69"/>
      <c r="H75" s="601"/>
      <c r="Q75" s="52"/>
      <c r="R75" s="44"/>
    </row>
    <row r="76" spans="1:18" s="29" customFormat="1">
      <c r="A76" s="597">
        <v>8.1</v>
      </c>
      <c r="B76" s="836" t="s">
        <v>220</v>
      </c>
      <c r="C76" s="836"/>
      <c r="D76" s="5" t="s">
        <v>50</v>
      </c>
      <c r="E76" s="20">
        <v>2</v>
      </c>
      <c r="F76" s="20">
        <v>2.5</v>
      </c>
      <c r="G76" s="553"/>
      <c r="H76" s="20">
        <f>IF(G76&gt;=80%,F76,IF(G76&lt;65%,0,E76))</f>
        <v>0</v>
      </c>
      <c r="I76" s="70"/>
      <c r="Q76" s="52"/>
      <c r="R76" s="44"/>
    </row>
    <row r="77" spans="1:18" s="29" customFormat="1">
      <c r="A77" s="597">
        <v>8.1999999999999993</v>
      </c>
      <c r="B77" s="836" t="s">
        <v>221</v>
      </c>
      <c r="C77" s="836"/>
      <c r="D77" s="5" t="s">
        <v>50</v>
      </c>
      <c r="E77" s="20">
        <v>2</v>
      </c>
      <c r="F77" s="20">
        <v>2.5</v>
      </c>
      <c r="G77" s="553"/>
      <c r="H77" s="20">
        <f>IF(G77&gt;=80%,F77,IF(G77&lt;65%,0,E77))</f>
        <v>0</v>
      </c>
      <c r="I77" s="11"/>
      <c r="J77" s="11"/>
      <c r="K77" s="11"/>
      <c r="Q77" s="52"/>
      <c r="R77" s="44"/>
    </row>
    <row r="78" spans="1:18" s="29" customFormat="1" ht="30.6" customHeight="1">
      <c r="A78" s="602">
        <v>8.3000000000000007</v>
      </c>
      <c r="B78" s="825" t="s">
        <v>607</v>
      </c>
      <c r="C78" s="827"/>
      <c r="D78" s="420" t="s">
        <v>50</v>
      </c>
      <c r="E78" s="434">
        <v>2</v>
      </c>
      <c r="F78" s="434">
        <v>2.5</v>
      </c>
      <c r="G78" s="553"/>
      <c r="H78" s="279">
        <f>IF(H76&gt;0,0,IF(G78&gt;=80%,F78,IF(G78&lt;65%,0,E78)))</f>
        <v>0</v>
      </c>
      <c r="I78" s="11"/>
      <c r="J78" s="11"/>
      <c r="K78" s="11"/>
      <c r="Q78" s="52"/>
      <c r="R78" s="44"/>
    </row>
    <row r="79" spans="1:18" s="29" customFormat="1">
      <c r="A79" s="602">
        <v>8.4</v>
      </c>
      <c r="B79" s="917" t="s">
        <v>138</v>
      </c>
      <c r="C79" s="843"/>
      <c r="D79" s="420" t="s">
        <v>2</v>
      </c>
      <c r="E79" s="434">
        <v>2</v>
      </c>
      <c r="F79" s="434">
        <v>2.5</v>
      </c>
      <c r="G79" s="30"/>
      <c r="H79" s="20">
        <f>IF(G79&gt;=80%,F79,IF(G79&lt;65%,0,E79))</f>
        <v>0</v>
      </c>
      <c r="Q79" s="52"/>
      <c r="R79" s="44"/>
    </row>
    <row r="80" spans="1:18" s="29" customFormat="1" ht="15.6">
      <c r="A80" s="66" t="s">
        <v>213</v>
      </c>
      <c r="B80" s="66" t="s">
        <v>518</v>
      </c>
      <c r="C80" s="67"/>
      <c r="D80" s="68"/>
      <c r="E80" s="69"/>
      <c r="F80" s="69"/>
      <c r="G80" s="69"/>
      <c r="H80" s="601"/>
      <c r="Q80" s="52"/>
      <c r="R80" s="44"/>
    </row>
    <row r="81" spans="1:18" s="29" customFormat="1" ht="31.5" customHeight="1">
      <c r="A81" s="602">
        <v>9.1</v>
      </c>
      <c r="B81" s="978" t="s">
        <v>514</v>
      </c>
      <c r="C81" s="978"/>
      <c r="D81" s="420" t="s">
        <v>50</v>
      </c>
      <c r="E81" s="434" t="s">
        <v>49</v>
      </c>
      <c r="F81" s="434">
        <v>2.5</v>
      </c>
      <c r="G81" s="517">
        <f>F21</f>
        <v>0</v>
      </c>
      <c r="H81" s="434">
        <f>IF(G81&gt;=80%,F81,0)</f>
        <v>0</v>
      </c>
      <c r="Q81" s="52"/>
      <c r="R81" s="44"/>
    </row>
    <row r="82" spans="1:18" s="29" customFormat="1" ht="31.5" customHeight="1">
      <c r="A82" s="602">
        <v>9.1999999999999993</v>
      </c>
      <c r="B82" s="825" t="s">
        <v>608</v>
      </c>
      <c r="C82" s="827"/>
      <c r="D82" s="420" t="s">
        <v>50</v>
      </c>
      <c r="E82" s="434">
        <v>2</v>
      </c>
      <c r="F82" s="434">
        <v>2.5</v>
      </c>
      <c r="G82" s="553"/>
      <c r="H82" s="279">
        <f>IF(G82&gt;=80%,F82,IF(G82&lt;65%,0,E82))</f>
        <v>0</v>
      </c>
      <c r="Q82" s="52"/>
      <c r="R82" s="44"/>
    </row>
    <row r="83" spans="1:18" s="29" customFormat="1" ht="15.6">
      <c r="A83" s="71" t="s">
        <v>214</v>
      </c>
      <c r="B83" s="71" t="s">
        <v>202</v>
      </c>
      <c r="C83" s="57"/>
      <c r="D83" s="57"/>
      <c r="E83" s="72"/>
      <c r="F83" s="72"/>
      <c r="G83" s="73"/>
      <c r="H83" s="603"/>
      <c r="Q83" s="52"/>
      <c r="R83" s="44"/>
    </row>
    <row r="84" spans="1:18" s="29" customFormat="1">
      <c r="A84" s="597">
        <v>10.1</v>
      </c>
      <c r="B84" s="776"/>
      <c r="C84" s="776"/>
      <c r="D84" s="520"/>
      <c r="E84" s="537"/>
      <c r="F84" s="537"/>
      <c r="G84" s="553"/>
      <c r="H84" s="20">
        <f>IF(G84&gt;=80%,F84,IF(G84&lt;65%,0,E84))</f>
        <v>0</v>
      </c>
      <c r="Q84" s="52"/>
      <c r="R84" s="44"/>
    </row>
    <row r="85" spans="1:18" s="29" customFormat="1">
      <c r="A85" s="597">
        <v>10.199999999999999</v>
      </c>
      <c r="B85" s="776"/>
      <c r="C85" s="776"/>
      <c r="D85" s="520"/>
      <c r="E85" s="537"/>
      <c r="F85" s="537"/>
      <c r="G85" s="553"/>
      <c r="H85" s="20">
        <f>IF(G85&gt;=80%,F85,IF(G85&lt;65%,0,E85))</f>
        <v>0</v>
      </c>
      <c r="Q85" s="52"/>
      <c r="R85" s="44"/>
    </row>
    <row r="86" spans="1:18" s="29" customFormat="1">
      <c r="A86" s="597">
        <v>10.3</v>
      </c>
      <c r="B86" s="776"/>
      <c r="C86" s="776"/>
      <c r="D86" s="520"/>
      <c r="E86" s="537"/>
      <c r="F86" s="537"/>
      <c r="G86" s="553"/>
      <c r="H86" s="20">
        <f>IF(G86&gt;=80%,F86,IF(G86&lt;65%,0,E86))</f>
        <v>0</v>
      </c>
      <c r="Q86" s="52"/>
      <c r="R86" s="44"/>
    </row>
    <row r="87" spans="1:18" s="29" customFormat="1" ht="15.6">
      <c r="A87" s="604"/>
      <c r="B87" s="307"/>
      <c r="C87" s="305"/>
      <c r="D87" s="305"/>
      <c r="E87" s="308"/>
      <c r="F87" s="309"/>
      <c r="G87" s="310" t="s">
        <v>375</v>
      </c>
      <c r="H87" s="605">
        <f>IFERROR((SUM(H64:H86)),0)</f>
        <v>0</v>
      </c>
      <c r="Q87" s="52"/>
      <c r="R87" s="44"/>
    </row>
    <row r="88" spans="1:18" s="29" customFormat="1">
      <c r="A88" s="592"/>
      <c r="B88" s="307"/>
      <c r="C88" s="305"/>
      <c r="D88" s="305"/>
      <c r="E88" s="305"/>
      <c r="F88" s="305"/>
      <c r="G88" s="311"/>
      <c r="H88" s="571"/>
      <c r="Q88" s="52"/>
      <c r="R88" s="44"/>
    </row>
    <row r="89" spans="1:18" s="29" customFormat="1" ht="15.6">
      <c r="A89" s="592"/>
      <c r="B89" s="307"/>
      <c r="C89" s="305"/>
      <c r="D89" s="305"/>
      <c r="E89" s="305"/>
      <c r="F89" s="305"/>
      <c r="G89" s="312" t="s">
        <v>128</v>
      </c>
      <c r="H89" s="74">
        <f>IFERROR(MIN(G27,H59+H87),0)</f>
        <v>0</v>
      </c>
      <c r="Q89" s="52"/>
      <c r="R89" s="44"/>
    </row>
    <row r="90" spans="1:18" s="29" customFormat="1" ht="16.2" thickBot="1">
      <c r="A90" s="594"/>
      <c r="B90" s="361"/>
      <c r="C90" s="362"/>
      <c r="D90" s="362"/>
      <c r="E90" s="362"/>
      <c r="F90" s="362"/>
      <c r="G90" s="364"/>
      <c r="H90" s="606"/>
      <c r="Q90" s="52"/>
      <c r="R90" s="44"/>
    </row>
    <row r="91" spans="1:18" s="29" customFormat="1" ht="15.6">
      <c r="A91" s="607" t="s">
        <v>51</v>
      </c>
      <c r="B91" s="358"/>
      <c r="C91" s="358"/>
      <c r="D91" s="358"/>
      <c r="E91" s="358"/>
      <c r="F91" s="359" t="s">
        <v>42</v>
      </c>
      <c r="G91" s="360">
        <f>VLOOKUP($A$7,'Manpower allocation'!A4:D11,3,FALSE)*100</f>
        <v>40</v>
      </c>
      <c r="H91" s="608" t="s">
        <v>41</v>
      </c>
      <c r="I91" s="75">
        <f>VLOOKUP($A$7,'Manpower allocation'!A4:D11,3,FALSE)*100</f>
        <v>40</v>
      </c>
      <c r="Q91" s="52"/>
      <c r="R91" s="44"/>
    </row>
    <row r="92" spans="1:18" s="29" customFormat="1" ht="15.6">
      <c r="A92" s="592"/>
      <c r="B92" s="313"/>
      <c r="C92" s="308"/>
      <c r="D92" s="305"/>
      <c r="E92" s="305"/>
      <c r="F92" s="305"/>
      <c r="G92" s="314"/>
      <c r="H92" s="571"/>
      <c r="Q92" s="52"/>
      <c r="R92" s="44"/>
    </row>
    <row r="93" spans="1:18" s="29" customFormat="1" ht="46.8">
      <c r="A93" s="609" t="s">
        <v>0</v>
      </c>
      <c r="B93" s="556"/>
      <c r="C93" s="156"/>
      <c r="D93" s="76"/>
      <c r="E93" s="77" t="s">
        <v>17</v>
      </c>
      <c r="F93" s="78" t="s">
        <v>80</v>
      </c>
      <c r="G93" s="78" t="s">
        <v>20</v>
      </c>
      <c r="H93" s="550" t="s">
        <v>52</v>
      </c>
      <c r="Q93" s="52"/>
      <c r="R93" s="44"/>
    </row>
    <row r="94" spans="1:18" s="29" customFormat="1" ht="15.6">
      <c r="A94" s="79" t="s">
        <v>280</v>
      </c>
      <c r="B94" s="79" t="s">
        <v>298</v>
      </c>
      <c r="C94" s="80"/>
      <c r="D94" s="80"/>
      <c r="E94" s="81"/>
      <c r="F94" s="81"/>
      <c r="G94" s="81"/>
      <c r="H94" s="610"/>
      <c r="Q94" s="52"/>
      <c r="R94" s="44"/>
    </row>
    <row r="95" spans="1:18" s="29" customFormat="1" ht="15.6">
      <c r="A95" s="82">
        <v>1</v>
      </c>
      <c r="B95" s="82" t="s">
        <v>304</v>
      </c>
      <c r="C95" s="83"/>
      <c r="D95" s="83"/>
      <c r="E95" s="84"/>
      <c r="F95" s="84"/>
      <c r="G95" s="84"/>
      <c r="H95" s="611"/>
      <c r="Q95" s="52"/>
      <c r="R95" s="44"/>
    </row>
    <row r="96" spans="1:18" s="29" customFormat="1">
      <c r="A96" s="597">
        <v>1.1000000000000001</v>
      </c>
      <c r="B96" s="858" t="s">
        <v>271</v>
      </c>
      <c r="C96" s="823"/>
      <c r="D96" s="824"/>
      <c r="E96" s="85">
        <f>VLOOKUP(A96,'Point Allocation'!$A$20:$J$41,MATCH(A7,'Point Allocation'!$A$20:$J$20,0),0)</f>
        <v>30</v>
      </c>
      <c r="F96" s="86"/>
      <c r="G96" s="87">
        <f>IFERROR(F96/$F$120,0)</f>
        <v>0</v>
      </c>
      <c r="H96" s="612">
        <f>E96*G96</f>
        <v>0</v>
      </c>
      <c r="Q96" s="44"/>
      <c r="R96" s="44"/>
    </row>
    <row r="97" spans="1:18" s="29" customFormat="1" ht="15.6">
      <c r="A97" s="88">
        <v>2</v>
      </c>
      <c r="B97" s="88" t="s">
        <v>305</v>
      </c>
      <c r="C97" s="89"/>
      <c r="D97" s="90"/>
      <c r="E97" s="90"/>
      <c r="F97" s="91"/>
      <c r="G97" s="92"/>
      <c r="H97" s="613"/>
      <c r="Q97" s="52"/>
      <c r="R97" s="44"/>
    </row>
    <row r="98" spans="1:18" s="29" customFormat="1">
      <c r="A98" s="814">
        <v>2.1</v>
      </c>
      <c r="B98" s="822" t="s">
        <v>196</v>
      </c>
      <c r="C98" s="823"/>
      <c r="D98" s="824"/>
      <c r="E98" s="819">
        <f>VLOOKUP(A98,'Point Allocation'!$A$20:$J$41,MATCH(A7,'Point Allocation'!$A$20:$J$20,0),0)</f>
        <v>28</v>
      </c>
      <c r="F98" s="820"/>
      <c r="G98" s="821">
        <f>IFERROR(F98/$F$120,0)</f>
        <v>0</v>
      </c>
      <c r="H98" s="819">
        <f>E98*G98</f>
        <v>0</v>
      </c>
      <c r="Q98" s="52"/>
      <c r="R98" s="44"/>
    </row>
    <row r="99" spans="1:18" s="29" customFormat="1" ht="15.6">
      <c r="A99" s="878"/>
      <c r="B99" s="816" t="s">
        <v>119</v>
      </c>
      <c r="C99" s="817"/>
      <c r="D99" s="818"/>
      <c r="E99" s="819"/>
      <c r="F99" s="820"/>
      <c r="G99" s="821"/>
      <c r="H99" s="819"/>
      <c r="Q99" s="52"/>
      <c r="R99" s="44"/>
    </row>
    <row r="100" spans="1:18" s="29" customFormat="1">
      <c r="A100" s="814">
        <v>2.2000000000000002</v>
      </c>
      <c r="B100" s="825" t="s">
        <v>606</v>
      </c>
      <c r="C100" s="826"/>
      <c r="D100" s="827"/>
      <c r="E100" s="819">
        <f>VLOOKUP(A100,'Point Allocation'!$A$20:$J$41,MATCH(A7,'Point Allocation'!$A$20:$J$20,0),0)</f>
        <v>28</v>
      </c>
      <c r="F100" s="820"/>
      <c r="G100" s="821">
        <f>IFERROR(F100/$F$120,0)</f>
        <v>0</v>
      </c>
      <c r="H100" s="819">
        <f>E100*G100</f>
        <v>0</v>
      </c>
      <c r="Q100" s="52"/>
      <c r="R100" s="44"/>
    </row>
    <row r="101" spans="1:18" s="29" customFormat="1" ht="15.6">
      <c r="A101" s="815"/>
      <c r="B101" s="816" t="s">
        <v>119</v>
      </c>
      <c r="C101" s="817"/>
      <c r="D101" s="818"/>
      <c r="E101" s="819"/>
      <c r="F101" s="820"/>
      <c r="G101" s="821"/>
      <c r="H101" s="819"/>
      <c r="Q101" s="52"/>
      <c r="R101" s="44"/>
    </row>
    <row r="102" spans="1:18" s="29" customFormat="1" ht="15.6">
      <c r="A102" s="82">
        <v>3</v>
      </c>
      <c r="B102" s="82" t="s">
        <v>306</v>
      </c>
      <c r="C102" s="89"/>
      <c r="D102" s="89"/>
      <c r="E102" s="91"/>
      <c r="F102" s="91"/>
      <c r="G102" s="92"/>
      <c r="H102" s="614"/>
      <c r="Q102" s="52"/>
      <c r="R102" s="44"/>
    </row>
    <row r="103" spans="1:18" s="29" customFormat="1">
      <c r="A103" s="814">
        <v>3.1</v>
      </c>
      <c r="B103" s="822" t="s">
        <v>197</v>
      </c>
      <c r="C103" s="823"/>
      <c r="D103" s="824"/>
      <c r="E103" s="819">
        <f>VLOOKUP(A103,'Point Allocation'!$A$20:$J$41,MATCH(A7,'Point Allocation'!$A$20:$J$20,0),0)</f>
        <v>27</v>
      </c>
      <c r="F103" s="820"/>
      <c r="G103" s="821">
        <f>IFERROR(F103/$F$120,0)</f>
        <v>0</v>
      </c>
      <c r="H103" s="819">
        <f>E103*G103</f>
        <v>0</v>
      </c>
      <c r="Q103" s="52"/>
      <c r="R103" s="44"/>
    </row>
    <row r="104" spans="1:18" s="29" customFormat="1" ht="15.6">
      <c r="A104" s="878"/>
      <c r="B104" s="816" t="s">
        <v>267</v>
      </c>
      <c r="C104" s="817"/>
      <c r="D104" s="818"/>
      <c r="E104" s="819"/>
      <c r="F104" s="820"/>
      <c r="G104" s="821"/>
      <c r="H104" s="819"/>
      <c r="Q104" s="52"/>
      <c r="R104" s="44"/>
    </row>
    <row r="105" spans="1:18" s="29" customFormat="1" ht="15.6">
      <c r="A105" s="82">
        <v>4</v>
      </c>
      <c r="B105" s="82" t="s">
        <v>307</v>
      </c>
      <c r="C105" s="89"/>
      <c r="D105" s="89"/>
      <c r="E105" s="91"/>
      <c r="F105" s="91"/>
      <c r="G105" s="92"/>
      <c r="H105" s="614"/>
      <c r="Q105" s="52"/>
      <c r="R105" s="44"/>
    </row>
    <row r="106" spans="1:18" s="29" customFormat="1" ht="30" customHeight="1">
      <c r="A106" s="598" t="s">
        <v>194</v>
      </c>
      <c r="B106" s="833" t="s">
        <v>273</v>
      </c>
      <c r="C106" s="834"/>
      <c r="D106" s="835"/>
      <c r="E106" s="93">
        <f>VLOOKUP(A106,'Point Allocation'!$A$20:$J$41,MATCH(A7,'Point Allocation'!$A$20:$J$20,0),0)</f>
        <v>25</v>
      </c>
      <c r="F106" s="538"/>
      <c r="G106" s="539">
        <f>IFERROR(F106/$F$120,0)</f>
        <v>0</v>
      </c>
      <c r="H106" s="94">
        <f>E106*G106</f>
        <v>0</v>
      </c>
      <c r="Q106" s="939"/>
      <c r="R106" s="44"/>
    </row>
    <row r="107" spans="1:18" s="29" customFormat="1">
      <c r="A107" s="598" t="s">
        <v>195</v>
      </c>
      <c r="B107" s="833" t="s">
        <v>274</v>
      </c>
      <c r="C107" s="834"/>
      <c r="D107" s="835"/>
      <c r="E107" s="93">
        <f>VLOOKUP(A107,'Point Allocation'!$A$20:$J$41,MATCH(A7,'Point Allocation'!$A$20:$J$20,0),0)</f>
        <v>25</v>
      </c>
      <c r="F107" s="538"/>
      <c r="G107" s="539">
        <f>IFERROR(F107/$F$120,0)</f>
        <v>0</v>
      </c>
      <c r="H107" s="94">
        <f>E107*G107</f>
        <v>0</v>
      </c>
      <c r="Q107" s="939"/>
      <c r="R107" s="44"/>
    </row>
    <row r="108" spans="1:18" s="29" customFormat="1">
      <c r="A108" s="597">
        <v>4.2</v>
      </c>
      <c r="B108" s="848" t="s">
        <v>198</v>
      </c>
      <c r="C108" s="924"/>
      <c r="D108" s="849"/>
      <c r="E108" s="93">
        <f>VLOOKUP(A108,'Point Allocation'!$A$20:$J$41,MATCH(A7,'Point Allocation'!$A$20:$J$20,0),0)</f>
        <v>25</v>
      </c>
      <c r="F108" s="538"/>
      <c r="G108" s="539">
        <f>IFERROR(F108/$F$120,0)</f>
        <v>0</v>
      </c>
      <c r="H108" s="94">
        <f>E108*G108</f>
        <v>0</v>
      </c>
      <c r="Q108" s="52"/>
      <c r="R108" s="44"/>
    </row>
    <row r="109" spans="1:18" s="29" customFormat="1">
      <c r="A109" s="597">
        <v>4.3</v>
      </c>
      <c r="B109" s="925" t="s">
        <v>150</v>
      </c>
      <c r="C109" s="926"/>
      <c r="D109" s="927"/>
      <c r="E109" s="93">
        <f>VLOOKUP(A109,'Point Allocation'!$A$20:$J$41,MATCH(A7,'Point Allocation'!$A$20:$J$20,0),0)</f>
        <v>25</v>
      </c>
      <c r="F109" s="538"/>
      <c r="G109" s="539">
        <f>IFERROR(F109/$F$120,0)</f>
        <v>0</v>
      </c>
      <c r="H109" s="174">
        <f>E109*G109</f>
        <v>0</v>
      </c>
      <c r="Q109" s="52"/>
      <c r="R109" s="44"/>
    </row>
    <row r="110" spans="1:18" s="29" customFormat="1">
      <c r="A110" s="597">
        <v>4.4000000000000004</v>
      </c>
      <c r="B110" s="925" t="s">
        <v>320</v>
      </c>
      <c r="C110" s="926"/>
      <c r="D110" s="927"/>
      <c r="E110" s="93">
        <f>VLOOKUP(A110,'Point Allocation'!$A$20:$J$41,MATCH(A7,'Point Allocation'!$A$20:$J$20,0),0)</f>
        <v>22</v>
      </c>
      <c r="F110" s="538"/>
      <c r="G110" s="539">
        <f>IFERROR(F110/$F$120,0)</f>
        <v>0</v>
      </c>
      <c r="H110" s="174">
        <f>E110*G110</f>
        <v>0</v>
      </c>
      <c r="Q110" s="52"/>
      <c r="R110" s="44"/>
    </row>
    <row r="111" spans="1:18" s="29" customFormat="1" ht="15.6">
      <c r="A111" s="95" t="s">
        <v>281</v>
      </c>
      <c r="B111" s="95" t="s">
        <v>223</v>
      </c>
      <c r="C111" s="96"/>
      <c r="D111" s="97"/>
      <c r="E111" s="98"/>
      <c r="F111" s="99"/>
      <c r="G111" s="100"/>
      <c r="H111" s="615"/>
      <c r="Q111" s="52"/>
      <c r="R111" s="44"/>
    </row>
    <row r="112" spans="1:18" s="29" customFormat="1" ht="15.6">
      <c r="A112" s="82">
        <v>5</v>
      </c>
      <c r="B112" s="82" t="s">
        <v>224</v>
      </c>
      <c r="C112" s="89"/>
      <c r="D112" s="89"/>
      <c r="E112" s="91"/>
      <c r="F112" s="91"/>
      <c r="G112" s="92"/>
      <c r="H112" s="614"/>
      <c r="Q112" s="52"/>
      <c r="R112" s="44"/>
    </row>
    <row r="113" spans="1:18" s="29" customFormat="1">
      <c r="A113" s="597">
        <v>5.0999999999999996</v>
      </c>
      <c r="B113" s="822" t="s">
        <v>199</v>
      </c>
      <c r="C113" s="823"/>
      <c r="D113" s="824"/>
      <c r="E113" s="101">
        <f>VLOOKUP(A113,'Point Allocation'!$A$20:$J$41,MATCH(A7,'Point Allocation'!$A$20:$J$20,0),0)</f>
        <v>16</v>
      </c>
      <c r="F113" s="147"/>
      <c r="G113" s="539">
        <f>IFERROR(F113/$F$120,0)</f>
        <v>0</v>
      </c>
      <c r="H113" s="547">
        <f>E113*G113</f>
        <v>0</v>
      </c>
      <c r="Q113" s="52"/>
      <c r="R113" s="44"/>
    </row>
    <row r="114" spans="1:18" s="29" customFormat="1">
      <c r="A114" s="597">
        <v>5.2</v>
      </c>
      <c r="B114" s="822" t="s">
        <v>321</v>
      </c>
      <c r="C114" s="823"/>
      <c r="D114" s="824"/>
      <c r="E114" s="101">
        <f>VLOOKUP(A114,'Point Allocation'!$A$20:$J$41,MATCH(A7,'Point Allocation'!$A$20:$J$20,0),0)</f>
        <v>5</v>
      </c>
      <c r="F114" s="86"/>
      <c r="G114" s="539">
        <f>IFERROR(F114/$F$120,0)</f>
        <v>0</v>
      </c>
      <c r="H114" s="547">
        <f>E114*G114</f>
        <v>0</v>
      </c>
      <c r="Q114" s="52"/>
      <c r="R114" s="44"/>
    </row>
    <row r="115" spans="1:18" s="29" customFormat="1">
      <c r="A115" s="597">
        <v>5.3</v>
      </c>
      <c r="B115" s="822" t="s">
        <v>322</v>
      </c>
      <c r="C115" s="823"/>
      <c r="D115" s="824"/>
      <c r="E115" s="101">
        <f>VLOOKUP(A115,'Point Allocation'!$A$20:$J$41,MATCH(A7,'Point Allocation'!$A$20:$J$20,0),0)</f>
        <v>0</v>
      </c>
      <c r="F115" s="146"/>
      <c r="G115" s="539">
        <f>IFERROR(F115/$F$120,0)</f>
        <v>0</v>
      </c>
      <c r="H115" s="616">
        <f>E115*G115</f>
        <v>0</v>
      </c>
      <c r="Q115" s="52"/>
      <c r="R115" s="44"/>
    </row>
    <row r="116" spans="1:18" s="29" customFormat="1" ht="15.6">
      <c r="A116" s="102">
        <v>6</v>
      </c>
      <c r="B116" s="102" t="s">
        <v>202</v>
      </c>
      <c r="C116" s="89"/>
      <c r="D116" s="89"/>
      <c r="E116" s="91"/>
      <c r="F116" s="91"/>
      <c r="G116" s="92"/>
      <c r="H116" s="614"/>
      <c r="Q116" s="52"/>
      <c r="R116" s="44"/>
    </row>
    <row r="117" spans="1:18" s="29" customFormat="1">
      <c r="A117" s="386">
        <v>6.1</v>
      </c>
      <c r="B117" s="765"/>
      <c r="C117" s="766"/>
      <c r="D117" s="847"/>
      <c r="E117" s="538"/>
      <c r="F117" s="538"/>
      <c r="G117" s="539">
        <f>IFERROR(F117/$F$120,0)</f>
        <v>0</v>
      </c>
      <c r="H117" s="616">
        <f>E117*G117</f>
        <v>0</v>
      </c>
      <c r="Q117" s="52"/>
      <c r="R117" s="44"/>
    </row>
    <row r="118" spans="1:18" s="29" customFormat="1">
      <c r="A118" s="386">
        <v>6.2</v>
      </c>
      <c r="B118" s="765"/>
      <c r="C118" s="766"/>
      <c r="D118" s="847"/>
      <c r="E118" s="538"/>
      <c r="F118" s="538"/>
      <c r="G118" s="539">
        <f>IFERROR(F118/$F$120,0)</f>
        <v>0</v>
      </c>
      <c r="H118" s="616">
        <f>E118*G118</f>
        <v>0</v>
      </c>
      <c r="Q118" s="52"/>
      <c r="R118" s="44"/>
    </row>
    <row r="119" spans="1:18" s="29" customFormat="1">
      <c r="A119" s="386">
        <v>6.3</v>
      </c>
      <c r="B119" s="920"/>
      <c r="C119" s="920"/>
      <c r="D119" s="920"/>
      <c r="E119" s="538"/>
      <c r="F119" s="538"/>
      <c r="G119" s="539">
        <f>IFERROR(F119/$F$120,0)</f>
        <v>0</v>
      </c>
      <c r="H119" s="616">
        <f>E119*G119</f>
        <v>0</v>
      </c>
      <c r="Q119" s="52"/>
      <c r="R119" s="44"/>
    </row>
    <row r="120" spans="1:18" s="29" customFormat="1" ht="15.6">
      <c r="A120" s="604"/>
      <c r="B120" s="307"/>
      <c r="C120" s="305"/>
      <c r="D120" s="305"/>
      <c r="E120" s="312" t="s">
        <v>61</v>
      </c>
      <c r="F120" s="315">
        <f>SUM(F96:F119)+E19</f>
        <v>0</v>
      </c>
      <c r="G120" s="316">
        <f>SUM(G96:G119)+F19</f>
        <v>0</v>
      </c>
      <c r="H120" s="617">
        <f>IFERROR(SUM(H96:H119),0)</f>
        <v>0</v>
      </c>
      <c r="Q120" s="52"/>
      <c r="R120" s="44"/>
    </row>
    <row r="121" spans="1:18" s="29" customFormat="1" ht="15.6" thickBot="1">
      <c r="A121" s="594"/>
      <c r="B121" s="361"/>
      <c r="C121" s="362"/>
      <c r="D121" s="362"/>
      <c r="E121" s="362"/>
      <c r="F121" s="362"/>
      <c r="G121" s="354"/>
      <c r="H121" s="595"/>
      <c r="Q121" s="52"/>
      <c r="R121" s="44"/>
    </row>
    <row r="122" spans="1:18" s="29" customFormat="1" ht="31.2">
      <c r="A122" s="618" t="s">
        <v>0</v>
      </c>
      <c r="B122" s="458"/>
      <c r="C122" s="458"/>
      <c r="D122" s="549" t="s">
        <v>17</v>
      </c>
      <c r="E122" s="459" t="s">
        <v>80</v>
      </c>
      <c r="F122" s="460" t="s">
        <v>301</v>
      </c>
      <c r="G122" s="460" t="s">
        <v>302</v>
      </c>
      <c r="H122" s="549" t="s">
        <v>52</v>
      </c>
      <c r="Q122" s="52"/>
      <c r="R122" s="44"/>
    </row>
    <row r="123" spans="1:18" s="29" customFormat="1" ht="15.6">
      <c r="A123" s="79" t="s">
        <v>225</v>
      </c>
      <c r="B123" s="79" t="s">
        <v>299</v>
      </c>
      <c r="C123" s="80"/>
      <c r="D123" s="81"/>
      <c r="E123" s="81"/>
      <c r="F123" s="81"/>
      <c r="G123" s="81"/>
      <c r="H123" s="610"/>
      <c r="Q123" s="52"/>
      <c r="R123" s="44"/>
    </row>
    <row r="124" spans="1:18" s="29" customFormat="1" ht="15.6">
      <c r="A124" s="82">
        <v>7</v>
      </c>
      <c r="B124" s="82" t="s">
        <v>304</v>
      </c>
      <c r="C124" s="83"/>
      <c r="D124" s="84"/>
      <c r="E124" s="84"/>
      <c r="F124" s="84"/>
      <c r="G124" s="84"/>
      <c r="H124" s="611"/>
      <c r="Q124" s="52"/>
      <c r="R124" s="44"/>
    </row>
    <row r="125" spans="1:18" s="29" customFormat="1" ht="15" customHeight="1">
      <c r="A125" s="543">
        <v>7.1</v>
      </c>
      <c r="B125" s="858" t="s">
        <v>271</v>
      </c>
      <c r="C125" s="840"/>
      <c r="D125" s="94">
        <f>VLOOKUP(A125,'Point Allocation'!$A$20:$J$41,MATCH(A7,'Point Allocation'!$A$20:$J$20,0),0)</f>
        <v>10</v>
      </c>
      <c r="E125" s="85">
        <f>F96</f>
        <v>0</v>
      </c>
      <c r="F125" s="85">
        <f>F32</f>
        <v>0</v>
      </c>
      <c r="G125" s="87">
        <f>IFERROR(SUM(E125:F125)/SUM($E$143:$F$143),0)</f>
        <v>0</v>
      </c>
      <c r="H125" s="612">
        <f>D125*G125</f>
        <v>0</v>
      </c>
      <c r="Q125" s="52"/>
      <c r="R125" s="44"/>
    </row>
    <row r="126" spans="1:18" s="29" customFormat="1" ht="15.6">
      <c r="A126" s="88">
        <v>8</v>
      </c>
      <c r="B126" s="88" t="s">
        <v>305</v>
      </c>
      <c r="C126" s="89"/>
      <c r="D126" s="90"/>
      <c r="E126" s="91"/>
      <c r="F126" s="91"/>
      <c r="G126" s="92"/>
      <c r="H126" s="613"/>
      <c r="Q126" s="52"/>
      <c r="R126" s="44"/>
    </row>
    <row r="127" spans="1:18" s="29" customFormat="1">
      <c r="A127" s="814">
        <v>8.1</v>
      </c>
      <c r="B127" s="822" t="s">
        <v>303</v>
      </c>
      <c r="C127" s="824"/>
      <c r="D127" s="921">
        <f>VLOOKUP(A127,'Point Allocation'!$A$20:$J$41,MATCH(A7,'Point Allocation'!$A$20:$J$20,0),0)</f>
        <v>8</v>
      </c>
      <c r="E127" s="945">
        <f>F98</f>
        <v>0</v>
      </c>
      <c r="F127" s="946"/>
      <c r="G127" s="983">
        <f>IFERROR(SUM(E127:F128)/SUM($E$143:$F$143),0)</f>
        <v>0</v>
      </c>
      <c r="H127" s="819">
        <f>D127*G127</f>
        <v>0</v>
      </c>
      <c r="Q127" s="52"/>
      <c r="R127" s="44"/>
    </row>
    <row r="128" spans="1:18" s="29" customFormat="1" ht="15.6">
      <c r="A128" s="815"/>
      <c r="B128" s="816" t="s">
        <v>119</v>
      </c>
      <c r="C128" s="818"/>
      <c r="D128" s="922"/>
      <c r="E128" s="945"/>
      <c r="F128" s="946"/>
      <c r="G128" s="984"/>
      <c r="H128" s="819"/>
      <c r="Q128" s="52"/>
      <c r="R128" s="44"/>
    </row>
    <row r="129" spans="1:18" s="29" customFormat="1">
      <c r="A129" s="543">
        <v>8.1999999999999993</v>
      </c>
      <c r="B129" s="825" t="s">
        <v>606</v>
      </c>
      <c r="C129" s="827"/>
      <c r="D129" s="94">
        <f>VLOOKUP(A129,'Point Allocation'!$A$20:$J$41,MATCH(A7,'Point Allocation'!$A$20:$J$20,0),0)</f>
        <v>8</v>
      </c>
      <c r="E129" s="174">
        <f>F100</f>
        <v>0</v>
      </c>
      <c r="F129" s="555"/>
      <c r="G129" s="87">
        <f>IFERROR(SUM(E129:F129)/SUM($E$143:$F$143),0)</f>
        <v>0</v>
      </c>
      <c r="H129" s="94">
        <f>D129*G129</f>
        <v>0</v>
      </c>
      <c r="Q129" s="52"/>
      <c r="R129" s="44"/>
    </row>
    <row r="130" spans="1:18" s="29" customFormat="1" ht="15.6">
      <c r="A130" s="82">
        <v>9</v>
      </c>
      <c r="B130" s="82" t="s">
        <v>306</v>
      </c>
      <c r="C130" s="89"/>
      <c r="D130" s="91"/>
      <c r="E130" s="91"/>
      <c r="F130" s="91"/>
      <c r="G130" s="92"/>
      <c r="H130" s="614"/>
      <c r="Q130" s="52"/>
      <c r="R130" s="44"/>
    </row>
    <row r="131" spans="1:18" s="29" customFormat="1">
      <c r="A131" s="814">
        <v>9.1</v>
      </c>
      <c r="B131" s="822" t="s">
        <v>339</v>
      </c>
      <c r="C131" s="824"/>
      <c r="D131" s="921">
        <f>VLOOKUP(A131,'Point Allocation'!$A$20:$J$41,MATCH(A7,'Point Allocation'!$A$20:$J$20,0),0)</f>
        <v>6</v>
      </c>
      <c r="E131" s="946"/>
      <c r="F131" s="946"/>
      <c r="G131" s="821">
        <f>IFERROR(SUM(E131:F132)/SUM($E$143:$F$143),0)</f>
        <v>0</v>
      </c>
      <c r="H131" s="819">
        <f>D131*G131</f>
        <v>0</v>
      </c>
      <c r="Q131" s="52"/>
      <c r="R131" s="44"/>
    </row>
    <row r="132" spans="1:18" s="29" customFormat="1" ht="15.6">
      <c r="A132" s="815"/>
      <c r="B132" s="816" t="s">
        <v>5</v>
      </c>
      <c r="C132" s="818"/>
      <c r="D132" s="922"/>
      <c r="E132" s="946"/>
      <c r="F132" s="946"/>
      <c r="G132" s="821"/>
      <c r="H132" s="819"/>
      <c r="Q132" s="52"/>
      <c r="R132" s="44"/>
    </row>
    <row r="133" spans="1:18" s="29" customFormat="1" ht="15.6">
      <c r="A133" s="82">
        <v>10</v>
      </c>
      <c r="B133" s="82" t="s">
        <v>308</v>
      </c>
      <c r="C133" s="89"/>
      <c r="D133" s="91"/>
      <c r="E133" s="91"/>
      <c r="F133" s="91"/>
      <c r="G133" s="92"/>
      <c r="H133" s="614"/>
      <c r="Q133" s="52"/>
      <c r="R133" s="44"/>
    </row>
    <row r="134" spans="1:18" s="29" customFormat="1" ht="15" customHeight="1">
      <c r="A134" s="541">
        <v>10.1</v>
      </c>
      <c r="B134" s="822" t="s">
        <v>340</v>
      </c>
      <c r="C134" s="824"/>
      <c r="D134" s="94">
        <f>VLOOKUP(A134,'Point Allocation'!$A$20:$J$41,MATCH(A7,'Point Allocation'!$A$20:$J$20,0),0)</f>
        <v>4</v>
      </c>
      <c r="E134" s="555"/>
      <c r="F134" s="555"/>
      <c r="G134" s="87">
        <f>IFERROR(SUM(E134:F134)/SUM($E$143:$F$143),0)</f>
        <v>0</v>
      </c>
      <c r="H134" s="94">
        <f>D134*G134</f>
        <v>0</v>
      </c>
      <c r="Q134" s="52"/>
      <c r="R134" s="44"/>
    </row>
    <row r="135" spans="1:18" s="29" customFormat="1" ht="32.25" customHeight="1">
      <c r="A135" s="589">
        <v>10.199999999999999</v>
      </c>
      <c r="B135" s="825" t="s">
        <v>318</v>
      </c>
      <c r="C135" s="827"/>
      <c r="D135" s="94">
        <f>VLOOKUP(A135,'Point Allocation'!$A$20:$J$41,MATCH(A7,'Point Allocation'!$A$20:$J$20,0),0)</f>
        <v>4</v>
      </c>
      <c r="E135" s="173"/>
      <c r="F135" s="555"/>
      <c r="G135" s="539">
        <f>IFERROR(SUM(E135:F135)/SUM($E$143:$F$143),0)</f>
        <v>0</v>
      </c>
      <c r="H135" s="94">
        <f>D135*G135</f>
        <v>0</v>
      </c>
      <c r="Q135" s="52"/>
      <c r="R135" s="44"/>
    </row>
    <row r="136" spans="1:18" s="29" customFormat="1" ht="15.6">
      <c r="A136" s="95" t="s">
        <v>226</v>
      </c>
      <c r="B136" s="95" t="s">
        <v>248</v>
      </c>
      <c r="C136" s="96"/>
      <c r="D136" s="98"/>
      <c r="E136" s="99"/>
      <c r="F136" s="99"/>
      <c r="G136" s="100"/>
      <c r="H136" s="615"/>
      <c r="Q136" s="52"/>
      <c r="R136" s="44"/>
    </row>
    <row r="137" spans="1:18" s="29" customFormat="1" ht="15.6">
      <c r="A137" s="82">
        <v>11</v>
      </c>
      <c r="B137" s="82" t="s">
        <v>249</v>
      </c>
      <c r="C137" s="89"/>
      <c r="D137" s="91"/>
      <c r="E137" s="91"/>
      <c r="F137" s="91"/>
      <c r="G137" s="92"/>
      <c r="H137" s="614"/>
      <c r="Q137" s="52"/>
      <c r="R137" s="44"/>
    </row>
    <row r="138" spans="1:18" s="29" customFormat="1">
      <c r="A138" s="541">
        <v>11.1</v>
      </c>
      <c r="B138" s="822" t="s">
        <v>642</v>
      </c>
      <c r="C138" s="824"/>
      <c r="D138" s="94">
        <f>VLOOKUP(A138,'Point Allocation'!$A$20:$J$41,MATCH(A7,'Point Allocation'!$A$20:$J$20,0),0)</f>
        <v>2</v>
      </c>
      <c r="E138" s="555"/>
      <c r="F138" s="555"/>
      <c r="G138" s="539">
        <f>IFERROR(SUM(E138:F138)/SUM($E$143:$F$143),0)</f>
        <v>0</v>
      </c>
      <c r="H138" s="94">
        <f t="shared" ref="H138:H142" si="2">D138*G138</f>
        <v>0</v>
      </c>
      <c r="Q138" s="52"/>
      <c r="R138" s="44"/>
    </row>
    <row r="139" spans="1:18" s="29" customFormat="1">
      <c r="A139" s="619">
        <v>11.2</v>
      </c>
      <c r="B139" s="848" t="s">
        <v>310</v>
      </c>
      <c r="C139" s="849"/>
      <c r="D139" s="174">
        <f>VLOOKUP(A138,'Point Allocation'!$A$20:$J$41,MATCH(A7,'Point Allocation'!$A$20:$J$20,0),0)</f>
        <v>2</v>
      </c>
      <c r="E139" s="555"/>
      <c r="F139" s="555"/>
      <c r="G139" s="539">
        <f>IFERROR(SUM(E139:F139)/SUM($E$143:$F$143),0)</f>
        <v>0</v>
      </c>
      <c r="H139" s="94">
        <f t="shared" si="2"/>
        <v>0</v>
      </c>
      <c r="Q139" s="52"/>
      <c r="R139" s="44"/>
    </row>
    <row r="140" spans="1:18" s="29" customFormat="1">
      <c r="A140" s="541">
        <v>11.3</v>
      </c>
      <c r="B140" s="848" t="s">
        <v>317</v>
      </c>
      <c r="C140" s="849"/>
      <c r="D140" s="94">
        <f>VLOOKUP(A140,'Point Allocation'!$A$20:$J$41,MATCH(A7,'Point Allocation'!$A$20:$J$20,0),0)</f>
        <v>0</v>
      </c>
      <c r="E140" s="555"/>
      <c r="F140" s="555"/>
      <c r="G140" s="539">
        <f>IFERROR(SUM(E140:F140)/SUM($E$143:$F$143),0)</f>
        <v>0</v>
      </c>
      <c r="H140" s="94">
        <f t="shared" si="2"/>
        <v>0</v>
      </c>
      <c r="Q140" s="52"/>
      <c r="R140" s="44"/>
    </row>
    <row r="141" spans="1:18" s="29" customFormat="1">
      <c r="A141" s="620">
        <v>11.4</v>
      </c>
      <c r="B141" s="968"/>
      <c r="C141" s="969"/>
      <c r="D141" s="538"/>
      <c r="E141" s="555"/>
      <c r="F141" s="555"/>
      <c r="G141" s="539">
        <f>IFERROR(SUM(E141:F141)/SUM($E$143:$F$143),0)</f>
        <v>0</v>
      </c>
      <c r="H141" s="94">
        <f t="shared" si="2"/>
        <v>0</v>
      </c>
      <c r="Q141" s="52"/>
      <c r="R141" s="44"/>
    </row>
    <row r="142" spans="1:18" s="29" customFormat="1">
      <c r="A142" s="620">
        <v>11.5</v>
      </c>
      <c r="B142" s="968"/>
      <c r="C142" s="969"/>
      <c r="D142" s="538"/>
      <c r="E142" s="555"/>
      <c r="F142" s="555"/>
      <c r="G142" s="539">
        <f>IFERROR(SUM(E142:F142)/SUM($E$143:$F$143),0)</f>
        <v>0</v>
      </c>
      <c r="H142" s="94">
        <f t="shared" si="2"/>
        <v>0</v>
      </c>
      <c r="Q142" s="52"/>
      <c r="R142" s="44"/>
    </row>
    <row r="143" spans="1:18" s="29" customFormat="1" ht="15.6">
      <c r="A143" s="592"/>
      <c r="B143" s="307"/>
      <c r="C143" s="305"/>
      <c r="D143" s="312" t="s">
        <v>131</v>
      </c>
      <c r="E143" s="315">
        <f>SUM(E125:E142)</f>
        <v>0</v>
      </c>
      <c r="F143" s="317">
        <f>SUM(F125:F142)</f>
        <v>0</v>
      </c>
      <c r="G143" s="318">
        <f>SUM(G125:G142)</f>
        <v>0</v>
      </c>
      <c r="H143" s="621">
        <f>IFERROR(SUM(H125:H142),0)</f>
        <v>0</v>
      </c>
      <c r="Q143" s="52"/>
      <c r="R143" s="44"/>
    </row>
    <row r="144" spans="1:18" s="29" customFormat="1">
      <c r="A144" s="622"/>
      <c r="B144" s="307"/>
      <c r="C144" s="305"/>
      <c r="D144" s="305"/>
      <c r="E144" s="305"/>
      <c r="F144" s="305"/>
      <c r="G144" s="314"/>
      <c r="H144" s="571"/>
      <c r="Q144" s="52"/>
      <c r="R144" s="44"/>
    </row>
    <row r="145" spans="1:18" s="29" customFormat="1" ht="46.8">
      <c r="A145" s="970" t="s">
        <v>0</v>
      </c>
      <c r="B145" s="971"/>
      <c r="C145" s="163"/>
      <c r="D145" s="550" t="s">
        <v>57</v>
      </c>
      <c r="E145" s="550" t="s">
        <v>58</v>
      </c>
      <c r="F145" s="956" t="s">
        <v>59</v>
      </c>
      <c r="G145" s="956"/>
      <c r="H145" s="623" t="s">
        <v>62</v>
      </c>
      <c r="J145" s="103" t="s">
        <v>71</v>
      </c>
      <c r="K145" s="103">
        <v>1</v>
      </c>
      <c r="L145" s="103">
        <v>2</v>
      </c>
      <c r="M145" s="103">
        <v>3</v>
      </c>
      <c r="N145" s="103">
        <v>4</v>
      </c>
      <c r="O145" s="103">
        <v>5</v>
      </c>
      <c r="P145" s="103">
        <v>6</v>
      </c>
      <c r="Q145" s="52"/>
      <c r="R145" s="44"/>
    </row>
    <row r="146" spans="1:18" s="29" customFormat="1" ht="15.6">
      <c r="A146" s="126" t="s">
        <v>227</v>
      </c>
      <c r="B146" s="126" t="s">
        <v>139</v>
      </c>
      <c r="C146" s="162"/>
      <c r="D146" s="56"/>
      <c r="E146" s="56"/>
      <c r="F146" s="57"/>
      <c r="G146" s="104"/>
      <c r="H146" s="624"/>
      <c r="J146" s="103" t="s">
        <v>73</v>
      </c>
      <c r="K146" s="103" t="s">
        <v>72</v>
      </c>
      <c r="L146" s="103">
        <v>1</v>
      </c>
      <c r="M146" s="103">
        <v>2</v>
      </c>
      <c r="N146" s="103">
        <v>3</v>
      </c>
      <c r="O146" s="103">
        <v>4</v>
      </c>
      <c r="P146" s="103">
        <v>4</v>
      </c>
      <c r="Q146" s="52"/>
      <c r="R146" s="44"/>
    </row>
    <row r="147" spans="1:18" s="29" customFormat="1">
      <c r="A147" s="625" t="s">
        <v>228</v>
      </c>
      <c r="B147" s="386" t="s">
        <v>394</v>
      </c>
      <c r="C147" s="164" t="s">
        <v>55</v>
      </c>
      <c r="D147" s="820"/>
      <c r="E147" s="820"/>
      <c r="F147" s="949" t="str">
        <f>IF(D147&gt;9,D147/E147," ")</f>
        <v xml:space="preserve"> </v>
      </c>
      <c r="G147" s="949"/>
      <c r="H147" s="94">
        <f>IF(D147="",0,IF(D147&lt;9,2,IF((D147/E147)=0,2,IF((D147/E147)&lt;10%,1.5,IF((D147/E147)&lt;15%,1,IF((D147/E147)&lt;20%,0.5,0))))))</f>
        <v>0</v>
      </c>
      <c r="J147" s="103" t="s">
        <v>74</v>
      </c>
      <c r="K147" s="103" t="s">
        <v>72</v>
      </c>
      <c r="L147" s="103">
        <v>5</v>
      </c>
      <c r="M147" s="103">
        <v>15</v>
      </c>
      <c r="N147" s="103">
        <v>25</v>
      </c>
      <c r="O147" s="103">
        <v>35</v>
      </c>
      <c r="P147" s="103">
        <v>35</v>
      </c>
      <c r="Q147" s="52"/>
      <c r="R147" s="44"/>
    </row>
    <row r="148" spans="1:18" s="29" customFormat="1">
      <c r="A148" s="625" t="s">
        <v>229</v>
      </c>
      <c r="B148" s="386" t="s">
        <v>395</v>
      </c>
      <c r="C148" s="164" t="s">
        <v>56</v>
      </c>
      <c r="D148" s="820"/>
      <c r="E148" s="820"/>
      <c r="F148" s="950"/>
      <c r="G148" s="950"/>
      <c r="H148" s="94">
        <f>IF(E147="",0,IF(E147&lt;15,HLOOKUP(F148,J145:P152,4,FALSE),IF(E147&lt;45,HLOOKUP(F148,J145:P152,5,FALSE),IF(E147&lt;90,HLOOKUP(F148,J145:P152,6,FALSE),IF(E147&lt;135,HLOOKUP(F148,J145:P152,7,FALSE),IF(E147&gt;=135,HLOOKUP(F148,J145:P152,8,FALSE),3))))))</f>
        <v>0</v>
      </c>
      <c r="I148" s="54"/>
      <c r="J148" s="103" t="s">
        <v>75</v>
      </c>
      <c r="K148" s="103">
        <v>3</v>
      </c>
      <c r="L148" s="103">
        <v>3</v>
      </c>
      <c r="M148" s="103">
        <v>3</v>
      </c>
      <c r="N148" s="103">
        <v>2.5</v>
      </c>
      <c r="O148" s="103">
        <v>1.5</v>
      </c>
      <c r="P148" s="103">
        <v>0</v>
      </c>
      <c r="Q148" s="52"/>
      <c r="R148" s="44"/>
    </row>
    <row r="149" spans="1:18" s="29" customFormat="1">
      <c r="A149" s="592"/>
      <c r="B149" s="307"/>
      <c r="C149" s="314"/>
      <c r="D149" s="319"/>
      <c r="E149" s="319"/>
      <c r="F149" s="319"/>
      <c r="G149" s="319"/>
      <c r="H149" s="626"/>
      <c r="I149" s="54"/>
      <c r="J149" s="103" t="s">
        <v>76</v>
      </c>
      <c r="K149" s="103">
        <v>3</v>
      </c>
      <c r="L149" s="103">
        <v>3</v>
      </c>
      <c r="M149" s="103">
        <v>2.5</v>
      </c>
      <c r="N149" s="103">
        <v>1.5</v>
      </c>
      <c r="O149" s="103">
        <v>1</v>
      </c>
      <c r="P149" s="103">
        <v>0</v>
      </c>
      <c r="Q149" s="52"/>
      <c r="R149" s="44"/>
    </row>
    <row r="150" spans="1:18" s="29" customFormat="1" ht="15.6">
      <c r="A150" s="592"/>
      <c r="B150" s="320"/>
      <c r="C150" s="314"/>
      <c r="D150" s="314"/>
      <c r="E150" s="314"/>
      <c r="F150" s="305"/>
      <c r="G150" s="321"/>
      <c r="H150" s="627"/>
      <c r="I150" s="54"/>
      <c r="J150" s="103" t="s">
        <v>77</v>
      </c>
      <c r="K150" s="103">
        <v>3</v>
      </c>
      <c r="L150" s="103">
        <v>2.5</v>
      </c>
      <c r="M150" s="103">
        <v>1.5</v>
      </c>
      <c r="N150" s="103">
        <v>1</v>
      </c>
      <c r="O150" s="103">
        <v>0</v>
      </c>
      <c r="P150" s="103">
        <v>0</v>
      </c>
      <c r="Q150" s="52"/>
      <c r="R150" s="44"/>
    </row>
    <row r="151" spans="1:18" s="29" customFormat="1" ht="15.75" customHeight="1">
      <c r="A151" s="972" t="s">
        <v>0</v>
      </c>
      <c r="B151" s="973"/>
      <c r="C151" s="888"/>
      <c r="D151" s="974" t="s">
        <v>4</v>
      </c>
      <c r="E151" s="951" t="s">
        <v>1</v>
      </c>
      <c r="F151" s="952"/>
      <c r="G151" s="953" t="s">
        <v>21</v>
      </c>
      <c r="H151" s="947" t="s">
        <v>62</v>
      </c>
      <c r="I151" s="54"/>
      <c r="J151" s="103" t="s">
        <v>78</v>
      </c>
      <c r="K151" s="103">
        <v>3</v>
      </c>
      <c r="L151" s="103">
        <v>1.5</v>
      </c>
      <c r="M151" s="103">
        <v>1</v>
      </c>
      <c r="N151" s="103">
        <v>0</v>
      </c>
      <c r="O151" s="103">
        <v>0</v>
      </c>
      <c r="P151" s="103">
        <v>0</v>
      </c>
      <c r="Q151" s="52"/>
      <c r="R151" s="44"/>
    </row>
    <row r="152" spans="1:18" s="29" customFormat="1" ht="30" customHeight="1">
      <c r="A152" s="867"/>
      <c r="B152" s="868"/>
      <c r="C152" s="870"/>
      <c r="D152" s="952"/>
      <c r="E152" s="550" t="s">
        <v>64</v>
      </c>
      <c r="F152" s="550" t="s">
        <v>65</v>
      </c>
      <c r="G152" s="954"/>
      <c r="H152" s="948"/>
      <c r="I152" s="54"/>
      <c r="J152" s="103" t="s">
        <v>79</v>
      </c>
      <c r="K152" s="103">
        <v>3</v>
      </c>
      <c r="L152" s="103">
        <v>1</v>
      </c>
      <c r="M152" s="103">
        <v>0</v>
      </c>
      <c r="N152" s="103">
        <v>0</v>
      </c>
      <c r="O152" s="103">
        <v>0</v>
      </c>
      <c r="P152" s="103">
        <v>0</v>
      </c>
      <c r="Q152" s="52"/>
      <c r="R152" s="44"/>
    </row>
    <row r="153" spans="1:18" s="29" customFormat="1" ht="15.6">
      <c r="A153" s="105" t="s">
        <v>230</v>
      </c>
      <c r="B153" s="105" t="s">
        <v>516</v>
      </c>
      <c r="C153" s="106"/>
      <c r="D153" s="106"/>
      <c r="E153" s="106"/>
      <c r="F153" s="110"/>
      <c r="G153" s="111"/>
      <c r="H153" s="628"/>
      <c r="J153" s="103" t="s">
        <v>73</v>
      </c>
      <c r="K153" s="103" t="s">
        <v>72</v>
      </c>
      <c r="L153" s="103">
        <v>1</v>
      </c>
      <c r="M153" s="103">
        <v>2</v>
      </c>
      <c r="N153" s="103">
        <v>3</v>
      </c>
      <c r="O153" s="103">
        <v>4</v>
      </c>
      <c r="P153" s="103">
        <v>4</v>
      </c>
      <c r="Q153" s="52"/>
      <c r="R153" s="44"/>
    </row>
    <row r="154" spans="1:18" s="29" customFormat="1" ht="15.6">
      <c r="A154" s="149" t="s">
        <v>231</v>
      </c>
      <c r="B154" s="149" t="s">
        <v>517</v>
      </c>
      <c r="C154" s="150"/>
      <c r="D154" s="151"/>
      <c r="E154" s="152"/>
      <c r="F154" s="152"/>
      <c r="G154" s="153"/>
      <c r="H154" s="629"/>
      <c r="I154" s="54"/>
      <c r="Q154" s="52"/>
      <c r="R154" s="44"/>
    </row>
    <row r="155" spans="1:18" s="29" customFormat="1">
      <c r="A155" s="630" t="s">
        <v>232</v>
      </c>
      <c r="B155" s="825" t="s">
        <v>612</v>
      </c>
      <c r="C155" s="827"/>
      <c r="D155" s="522" t="s">
        <v>50</v>
      </c>
      <c r="E155" s="523">
        <v>2</v>
      </c>
      <c r="F155" s="523">
        <v>3</v>
      </c>
      <c r="G155" s="27"/>
      <c r="H155" s="434">
        <f t="shared" ref="H155:H166" si="3">IF(G155&gt;=80%,F155,IF(G155&lt;65%,0,E155))</f>
        <v>0</v>
      </c>
      <c r="Q155" s="52"/>
      <c r="R155" s="44"/>
    </row>
    <row r="156" spans="1:18" s="29" customFormat="1">
      <c r="A156" s="630" t="s">
        <v>233</v>
      </c>
      <c r="B156" s="917" t="s">
        <v>613</v>
      </c>
      <c r="C156" s="843"/>
      <c r="D156" s="483" t="s">
        <v>50</v>
      </c>
      <c r="E156" s="434">
        <v>2</v>
      </c>
      <c r="F156" s="434">
        <v>3</v>
      </c>
      <c r="G156" s="553"/>
      <c r="H156" s="434">
        <f>IF(G156&gt;=80%,F156,IF(G156&lt;65%,0,E156))</f>
        <v>0</v>
      </c>
      <c r="Q156" s="52"/>
      <c r="R156" s="44"/>
    </row>
    <row r="157" spans="1:18" s="29" customFormat="1">
      <c r="A157" s="631" t="s">
        <v>234</v>
      </c>
      <c r="B157" s="917" t="s">
        <v>563</v>
      </c>
      <c r="C157" s="843"/>
      <c r="D157" s="524" t="s">
        <v>50</v>
      </c>
      <c r="E157" s="554">
        <v>2</v>
      </c>
      <c r="F157" s="434">
        <v>2.5</v>
      </c>
      <c r="G157" s="551"/>
      <c r="H157" s="434">
        <f t="shared" ref="H157" si="4">IF(G157&gt;=80%,F157,IF(G157&lt;65%,0,E157))</f>
        <v>0</v>
      </c>
      <c r="Q157" s="52"/>
      <c r="R157" s="44"/>
    </row>
    <row r="158" spans="1:18" s="29" customFormat="1">
      <c r="A158" s="631" t="s">
        <v>235</v>
      </c>
      <c r="B158" s="917" t="s">
        <v>623</v>
      </c>
      <c r="C158" s="843"/>
      <c r="D158" s="524" t="s">
        <v>50</v>
      </c>
      <c r="E158" s="554">
        <v>2</v>
      </c>
      <c r="F158" s="434">
        <v>2.5</v>
      </c>
      <c r="G158" s="551"/>
      <c r="H158" s="434">
        <f>IF(G158&gt;=80%,F158,IF(G158&lt;65%,0,E158))</f>
        <v>0</v>
      </c>
      <c r="Q158" s="52"/>
      <c r="R158" s="44"/>
    </row>
    <row r="159" spans="1:18" s="29" customFormat="1">
      <c r="A159" s="630" t="s">
        <v>371</v>
      </c>
      <c r="B159" s="875" t="s">
        <v>379</v>
      </c>
      <c r="C159" s="876"/>
      <c r="D159" s="530" t="s">
        <v>50</v>
      </c>
      <c r="E159" s="523">
        <v>2</v>
      </c>
      <c r="F159" s="523">
        <v>2.5</v>
      </c>
      <c r="G159" s="529"/>
      <c r="H159" s="434">
        <f>IF(G159&gt;=80%,F159,IF(G159&lt;65%,0,E159))</f>
        <v>0</v>
      </c>
      <c r="Q159" s="52"/>
      <c r="R159" s="44"/>
    </row>
    <row r="160" spans="1:18" s="29" customFormat="1" ht="30">
      <c r="A160" s="871" t="s">
        <v>519</v>
      </c>
      <c r="B160" s="873" t="s">
        <v>397</v>
      </c>
      <c r="C160" s="940"/>
      <c r="D160" s="524" t="s">
        <v>402</v>
      </c>
      <c r="E160" s="964">
        <v>2.5</v>
      </c>
      <c r="F160" s="965"/>
      <c r="G160" s="933"/>
      <c r="H160" s="931">
        <f>IF(G160&gt;=35,E161,IF(G160&gt;=30,E160,0))</f>
        <v>0</v>
      </c>
      <c r="Q160" s="52"/>
      <c r="R160" s="44"/>
    </row>
    <row r="161" spans="1:18" s="29" customFormat="1" ht="30">
      <c r="A161" s="872"/>
      <c r="B161" s="941"/>
      <c r="C161" s="942"/>
      <c r="D161" s="524" t="s">
        <v>396</v>
      </c>
      <c r="E161" s="964">
        <v>3</v>
      </c>
      <c r="F161" s="965"/>
      <c r="G161" s="934"/>
      <c r="H161" s="932"/>
      <c r="Q161" s="52"/>
      <c r="R161" s="44"/>
    </row>
    <row r="162" spans="1:18" s="29" customFormat="1" ht="31.5" customHeight="1">
      <c r="A162" s="871" t="s">
        <v>520</v>
      </c>
      <c r="B162" s="873" t="s">
        <v>398</v>
      </c>
      <c r="C162" s="874"/>
      <c r="D162" s="524" t="s">
        <v>333</v>
      </c>
      <c r="E162" s="962">
        <v>4</v>
      </c>
      <c r="F162" s="963"/>
      <c r="G162" s="933"/>
      <c r="H162" s="931">
        <f>IF(G162&gt;=80,E162,IF(G162&gt;=70,E163,IF(G162&gt;=60,E164,IF(G162&gt;=50,E165,0))))</f>
        <v>0</v>
      </c>
      <c r="Q162" s="52"/>
      <c r="R162" s="44"/>
    </row>
    <row r="163" spans="1:18" s="29" customFormat="1" ht="31.5" customHeight="1">
      <c r="A163" s="975"/>
      <c r="B163" s="929"/>
      <c r="C163" s="930"/>
      <c r="D163" s="524" t="s">
        <v>334</v>
      </c>
      <c r="E163" s="962">
        <v>3</v>
      </c>
      <c r="F163" s="963"/>
      <c r="G163" s="935"/>
      <c r="H163" s="936"/>
      <c r="Q163" s="52"/>
      <c r="R163" s="44"/>
    </row>
    <row r="164" spans="1:18" s="29" customFormat="1" ht="31.5" customHeight="1">
      <c r="A164" s="975"/>
      <c r="B164" s="929"/>
      <c r="C164" s="930"/>
      <c r="D164" s="524" t="s">
        <v>368</v>
      </c>
      <c r="E164" s="962">
        <v>2</v>
      </c>
      <c r="F164" s="963"/>
      <c r="G164" s="935"/>
      <c r="H164" s="936"/>
      <c r="Q164" s="52"/>
      <c r="R164" s="44"/>
    </row>
    <row r="165" spans="1:18" s="29" customFormat="1" ht="31.5" customHeight="1">
      <c r="A165" s="872"/>
      <c r="B165" s="875"/>
      <c r="C165" s="876"/>
      <c r="D165" s="524" t="s">
        <v>369</v>
      </c>
      <c r="E165" s="962">
        <v>1</v>
      </c>
      <c r="F165" s="963"/>
      <c r="G165" s="934"/>
      <c r="H165" s="932"/>
      <c r="Q165" s="52"/>
      <c r="R165" s="44"/>
    </row>
    <row r="166" spans="1:18" s="29" customFormat="1" ht="31.5" customHeight="1">
      <c r="A166" s="871" t="s">
        <v>643</v>
      </c>
      <c r="B166" s="873" t="s">
        <v>614</v>
      </c>
      <c r="C166" s="874"/>
      <c r="D166" s="524" t="s">
        <v>66</v>
      </c>
      <c r="E166" s="525">
        <v>3.5</v>
      </c>
      <c r="F166" s="525">
        <v>4</v>
      </c>
      <c r="G166" s="27"/>
      <c r="H166" s="434">
        <f t="shared" si="3"/>
        <v>0</v>
      </c>
      <c r="Q166" s="52"/>
      <c r="R166" s="44"/>
    </row>
    <row r="167" spans="1:18" s="29" customFormat="1" ht="30">
      <c r="A167" s="872"/>
      <c r="B167" s="875"/>
      <c r="C167" s="876"/>
      <c r="D167" s="524" t="s">
        <v>67</v>
      </c>
      <c r="E167" s="525" t="s">
        <v>49</v>
      </c>
      <c r="F167" s="525">
        <v>3</v>
      </c>
      <c r="G167" s="27"/>
      <c r="H167" s="434">
        <f>IF(G167&gt;=80%,F167,0)</f>
        <v>0</v>
      </c>
      <c r="Q167" s="52"/>
      <c r="R167" s="44"/>
    </row>
    <row r="168" spans="1:18" s="29" customFormat="1" ht="15.6">
      <c r="A168" s="82">
        <v>14</v>
      </c>
      <c r="B168" s="470" t="s">
        <v>515</v>
      </c>
      <c r="C168" s="89"/>
      <c r="D168" s="151"/>
      <c r="E168" s="152"/>
      <c r="F168" s="152"/>
      <c r="G168" s="153"/>
      <c r="H168" s="629"/>
      <c r="Q168" s="52"/>
      <c r="R168" s="44"/>
    </row>
    <row r="169" spans="1:18" s="29" customFormat="1" ht="31.95" customHeight="1">
      <c r="A169" s="630" t="s">
        <v>236</v>
      </c>
      <c r="B169" s="875" t="s">
        <v>648</v>
      </c>
      <c r="C169" s="876"/>
      <c r="D169" s="527" t="s">
        <v>50</v>
      </c>
      <c r="E169" s="528">
        <v>2</v>
      </c>
      <c r="F169" s="528">
        <v>2.5</v>
      </c>
      <c r="G169" s="529"/>
      <c r="H169" s="9">
        <f>IF(G169&gt;=80%,F169,IF(G169&lt;65%,0,E169))</f>
        <v>0</v>
      </c>
      <c r="Q169" s="52"/>
      <c r="R169" s="44"/>
    </row>
    <row r="170" spans="1:18" s="29" customFormat="1">
      <c r="A170" s="630" t="s">
        <v>237</v>
      </c>
      <c r="B170" s="875" t="s">
        <v>615</v>
      </c>
      <c r="C170" s="876"/>
      <c r="D170" s="530" t="s">
        <v>50</v>
      </c>
      <c r="E170" s="523" t="s">
        <v>49</v>
      </c>
      <c r="F170" s="523">
        <v>2.5</v>
      </c>
      <c r="G170" s="526">
        <f>F23</f>
        <v>0</v>
      </c>
      <c r="H170" s="434">
        <f>IF(G170&gt;=80%,F170,0)</f>
        <v>0</v>
      </c>
      <c r="Q170" s="52"/>
      <c r="R170" s="44"/>
    </row>
    <row r="171" spans="1:18" s="29" customFormat="1" ht="32.25" customHeight="1">
      <c r="A171" s="630" t="s">
        <v>378</v>
      </c>
      <c r="B171" s="875" t="s">
        <v>617</v>
      </c>
      <c r="C171" s="876"/>
      <c r="D171" s="530" t="s">
        <v>50</v>
      </c>
      <c r="E171" s="523">
        <v>2</v>
      </c>
      <c r="F171" s="523">
        <v>3</v>
      </c>
      <c r="G171" s="529"/>
      <c r="H171" s="434">
        <f>IF(G171&gt;=80%,F171,IF(G171&lt;65%,0,E171))</f>
        <v>0</v>
      </c>
      <c r="Q171" s="52"/>
      <c r="R171" s="44"/>
    </row>
    <row r="172" spans="1:18" s="29" customFormat="1" ht="30" customHeight="1">
      <c r="A172" s="632" t="s">
        <v>521</v>
      </c>
      <c r="B172" s="825" t="s">
        <v>616</v>
      </c>
      <c r="C172" s="827"/>
      <c r="D172" s="420" t="s">
        <v>50</v>
      </c>
      <c r="E172" s="434">
        <v>2</v>
      </c>
      <c r="F172" s="434">
        <v>2.5</v>
      </c>
      <c r="G172" s="30"/>
      <c r="H172" s="434">
        <f>IF(G172&gt;=80%,F172,IF(G172&lt;65%,0,E172))</f>
        <v>0</v>
      </c>
      <c r="Q172" s="52"/>
      <c r="R172" s="44"/>
    </row>
    <row r="173" spans="1:18" s="29" customFormat="1" ht="15.6">
      <c r="A173" s="82">
        <v>15</v>
      </c>
      <c r="B173" s="82" t="s">
        <v>259</v>
      </c>
      <c r="C173" s="89"/>
      <c r="D173" s="151"/>
      <c r="E173" s="152"/>
      <c r="F173" s="152"/>
      <c r="G173" s="153"/>
      <c r="H173" s="629"/>
      <c r="Q173" s="52"/>
      <c r="R173" s="44"/>
    </row>
    <row r="174" spans="1:18" s="29" customFormat="1">
      <c r="A174" s="877" t="s">
        <v>238</v>
      </c>
      <c r="B174" s="879" t="s">
        <v>275</v>
      </c>
      <c r="C174" s="880"/>
      <c r="D174" s="943" t="s">
        <v>50</v>
      </c>
      <c r="E174" s="828">
        <v>2.5</v>
      </c>
      <c r="F174" s="828">
        <v>4</v>
      </c>
      <c r="G174" s="957"/>
      <c r="H174" s="828">
        <f>IF(G174&gt;=80%,F174,IF(G174&lt;65%,0,E174))</f>
        <v>0</v>
      </c>
      <c r="Q174" s="52"/>
      <c r="R174" s="44"/>
    </row>
    <row r="175" spans="1:18" s="29" customFormat="1" ht="15.6">
      <c r="A175" s="878"/>
      <c r="B175" s="810" t="s">
        <v>276</v>
      </c>
      <c r="C175" s="810"/>
      <c r="D175" s="944"/>
      <c r="E175" s="829"/>
      <c r="F175" s="829"/>
      <c r="G175" s="958"/>
      <c r="H175" s="829"/>
      <c r="Q175" s="52"/>
      <c r="R175" s="44"/>
    </row>
    <row r="176" spans="1:18" s="29" customFormat="1">
      <c r="A176" s="877" t="s">
        <v>239</v>
      </c>
      <c r="B176" s="858" t="s">
        <v>137</v>
      </c>
      <c r="C176" s="840"/>
      <c r="D176" s="937" t="s">
        <v>50</v>
      </c>
      <c r="E176" s="938">
        <v>2.5</v>
      </c>
      <c r="F176" s="938">
        <v>4</v>
      </c>
      <c r="G176" s="961"/>
      <c r="H176" s="811">
        <f>IF(G176&gt;=80%,F176,IF(G176&lt;65%,0,E176))</f>
        <v>0</v>
      </c>
      <c r="Q176" s="52"/>
      <c r="R176" s="44"/>
    </row>
    <row r="177" spans="1:18" s="29" customFormat="1" ht="15.6">
      <c r="A177" s="878"/>
      <c r="B177" s="810" t="s">
        <v>119</v>
      </c>
      <c r="C177" s="810"/>
      <c r="D177" s="937"/>
      <c r="E177" s="938"/>
      <c r="F177" s="938"/>
      <c r="G177" s="961"/>
      <c r="H177" s="811"/>
      <c r="Q177" s="52"/>
      <c r="R177" s="44"/>
    </row>
    <row r="178" spans="1:18" s="29" customFormat="1" ht="15.6">
      <c r="A178" s="102">
        <v>16</v>
      </c>
      <c r="B178" s="102" t="s">
        <v>202</v>
      </c>
      <c r="C178" s="89"/>
      <c r="D178" s="89"/>
      <c r="E178" s="91"/>
      <c r="F178" s="91"/>
      <c r="G178" s="92"/>
      <c r="H178" s="614"/>
      <c r="Q178" s="59"/>
      <c r="R178" s="44"/>
    </row>
    <row r="179" spans="1:18" s="29" customFormat="1">
      <c r="A179" s="598" t="s">
        <v>241</v>
      </c>
      <c r="B179" s="765"/>
      <c r="C179" s="766"/>
      <c r="D179" s="107"/>
      <c r="E179" s="538"/>
      <c r="F179" s="538"/>
      <c r="G179" s="65"/>
      <c r="H179" s="633">
        <f>IF(G179&gt;=80%,F179,IF(G179&lt;65%,0,E179))</f>
        <v>0</v>
      </c>
      <c r="Q179" s="52"/>
      <c r="R179" s="44"/>
    </row>
    <row r="180" spans="1:18" s="29" customFormat="1">
      <c r="A180" s="598" t="s">
        <v>242</v>
      </c>
      <c r="B180" s="765"/>
      <c r="C180" s="766"/>
      <c r="D180" s="107"/>
      <c r="E180" s="538"/>
      <c r="F180" s="538"/>
      <c r="G180" s="65"/>
      <c r="H180" s="633">
        <f>IF(G180&gt;=80%,F180,IF(G180&lt;65%,0,E180))</f>
        <v>0</v>
      </c>
      <c r="Q180" s="52"/>
      <c r="R180" s="44"/>
    </row>
    <row r="181" spans="1:18" s="29" customFormat="1">
      <c r="A181" s="598" t="s">
        <v>243</v>
      </c>
      <c r="B181" s="765"/>
      <c r="C181" s="766"/>
      <c r="D181" s="107"/>
      <c r="E181" s="538"/>
      <c r="F181" s="538"/>
      <c r="G181" s="65"/>
      <c r="H181" s="633">
        <f>IF(G181&gt;=80%,F181,IF(G181&lt;65%,0,E181))</f>
        <v>0</v>
      </c>
      <c r="Q181" s="52"/>
      <c r="R181" s="44"/>
    </row>
    <row r="182" spans="1:18" s="29" customFormat="1" ht="15.6">
      <c r="A182" s="604"/>
      <c r="B182" s="307"/>
      <c r="C182" s="305"/>
      <c r="D182" s="305"/>
      <c r="E182" s="305"/>
      <c r="F182" s="309"/>
      <c r="G182" s="310" t="s">
        <v>376</v>
      </c>
      <c r="H182" s="634">
        <f>IFERROR((SUM(H147:H181)),0)</f>
        <v>0</v>
      </c>
      <c r="Q182" s="52"/>
      <c r="R182" s="44"/>
    </row>
    <row r="183" spans="1:18" s="29" customFormat="1" ht="15.6" thickBot="1">
      <c r="A183" s="594"/>
      <c r="B183" s="361"/>
      <c r="C183" s="362"/>
      <c r="D183" s="362"/>
      <c r="E183" s="362"/>
      <c r="F183" s="362"/>
      <c r="G183" s="354"/>
      <c r="H183" s="595"/>
      <c r="Q183" s="52"/>
      <c r="R183" s="44"/>
    </row>
    <row r="184" spans="1:18" s="29" customFormat="1" ht="30.75" customHeight="1">
      <c r="A184" s="865" t="s">
        <v>0</v>
      </c>
      <c r="B184" s="866"/>
      <c r="C184" s="869"/>
      <c r="D184" s="856" t="s">
        <v>4</v>
      </c>
      <c r="E184" s="959" t="s">
        <v>1</v>
      </c>
      <c r="F184" s="960"/>
      <c r="G184" s="955" t="s">
        <v>21</v>
      </c>
      <c r="H184" s="856" t="s">
        <v>62</v>
      </c>
      <c r="Q184" s="52"/>
      <c r="R184" s="44"/>
    </row>
    <row r="185" spans="1:18" s="29" customFormat="1" ht="15.6">
      <c r="A185" s="867"/>
      <c r="B185" s="868"/>
      <c r="C185" s="870"/>
      <c r="D185" s="857"/>
      <c r="E185" s="550" t="s">
        <v>120</v>
      </c>
      <c r="F185" s="550" t="s">
        <v>121</v>
      </c>
      <c r="G185" s="956"/>
      <c r="H185" s="857"/>
      <c r="Q185" s="52"/>
      <c r="R185" s="44"/>
    </row>
    <row r="186" spans="1:18" s="29" customFormat="1" ht="15.6">
      <c r="A186" s="126" t="s">
        <v>240</v>
      </c>
      <c r="B186" s="105" t="s">
        <v>244</v>
      </c>
      <c r="C186" s="106"/>
      <c r="D186" s="106"/>
      <c r="E186" s="106"/>
      <c r="F186" s="110"/>
      <c r="G186" s="111"/>
      <c r="H186" s="628"/>
      <c r="Q186" s="52"/>
      <c r="R186" s="44"/>
    </row>
    <row r="187" spans="1:18" s="29" customFormat="1">
      <c r="A187" s="625" t="s">
        <v>277</v>
      </c>
      <c r="B187" s="858" t="s">
        <v>245</v>
      </c>
      <c r="C187" s="859"/>
      <c r="D187" s="5" t="s">
        <v>50</v>
      </c>
      <c r="E187" s="20">
        <v>-1</v>
      </c>
      <c r="F187" s="20">
        <v>-2</v>
      </c>
      <c r="G187" s="28"/>
      <c r="H187" s="20">
        <f>IF(G187&gt;=30%,F187,IF(G187=0%,0,E187))</f>
        <v>0</v>
      </c>
      <c r="Q187" s="52"/>
      <c r="R187" s="44"/>
    </row>
    <row r="188" spans="1:18" s="29" customFormat="1">
      <c r="A188" s="625" t="s">
        <v>278</v>
      </c>
      <c r="B188" s="858" t="s">
        <v>246</v>
      </c>
      <c r="C188" s="859"/>
      <c r="D188" s="5" t="s">
        <v>50</v>
      </c>
      <c r="E188" s="20">
        <v>-1</v>
      </c>
      <c r="F188" s="20">
        <v>-1.5</v>
      </c>
      <c r="G188" s="28"/>
      <c r="H188" s="20">
        <f>IF(G188&gt;=30%,F188,IF(G188=0%,0,E188))</f>
        <v>0</v>
      </c>
      <c r="Q188" s="52"/>
      <c r="R188" s="44"/>
    </row>
    <row r="189" spans="1:18" s="29" customFormat="1">
      <c r="A189" s="625" t="s">
        <v>279</v>
      </c>
      <c r="B189" s="858" t="s">
        <v>247</v>
      </c>
      <c r="C189" s="859"/>
      <c r="D189" s="5" t="s">
        <v>50</v>
      </c>
      <c r="E189" s="811">
        <v>-1</v>
      </c>
      <c r="F189" s="811"/>
      <c r="G189" s="553"/>
      <c r="H189" s="20">
        <f>IF(G189&gt;0%,E189,0)</f>
        <v>0</v>
      </c>
      <c r="Q189" s="52"/>
      <c r="R189" s="44"/>
    </row>
    <row r="190" spans="1:18" s="29" customFormat="1" ht="15.6">
      <c r="A190" s="604"/>
      <c r="B190" s="307"/>
      <c r="C190" s="305"/>
      <c r="D190" s="305"/>
      <c r="E190" s="305"/>
      <c r="F190" s="309"/>
      <c r="G190" s="310" t="s">
        <v>133</v>
      </c>
      <c r="H190" s="634">
        <f>IFERROR(MAX(SUM(H187:H189),-4),0)</f>
        <v>0</v>
      </c>
      <c r="Q190" s="44"/>
      <c r="R190" s="44"/>
    </row>
    <row r="191" spans="1:18" s="29" customFormat="1">
      <c r="A191" s="592"/>
      <c r="B191" s="307"/>
      <c r="C191" s="305"/>
      <c r="D191" s="305"/>
      <c r="E191" s="305"/>
      <c r="F191" s="305"/>
      <c r="G191" s="314"/>
      <c r="H191" s="571"/>
      <c r="Q191" s="52"/>
      <c r="R191" s="44"/>
    </row>
    <row r="192" spans="1:18" s="29" customFormat="1" ht="15.6">
      <c r="A192" s="592"/>
      <c r="B192" s="307"/>
      <c r="C192" s="305"/>
      <c r="D192" s="305"/>
      <c r="E192" s="305"/>
      <c r="F192" s="305"/>
      <c r="G192" s="312" t="s">
        <v>132</v>
      </c>
      <c r="H192" s="154">
        <f>IFERROR(MIN(SUM(H120+H143+H182+H190),G91),0)</f>
        <v>0</v>
      </c>
      <c r="Q192" s="52"/>
      <c r="R192" s="44"/>
    </row>
    <row r="193" spans="1:18" s="29" customFormat="1" ht="16.2" thickBot="1">
      <c r="A193" s="594"/>
      <c r="B193" s="361"/>
      <c r="C193" s="362"/>
      <c r="D193" s="362"/>
      <c r="E193" s="362"/>
      <c r="F193" s="362"/>
      <c r="G193" s="363"/>
      <c r="H193" s="606"/>
      <c r="Q193" s="52"/>
      <c r="R193" s="44"/>
    </row>
    <row r="194" spans="1:18" s="29" customFormat="1" ht="15.6">
      <c r="A194" s="635" t="s">
        <v>63</v>
      </c>
      <c r="B194" s="355"/>
      <c r="C194" s="355"/>
      <c r="D194" s="355"/>
      <c r="E194" s="355"/>
      <c r="F194" s="356" t="s">
        <v>42</v>
      </c>
      <c r="G194" s="357">
        <f>VLOOKUP($A$7,'Manpower allocation'!A4:D11,4,FALSE)*100</f>
        <v>15</v>
      </c>
      <c r="H194" s="636" t="s">
        <v>41</v>
      </c>
      <c r="I194" s="108">
        <f>VLOOKUP($A$7,'Manpower allocation'!A4:D11,4,FALSE)*100</f>
        <v>15</v>
      </c>
      <c r="Q194" s="52"/>
      <c r="R194" s="44"/>
    </row>
    <row r="195" spans="1:18" s="29" customFormat="1" ht="15.6">
      <c r="A195" s="592"/>
      <c r="B195" s="313"/>
      <c r="C195" s="305"/>
      <c r="D195" s="305"/>
      <c r="E195" s="305"/>
      <c r="F195" s="305"/>
      <c r="G195" s="314"/>
      <c r="H195" s="571"/>
      <c r="Q195" s="52"/>
      <c r="R195" s="44"/>
    </row>
    <row r="196" spans="1:18" s="29" customFormat="1" ht="46.8">
      <c r="A196" s="850" t="s">
        <v>0</v>
      </c>
      <c r="B196" s="851"/>
      <c r="C196" s="109"/>
      <c r="D196" s="545" t="s">
        <v>17</v>
      </c>
      <c r="E196" s="545" t="s">
        <v>124</v>
      </c>
      <c r="F196" s="545" t="s">
        <v>108</v>
      </c>
      <c r="G196" s="545" t="s">
        <v>18</v>
      </c>
      <c r="H196" s="545" t="s">
        <v>62</v>
      </c>
      <c r="Q196" s="52"/>
      <c r="R196" s="44"/>
    </row>
    <row r="197" spans="1:18" s="29" customFormat="1" ht="15.6">
      <c r="A197" s="105" t="s">
        <v>250</v>
      </c>
      <c r="B197" s="531" t="s">
        <v>618</v>
      </c>
      <c r="C197" s="106"/>
      <c r="D197" s="106"/>
      <c r="E197" s="106"/>
      <c r="F197" s="110"/>
      <c r="G197" s="111"/>
      <c r="H197" s="628"/>
      <c r="Q197" s="52"/>
      <c r="R197" s="44"/>
    </row>
    <row r="198" spans="1:18" s="29" customFormat="1" ht="15.6">
      <c r="A198" s="112">
        <v>1</v>
      </c>
      <c r="B198" s="112" t="s">
        <v>304</v>
      </c>
      <c r="C198" s="113"/>
      <c r="D198" s="114"/>
      <c r="E198" s="114"/>
      <c r="F198" s="114"/>
      <c r="G198" s="114"/>
      <c r="H198" s="637"/>
      <c r="Q198" s="52"/>
      <c r="R198" s="44"/>
    </row>
    <row r="199" spans="1:18" s="29" customFormat="1">
      <c r="A199" s="541">
        <v>1.1000000000000001</v>
      </c>
      <c r="B199" s="822" t="s">
        <v>271</v>
      </c>
      <c r="C199" s="824"/>
      <c r="D199" s="20">
        <f>VLOOKUP(A199,'Point Allocation'!$A$46:$J$55,MATCH(A7,'Point Allocation'!$A$46:$J$46,0),0)</f>
        <v>15</v>
      </c>
      <c r="E199" s="38"/>
      <c r="F199" s="38"/>
      <c r="G199" s="31">
        <f>MIN(IFERROR(F199/E199,0),100%)</f>
        <v>0</v>
      </c>
      <c r="H199" s="20">
        <f>D199*G199</f>
        <v>0</v>
      </c>
      <c r="Q199" s="52"/>
      <c r="R199" s="44"/>
    </row>
    <row r="200" spans="1:18" s="29" customFormat="1" ht="15.6">
      <c r="A200" s="115">
        <v>2</v>
      </c>
      <c r="B200" s="115" t="s">
        <v>305</v>
      </c>
      <c r="C200" s="116"/>
      <c r="D200" s="32"/>
      <c r="E200" s="33"/>
      <c r="F200" s="33"/>
      <c r="G200" s="34"/>
      <c r="H200" s="638"/>
      <c r="Q200" s="52"/>
      <c r="R200" s="44"/>
    </row>
    <row r="201" spans="1:18" s="29" customFormat="1" ht="33" customHeight="1">
      <c r="A201" s="544">
        <v>2.1</v>
      </c>
      <c r="B201" s="863" t="s">
        <v>251</v>
      </c>
      <c r="C201" s="864"/>
      <c r="D201" s="20">
        <f>VLOOKUP(A201,'Point Allocation'!$A$46:$J$55,MATCH(A7,'Point Allocation'!$A$46:$J$46,0),0)</f>
        <v>12</v>
      </c>
      <c r="E201" s="38"/>
      <c r="F201" s="38"/>
      <c r="G201" s="31">
        <f>MIN(IFERROR(F201/E201,0),100%)</f>
        <v>0</v>
      </c>
      <c r="H201" s="20">
        <f>D201*G201</f>
        <v>0</v>
      </c>
      <c r="Q201" s="52"/>
      <c r="R201" s="44"/>
    </row>
    <row r="202" spans="1:18" s="29" customFormat="1" ht="15.6">
      <c r="A202" s="112">
        <v>3</v>
      </c>
      <c r="B202" s="112" t="s">
        <v>309</v>
      </c>
      <c r="C202" s="117"/>
      <c r="D202" s="35"/>
      <c r="E202" s="35"/>
      <c r="F202" s="35"/>
      <c r="G202" s="34"/>
      <c r="H202" s="639"/>
      <c r="Q202" s="52"/>
      <c r="R202" s="44"/>
    </row>
    <row r="203" spans="1:18" s="29" customFormat="1">
      <c r="A203" s="540">
        <v>3.1</v>
      </c>
      <c r="B203" s="837" t="s">
        <v>400</v>
      </c>
      <c r="C203" s="838"/>
      <c r="D203" s="20">
        <f>VLOOKUP(A203,'Point Allocation'!$A$46:$J$55,MATCH(A7,'Point Allocation'!$A$46:$J$46,0),0)</f>
        <v>4</v>
      </c>
      <c r="E203" s="38"/>
      <c r="F203" s="38"/>
      <c r="G203" s="31">
        <f>MIN(IFERROR(F203/E203,0),100%)</f>
        <v>0</v>
      </c>
      <c r="H203" s="20">
        <f>D203*G203</f>
        <v>0</v>
      </c>
      <c r="Q203" s="52"/>
      <c r="R203" s="44"/>
    </row>
    <row r="204" spans="1:18" s="29" customFormat="1">
      <c r="A204" s="540">
        <v>3.2</v>
      </c>
      <c r="B204" s="837" t="s">
        <v>401</v>
      </c>
      <c r="C204" s="838"/>
      <c r="D204" s="20">
        <f>VLOOKUP(A204,'Point Allocation'!$A$46:$J$55,MATCH(A7,'Point Allocation'!$A$46:$J$46,0),0)</f>
        <v>4</v>
      </c>
      <c r="E204" s="165"/>
      <c r="F204" s="38"/>
      <c r="G204" s="31">
        <f>MIN(IFERROR(F204/E204,0),100%)</f>
        <v>0</v>
      </c>
      <c r="H204" s="20">
        <f>D204*G204</f>
        <v>0</v>
      </c>
      <c r="Q204" s="52"/>
      <c r="R204" s="44"/>
    </row>
    <row r="205" spans="1:18" s="29" customFormat="1">
      <c r="A205" s="543">
        <v>3.3</v>
      </c>
      <c r="B205" s="858" t="s">
        <v>161</v>
      </c>
      <c r="C205" s="859"/>
      <c r="D205" s="20">
        <f>VLOOKUP(A205,'Point Allocation'!$A$46:$J$55,MATCH(A7,'Point Allocation'!$A$46:$J$46,0),0)</f>
        <v>4</v>
      </c>
      <c r="E205" s="166"/>
      <c r="F205" s="537"/>
      <c r="G205" s="31">
        <f>MIN(IFERROR(F205/E205,0),100%)</f>
        <v>0</v>
      </c>
      <c r="H205" s="20">
        <f>D205*G205</f>
        <v>0</v>
      </c>
      <c r="Q205" s="52"/>
      <c r="R205" s="44"/>
    </row>
    <row r="206" spans="1:18" s="29" customFormat="1" ht="15.6">
      <c r="A206" s="592"/>
      <c r="B206" s="307"/>
      <c r="C206" s="305"/>
      <c r="D206" s="306" t="s">
        <v>6</v>
      </c>
      <c r="E206" s="283">
        <f>MAX(SUM(E199:E205),F206)</f>
        <v>0</v>
      </c>
      <c r="F206" s="283">
        <f>SUM(F199:F205)</f>
        <v>0</v>
      </c>
      <c r="G206" s="322">
        <f>IFERROR(MIN(F206/E206,100%),0)</f>
        <v>0</v>
      </c>
      <c r="H206" s="593">
        <f>IFERROR(SUM(H199:H205),0)</f>
        <v>0</v>
      </c>
      <c r="Q206" s="52"/>
      <c r="R206" s="44"/>
    </row>
    <row r="207" spans="1:18" s="29" customFormat="1" ht="15.6">
      <c r="A207" s="592"/>
      <c r="B207" s="320"/>
      <c r="C207" s="323"/>
      <c r="D207" s="324"/>
      <c r="E207" s="323"/>
      <c r="F207" s="323"/>
      <c r="G207" s="325"/>
      <c r="H207" s="317"/>
      <c r="Q207" s="52"/>
      <c r="R207" s="44"/>
    </row>
    <row r="208" spans="1:18" s="29" customFormat="1" ht="15.6">
      <c r="A208" s="850" t="s">
        <v>0</v>
      </c>
      <c r="B208" s="851"/>
      <c r="C208" s="860"/>
      <c r="D208" s="862" t="s">
        <v>4</v>
      </c>
      <c r="E208" s="862" t="s">
        <v>1</v>
      </c>
      <c r="F208" s="862"/>
      <c r="G208" s="881" t="s">
        <v>21</v>
      </c>
      <c r="H208" s="881" t="s">
        <v>62</v>
      </c>
      <c r="Q208" s="52"/>
      <c r="R208" s="44"/>
    </row>
    <row r="209" spans="1:18" s="29" customFormat="1" ht="30.75" customHeight="1">
      <c r="A209" s="852"/>
      <c r="B209" s="853"/>
      <c r="C209" s="861"/>
      <c r="D209" s="862"/>
      <c r="E209" s="545" t="s">
        <v>64</v>
      </c>
      <c r="F209" s="545" t="s">
        <v>65</v>
      </c>
      <c r="G209" s="881"/>
      <c r="H209" s="881"/>
      <c r="Q209" s="52"/>
      <c r="R209" s="44"/>
    </row>
    <row r="210" spans="1:18" s="29" customFormat="1" ht="15.6">
      <c r="A210" s="45" t="s">
        <v>253</v>
      </c>
      <c r="B210" s="45" t="s">
        <v>254</v>
      </c>
      <c r="C210" s="56"/>
      <c r="D210" s="56"/>
      <c r="E210" s="56"/>
      <c r="F210" s="57"/>
      <c r="G210" s="104"/>
      <c r="H210" s="624"/>
      <c r="Q210" s="52"/>
      <c r="R210" s="44"/>
    </row>
    <row r="211" spans="1:18" s="29" customFormat="1" ht="15.6">
      <c r="A211" s="118">
        <v>4</v>
      </c>
      <c r="B211" s="118" t="s">
        <v>307</v>
      </c>
      <c r="C211" s="116"/>
      <c r="D211" s="119"/>
      <c r="E211" s="120"/>
      <c r="F211" s="120"/>
      <c r="G211" s="121"/>
      <c r="H211" s="640"/>
      <c r="Q211" s="52"/>
      <c r="R211" s="44"/>
    </row>
    <row r="212" spans="1:18" s="29" customFormat="1">
      <c r="A212" s="541">
        <v>4.0999999999999996</v>
      </c>
      <c r="B212" s="822" t="s">
        <v>155</v>
      </c>
      <c r="C212" s="824"/>
      <c r="D212" s="5" t="s">
        <v>50</v>
      </c>
      <c r="E212" s="20" t="s">
        <v>49</v>
      </c>
      <c r="F212" s="20">
        <f>VLOOKUP(A212,'Point Allocation'!$A$46:$J$55,MATCH(A7,'Point Allocation'!$A$46:$J$46,0),0)</f>
        <v>1.5</v>
      </c>
      <c r="G212" s="553"/>
      <c r="H212" s="20">
        <f>IF(G212&gt;=80%,F212,0)</f>
        <v>0</v>
      </c>
      <c r="Q212" s="52"/>
      <c r="R212" s="44"/>
    </row>
    <row r="213" spans="1:18" s="29" customFormat="1">
      <c r="A213" s="541">
        <v>4.2</v>
      </c>
      <c r="B213" s="822" t="s">
        <v>152</v>
      </c>
      <c r="C213" s="824"/>
      <c r="D213" s="5" t="s">
        <v>50</v>
      </c>
      <c r="E213" s="20" t="s">
        <v>49</v>
      </c>
      <c r="F213" s="20">
        <f>VLOOKUP(A213,'Point Allocation'!$A$46:$J$55,MATCH(A7,'Point Allocation'!$A$46:$J$46,0),0)</f>
        <v>1.5</v>
      </c>
      <c r="G213" s="553"/>
      <c r="H213" s="20">
        <f>IF(G213&gt;=80%,F213,0)</f>
        <v>0</v>
      </c>
      <c r="Q213" s="52"/>
      <c r="R213" s="44"/>
    </row>
    <row r="214" spans="1:18" s="29" customFormat="1">
      <c r="A214" s="541">
        <v>4.3</v>
      </c>
      <c r="B214" s="822" t="s">
        <v>146</v>
      </c>
      <c r="C214" s="824"/>
      <c r="D214" s="5" t="s">
        <v>3</v>
      </c>
      <c r="E214" s="20" t="s">
        <v>49</v>
      </c>
      <c r="F214" s="20">
        <f>VLOOKUP(A214,'Point Allocation'!$A$46:$J$55,MATCH(A7,'Point Allocation'!$A$46:$J$46,0),0)</f>
        <v>1.5</v>
      </c>
      <c r="G214" s="553"/>
      <c r="H214" s="20">
        <f>IF(G214&gt;=80%,F214,0)</f>
        <v>0</v>
      </c>
      <c r="Q214" s="52"/>
      <c r="R214" s="44"/>
    </row>
    <row r="215" spans="1:18" s="29" customFormat="1">
      <c r="A215" s="542">
        <v>4.4000000000000004</v>
      </c>
      <c r="B215" s="848" t="s">
        <v>252</v>
      </c>
      <c r="C215" s="849"/>
      <c r="D215" s="5" t="s">
        <v>3</v>
      </c>
      <c r="E215" s="20" t="s">
        <v>49</v>
      </c>
      <c r="F215" s="20">
        <f>VLOOKUP(A215,'Point Allocation'!$A$46:$J$55,MATCH(A7,'Point Allocation'!$A$46:$J$46,0),0)</f>
        <v>1.5</v>
      </c>
      <c r="G215" s="553"/>
      <c r="H215" s="20">
        <f>IF(G215&gt;=80%,F215,0)</f>
        <v>0</v>
      </c>
      <c r="Q215" s="52"/>
      <c r="R215" s="44"/>
    </row>
    <row r="216" spans="1:18" s="29" customFormat="1" ht="15.6">
      <c r="A216" s="118">
        <v>5</v>
      </c>
      <c r="B216" s="118" t="s">
        <v>202</v>
      </c>
      <c r="C216" s="116"/>
      <c r="D216" s="122"/>
      <c r="E216" s="123"/>
      <c r="F216" s="123"/>
      <c r="G216" s="124"/>
      <c r="H216" s="641"/>
      <c r="Q216" s="52"/>
      <c r="R216" s="44"/>
    </row>
    <row r="217" spans="1:18" s="29" customFormat="1">
      <c r="A217" s="591">
        <v>5.0999999999999996</v>
      </c>
      <c r="B217" s="765"/>
      <c r="C217" s="847"/>
      <c r="D217" s="391"/>
      <c r="E217" s="537"/>
      <c r="F217" s="537"/>
      <c r="G217" s="553"/>
      <c r="H217" s="633">
        <f>IF(G217&gt;=80%,F217,IF(G217&lt;65%,0,E217))</f>
        <v>0</v>
      </c>
      <c r="Q217" s="52"/>
      <c r="R217" s="44"/>
    </row>
    <row r="218" spans="1:18" s="29" customFormat="1">
      <c r="A218" s="591">
        <v>5.2</v>
      </c>
      <c r="B218" s="765"/>
      <c r="C218" s="847"/>
      <c r="D218" s="391"/>
      <c r="E218" s="537"/>
      <c r="F218" s="537"/>
      <c r="G218" s="553"/>
      <c r="H218" s="633">
        <f>IF(G218&gt;=80%,F218,IF(G218&lt;65%,0,E218))</f>
        <v>0</v>
      </c>
      <c r="Q218" s="52"/>
      <c r="R218" s="44"/>
    </row>
    <row r="219" spans="1:18" s="29" customFormat="1">
      <c r="A219" s="591">
        <v>5.3</v>
      </c>
      <c r="B219" s="765"/>
      <c r="C219" s="847"/>
      <c r="D219" s="391"/>
      <c r="E219" s="537"/>
      <c r="F219" s="537"/>
      <c r="G219" s="553"/>
      <c r="H219" s="633">
        <f>IF(G219&gt;=80%,F219,IF(G219&lt;65%,0,E219))</f>
        <v>0</v>
      </c>
      <c r="Q219" s="52"/>
      <c r="R219" s="44"/>
    </row>
    <row r="220" spans="1:18" s="29" customFormat="1" ht="15.6">
      <c r="A220" s="592"/>
      <c r="B220" s="326"/>
      <c r="C220" s="326"/>
      <c r="D220" s="314"/>
      <c r="E220" s="314"/>
      <c r="F220" s="314"/>
      <c r="G220" s="312" t="s">
        <v>7</v>
      </c>
      <c r="H220" s="617">
        <f>IFERROR(SUM(H212:H215,H217:H219),0)</f>
        <v>0</v>
      </c>
      <c r="Q220" s="52"/>
      <c r="R220" s="44"/>
    </row>
    <row r="221" spans="1:18" s="29" customFormat="1">
      <c r="A221" s="592"/>
      <c r="B221" s="307"/>
      <c r="C221" s="305"/>
      <c r="D221" s="305"/>
      <c r="E221" s="305"/>
      <c r="F221" s="305"/>
      <c r="G221" s="314"/>
      <c r="H221" s="571"/>
      <c r="Q221" s="52"/>
      <c r="R221" s="44"/>
    </row>
    <row r="222" spans="1:18" s="29" customFormat="1" ht="15.6">
      <c r="A222" s="850" t="s">
        <v>0</v>
      </c>
      <c r="B222" s="851"/>
      <c r="C222" s="860"/>
      <c r="D222" s="881" t="s">
        <v>4</v>
      </c>
      <c r="E222" s="862" t="s">
        <v>1</v>
      </c>
      <c r="F222" s="862"/>
      <c r="G222" s="881" t="s">
        <v>21</v>
      </c>
      <c r="H222" s="881" t="s">
        <v>62</v>
      </c>
      <c r="Q222" s="52"/>
      <c r="R222" s="44"/>
    </row>
    <row r="223" spans="1:18" s="29" customFormat="1" ht="31.2">
      <c r="A223" s="852"/>
      <c r="B223" s="853"/>
      <c r="C223" s="861"/>
      <c r="D223" s="862"/>
      <c r="E223" s="545" t="s">
        <v>64</v>
      </c>
      <c r="F223" s="545" t="s">
        <v>65</v>
      </c>
      <c r="G223" s="881"/>
      <c r="H223" s="881"/>
      <c r="Q223" s="52"/>
      <c r="R223" s="44"/>
    </row>
    <row r="224" spans="1:18" s="29" customFormat="1" ht="15.6">
      <c r="A224" s="105" t="s">
        <v>255</v>
      </c>
      <c r="B224" s="105" t="s">
        <v>518</v>
      </c>
      <c r="C224" s="125"/>
      <c r="D224" s="126"/>
      <c r="E224" s="126"/>
      <c r="F224" s="127"/>
      <c r="G224" s="128"/>
      <c r="H224" s="127"/>
      <c r="Q224" s="52"/>
      <c r="R224" s="44"/>
    </row>
    <row r="225" spans="1:18" s="29" customFormat="1" ht="15.6">
      <c r="A225" s="625" t="s">
        <v>188</v>
      </c>
      <c r="B225" s="822" t="s">
        <v>256</v>
      </c>
      <c r="C225" s="824"/>
      <c r="D225" s="94" t="s">
        <v>2</v>
      </c>
      <c r="E225" s="94">
        <v>1</v>
      </c>
      <c r="F225" s="94">
        <v>2</v>
      </c>
      <c r="G225" s="65"/>
      <c r="H225" s="94">
        <f>IF(G225&gt;=80%,F225,IF(G225&lt;65%,0,E225))</f>
        <v>0</v>
      </c>
      <c r="J225" s="131"/>
      <c r="Q225" s="52"/>
      <c r="R225" s="44"/>
    </row>
    <row r="226" spans="1:18" s="29" customFormat="1">
      <c r="A226" s="575" t="s">
        <v>189</v>
      </c>
      <c r="B226" s="825" t="s">
        <v>619</v>
      </c>
      <c r="C226" s="827"/>
      <c r="D226" s="94" t="s">
        <v>50</v>
      </c>
      <c r="E226" s="94">
        <v>0.5</v>
      </c>
      <c r="F226" s="94">
        <v>1</v>
      </c>
      <c r="G226" s="65"/>
      <c r="H226" s="94">
        <f>IF(G226&gt;=80%,F226,IF(G226&lt;65%,0,E226))</f>
        <v>0</v>
      </c>
      <c r="Q226" s="52"/>
      <c r="R226" s="44"/>
    </row>
    <row r="227" spans="1:18" s="29" customFormat="1" ht="15.6">
      <c r="A227" s="592"/>
      <c r="B227" s="307"/>
      <c r="C227" s="305"/>
      <c r="D227" s="305"/>
      <c r="E227" s="305"/>
      <c r="F227" s="308"/>
      <c r="G227" s="312" t="s">
        <v>109</v>
      </c>
      <c r="H227" s="129">
        <f>IFERROR(SUM(H225:H226),0)</f>
        <v>0</v>
      </c>
      <c r="Q227" s="52"/>
      <c r="R227" s="44"/>
    </row>
    <row r="228" spans="1:18" s="29" customFormat="1">
      <c r="A228" s="592"/>
      <c r="B228" s="307"/>
      <c r="C228" s="305"/>
      <c r="D228" s="305"/>
      <c r="E228" s="305"/>
      <c r="F228" s="305"/>
      <c r="G228" s="314"/>
      <c r="H228" s="571"/>
      <c r="Q228" s="52"/>
      <c r="R228" s="44"/>
    </row>
    <row r="229" spans="1:18" s="29" customFormat="1" ht="15.6">
      <c r="A229" s="592"/>
      <c r="B229" s="307"/>
      <c r="C229" s="305"/>
      <c r="D229" s="305"/>
      <c r="E229" s="305"/>
      <c r="F229" s="305"/>
      <c r="G229" s="312" t="s">
        <v>110</v>
      </c>
      <c r="H229" s="129">
        <f>IFERROR(MIN(SUM(H206+H220+H227),G194),0)</f>
        <v>0</v>
      </c>
      <c r="Q229" s="52"/>
      <c r="R229" s="44"/>
    </row>
    <row r="230" spans="1:18" s="29" customFormat="1" ht="16.2" thickBot="1">
      <c r="A230" s="594"/>
      <c r="B230" s="361"/>
      <c r="C230" s="362"/>
      <c r="D230" s="362"/>
      <c r="E230" s="362"/>
      <c r="F230" s="362"/>
      <c r="G230" s="364"/>
      <c r="H230" s="606"/>
      <c r="Q230" s="52"/>
      <c r="R230" s="44"/>
    </row>
    <row r="231" spans="1:18" s="29" customFormat="1" ht="15.6">
      <c r="A231" s="642" t="s">
        <v>129</v>
      </c>
      <c r="B231" s="455"/>
      <c r="C231" s="455"/>
      <c r="D231" s="455"/>
      <c r="E231" s="455"/>
      <c r="F231" s="456" t="s">
        <v>42</v>
      </c>
      <c r="G231" s="457">
        <v>20</v>
      </c>
      <c r="H231" s="643" t="s">
        <v>41</v>
      </c>
      <c r="Q231" s="52"/>
      <c r="R231" s="44"/>
    </row>
    <row r="232" spans="1:18" s="29" customFormat="1" ht="15.6">
      <c r="A232" s="592"/>
      <c r="B232" s="329"/>
      <c r="C232" s="305"/>
      <c r="D232" s="305"/>
      <c r="E232" s="305"/>
      <c r="F232" s="305"/>
      <c r="G232" s="314"/>
      <c r="H232" s="571"/>
      <c r="Q232" s="52"/>
      <c r="R232" s="44"/>
    </row>
    <row r="233" spans="1:18" s="29" customFormat="1" ht="33" customHeight="1">
      <c r="A233" s="854" t="s">
        <v>0</v>
      </c>
      <c r="B233" s="855"/>
      <c r="C233" s="132"/>
      <c r="D233" s="132"/>
      <c r="E233" s="133" t="s">
        <v>4</v>
      </c>
      <c r="F233" s="133" t="s">
        <v>69</v>
      </c>
      <c r="G233" s="134" t="s">
        <v>21</v>
      </c>
      <c r="H233" s="644" t="s">
        <v>62</v>
      </c>
      <c r="Q233" s="52"/>
      <c r="R233" s="44"/>
    </row>
    <row r="234" spans="1:18" s="29" customFormat="1" ht="15.6">
      <c r="A234" s="105" t="s">
        <v>257</v>
      </c>
      <c r="B234" s="105" t="s">
        <v>258</v>
      </c>
      <c r="C234" s="106"/>
      <c r="D234" s="106"/>
      <c r="E234" s="106"/>
      <c r="F234" s="57"/>
      <c r="G234" s="135"/>
      <c r="H234" s="645"/>
      <c r="I234" s="130"/>
      <c r="Q234" s="52"/>
      <c r="R234" s="44"/>
    </row>
    <row r="235" spans="1:18" s="29" customFormat="1" ht="15.6">
      <c r="A235" s="591">
        <v>1.1000000000000001</v>
      </c>
      <c r="B235" s="816" t="s">
        <v>122</v>
      </c>
      <c r="C235" s="817"/>
      <c r="D235" s="818"/>
      <c r="E235" s="155"/>
      <c r="F235" s="136"/>
      <c r="G235" s="137"/>
      <c r="H235" s="547">
        <f t="shared" ref="H235:H240" si="5">F235*G235</f>
        <v>0</v>
      </c>
      <c r="Q235" s="52"/>
      <c r="R235" s="44"/>
    </row>
    <row r="236" spans="1:18" s="29" customFormat="1" ht="15.6">
      <c r="A236" s="589">
        <v>1.2</v>
      </c>
      <c r="B236" s="844" t="s">
        <v>123</v>
      </c>
      <c r="C236" s="845"/>
      <c r="D236" s="846"/>
      <c r="E236" s="155"/>
      <c r="F236" s="136"/>
      <c r="G236" s="137"/>
      <c r="H236" s="547">
        <f t="shared" si="5"/>
        <v>0</v>
      </c>
      <c r="Q236" s="52"/>
      <c r="R236" s="44"/>
    </row>
    <row r="237" spans="1:18" s="29" customFormat="1" ht="15.6">
      <c r="A237" s="591">
        <v>1.3</v>
      </c>
      <c r="B237" s="816" t="s">
        <v>114</v>
      </c>
      <c r="C237" s="817"/>
      <c r="D237" s="818"/>
      <c r="E237" s="155"/>
      <c r="F237" s="136"/>
      <c r="G237" s="137"/>
      <c r="H237" s="547">
        <f t="shared" si="5"/>
        <v>0</v>
      </c>
      <c r="Q237" s="52"/>
      <c r="R237" s="44"/>
    </row>
    <row r="238" spans="1:18" s="29" customFormat="1" ht="15.6">
      <c r="A238" s="591">
        <v>1.4</v>
      </c>
      <c r="B238" s="816" t="s">
        <v>282</v>
      </c>
      <c r="C238" s="817"/>
      <c r="D238" s="818"/>
      <c r="E238" s="155"/>
      <c r="F238" s="136"/>
      <c r="G238" s="137"/>
      <c r="H238" s="547">
        <f t="shared" si="5"/>
        <v>0</v>
      </c>
      <c r="Q238" s="52"/>
      <c r="R238" s="44"/>
    </row>
    <row r="239" spans="1:18" s="29" customFormat="1" ht="15.6">
      <c r="A239" s="591">
        <v>1.5</v>
      </c>
      <c r="B239" s="816"/>
      <c r="C239" s="817"/>
      <c r="D239" s="818"/>
      <c r="E239" s="155"/>
      <c r="F239" s="136"/>
      <c r="G239" s="137"/>
      <c r="H239" s="547">
        <f t="shared" si="5"/>
        <v>0</v>
      </c>
      <c r="Q239" s="52"/>
      <c r="R239" s="44"/>
    </row>
    <row r="240" spans="1:18" s="29" customFormat="1" ht="15.6">
      <c r="A240" s="591">
        <v>1.6</v>
      </c>
      <c r="B240" s="816"/>
      <c r="C240" s="817"/>
      <c r="D240" s="818"/>
      <c r="E240" s="155"/>
      <c r="F240" s="136"/>
      <c r="G240" s="137"/>
      <c r="H240" s="547">
        <f t="shared" si="5"/>
        <v>0</v>
      </c>
      <c r="Q240" s="52"/>
      <c r="R240" s="44"/>
    </row>
    <row r="241" spans="1:18" s="29" customFormat="1" ht="15.6">
      <c r="A241" s="105" t="s">
        <v>260</v>
      </c>
      <c r="B241" s="105" t="s">
        <v>259</v>
      </c>
      <c r="C241" s="106"/>
      <c r="D241" s="106"/>
      <c r="E241" s="106"/>
      <c r="F241" s="57"/>
      <c r="G241" s="135"/>
      <c r="H241" s="645"/>
      <c r="Q241" s="52"/>
      <c r="R241" s="44"/>
    </row>
    <row r="242" spans="1:18" s="29" customFormat="1" ht="30.6" customHeight="1">
      <c r="A242" s="620">
        <v>2.1</v>
      </c>
      <c r="B242" s="825" t="s">
        <v>620</v>
      </c>
      <c r="C242" s="842"/>
      <c r="D242" s="843"/>
      <c r="E242" s="148" t="s">
        <v>367</v>
      </c>
      <c r="F242" s="389">
        <v>2</v>
      </c>
      <c r="G242" s="390"/>
      <c r="H242" s="547">
        <f>IFERROR(VLOOKUP(E242,J243:K246,2,FALSE),0)</f>
        <v>0</v>
      </c>
      <c r="J242" s="29" t="s">
        <v>367</v>
      </c>
      <c r="K242" s="29">
        <v>0</v>
      </c>
      <c r="Q242" s="52"/>
      <c r="R242" s="44"/>
    </row>
    <row r="243" spans="1:18" s="29" customFormat="1" ht="15.6">
      <c r="A243" s="592"/>
      <c r="B243" s="304"/>
      <c r="C243" s="305"/>
      <c r="D243" s="305"/>
      <c r="E243" s="305"/>
      <c r="F243" s="305"/>
      <c r="G243" s="312" t="s">
        <v>130</v>
      </c>
      <c r="H243" s="138">
        <f>IFERROR(MIN(SUM(H235:H242),G231),0)</f>
        <v>0</v>
      </c>
      <c r="J243" s="29" t="s">
        <v>363</v>
      </c>
      <c r="K243" s="29">
        <v>2</v>
      </c>
      <c r="Q243" s="44"/>
      <c r="R243" s="44"/>
    </row>
    <row r="244" spans="1:18" s="29" customFormat="1">
      <c r="A244" s="592"/>
      <c r="B244" s="307"/>
      <c r="C244" s="305"/>
      <c r="D244" s="305"/>
      <c r="E244" s="305"/>
      <c r="F244" s="305"/>
      <c r="G244" s="314"/>
      <c r="H244" s="571"/>
      <c r="J244" s="29" t="s">
        <v>364</v>
      </c>
      <c r="K244" s="29">
        <v>2</v>
      </c>
      <c r="Q244" s="44"/>
      <c r="R244" s="44"/>
    </row>
    <row r="245" spans="1:18" s="29" customFormat="1" ht="15.6">
      <c r="A245" s="592"/>
      <c r="B245" s="307"/>
      <c r="C245" s="305"/>
      <c r="D245" s="305"/>
      <c r="E245" s="305"/>
      <c r="F245" s="305"/>
      <c r="G245" s="312" t="s">
        <v>68</v>
      </c>
      <c r="H245" s="617">
        <f>IFERROR(H89+H192+H229+H243,0)</f>
        <v>0</v>
      </c>
      <c r="J245" s="29" t="s">
        <v>365</v>
      </c>
      <c r="K245" s="29">
        <v>2</v>
      </c>
      <c r="Q245" s="44"/>
      <c r="R245" s="44"/>
    </row>
    <row r="246" spans="1:18" s="29" customFormat="1">
      <c r="A246" s="592"/>
      <c r="B246" s="307"/>
      <c r="C246" s="305"/>
      <c r="D246" s="305"/>
      <c r="E246" s="305"/>
      <c r="F246" s="305"/>
      <c r="G246" s="314"/>
      <c r="H246" s="571"/>
      <c r="J246" s="29" t="s">
        <v>366</v>
      </c>
      <c r="K246" s="29">
        <v>2</v>
      </c>
      <c r="Q246" s="52"/>
      <c r="R246" s="44"/>
    </row>
    <row r="247" spans="1:18" s="29" customFormat="1" ht="15.75" customHeight="1">
      <c r="A247" s="592"/>
      <c r="B247" s="327" t="s">
        <v>37</v>
      </c>
      <c r="C247" s="314"/>
      <c r="D247" s="809" t="s">
        <v>372</v>
      </c>
      <c r="E247" s="809"/>
      <c r="F247" s="809"/>
      <c r="G247" s="314"/>
      <c r="H247" s="646"/>
      <c r="Q247" s="52"/>
      <c r="R247" s="44"/>
    </row>
    <row r="248" spans="1:18" s="29" customFormat="1" ht="15.6">
      <c r="A248" s="592"/>
      <c r="B248" s="328"/>
      <c r="C248" s="314"/>
      <c r="D248" s="809"/>
      <c r="E248" s="809"/>
      <c r="F248" s="809"/>
      <c r="G248" s="314"/>
      <c r="H248" s="646"/>
      <c r="Q248" s="52"/>
      <c r="R248" s="44"/>
    </row>
    <row r="249" spans="1:18" s="29" customFormat="1" ht="15.6">
      <c r="A249" s="647" t="s">
        <v>261</v>
      </c>
      <c r="B249" s="328" t="s">
        <v>99</v>
      </c>
      <c r="C249" s="347">
        <f>IFERROR(SUM(G32+G35+G37+G38+G47+G50),0)</f>
        <v>0</v>
      </c>
      <c r="D249" s="314" t="s">
        <v>265</v>
      </c>
      <c r="E249" s="137"/>
      <c r="F249" s="314" t="s">
        <v>266</v>
      </c>
      <c r="G249" s="139">
        <f>MIN(IFERROR(SUM(C249+E249),0),100%)</f>
        <v>0</v>
      </c>
      <c r="H249" s="571"/>
      <c r="L249" s="52"/>
      <c r="M249" s="44"/>
    </row>
    <row r="250" spans="1:18" s="29" customFormat="1" ht="15.6">
      <c r="A250" s="647" t="s">
        <v>262</v>
      </c>
      <c r="B250" s="328" t="s">
        <v>100</v>
      </c>
      <c r="C250" s="347">
        <f>IFERROR(SUM(F19+G96+G98+G100+G103+G106+G107+G108+G109+G110),0)</f>
        <v>0</v>
      </c>
      <c r="D250" s="314" t="s">
        <v>265</v>
      </c>
      <c r="E250" s="137"/>
      <c r="F250" s="314" t="s">
        <v>266</v>
      </c>
      <c r="G250" s="139">
        <f>MIN(IFERROR(SUM(C250+E250),0),100%)</f>
        <v>0</v>
      </c>
      <c r="H250" s="571"/>
      <c r="L250" s="52"/>
      <c r="M250" s="44"/>
    </row>
    <row r="251" spans="1:18" s="29" customFormat="1" ht="15.6">
      <c r="A251" s="647" t="s">
        <v>263</v>
      </c>
      <c r="B251" s="328" t="s">
        <v>101</v>
      </c>
      <c r="C251" s="347">
        <f>IFERROR(G206,0)</f>
        <v>0</v>
      </c>
      <c r="D251" s="314" t="s">
        <v>265</v>
      </c>
      <c r="E251" s="137"/>
      <c r="F251" s="286" t="s">
        <v>266</v>
      </c>
      <c r="G251" s="139">
        <f>MIN(IFERROR(SUM(C251+E251),0),100%)</f>
        <v>0</v>
      </c>
      <c r="H251" s="562"/>
      <c r="I251" s="3"/>
      <c r="J251" s="3"/>
      <c r="K251" s="3"/>
      <c r="L251" s="52"/>
      <c r="M251" s="44"/>
    </row>
    <row r="252" spans="1:18" s="29" customFormat="1">
      <c r="A252" s="622"/>
      <c r="B252" s="320"/>
      <c r="C252" s="323"/>
      <c r="D252" s="323"/>
      <c r="E252" s="323"/>
      <c r="F252" s="323"/>
      <c r="G252" s="648"/>
      <c r="H252" s="649"/>
      <c r="J252" s="3"/>
      <c r="K252" s="3"/>
      <c r="L252" s="3"/>
      <c r="M252" s="3"/>
      <c r="N252" s="3"/>
      <c r="O252" s="3"/>
      <c r="P252" s="3"/>
      <c r="Q252" s="52"/>
      <c r="R252" s="44"/>
    </row>
    <row r="253" spans="1:18" s="29" customFormat="1">
      <c r="A253" s="161"/>
      <c r="B253" s="3"/>
      <c r="C253" s="3"/>
      <c r="D253" s="3"/>
      <c r="E253" s="3"/>
      <c r="F253" s="3"/>
      <c r="G253" s="10"/>
      <c r="H253" s="3"/>
      <c r="J253" s="3"/>
      <c r="K253" s="3"/>
      <c r="L253" s="3"/>
      <c r="M253" s="3"/>
      <c r="N253" s="3"/>
      <c r="O253" s="3"/>
      <c r="P253" s="3"/>
      <c r="Q253" s="52"/>
      <c r="R253" s="44"/>
    </row>
    <row r="254" spans="1:18" s="29" customFormat="1">
      <c r="A254" s="161"/>
      <c r="B254" s="3"/>
      <c r="C254" s="3"/>
      <c r="D254" s="3"/>
      <c r="E254" s="3"/>
      <c r="F254" s="3"/>
      <c r="G254" s="10"/>
      <c r="H254" s="3"/>
      <c r="J254" s="3"/>
      <c r="K254" s="3"/>
      <c r="L254" s="3"/>
      <c r="M254" s="3"/>
      <c r="N254" s="3"/>
      <c r="O254" s="3"/>
      <c r="P254" s="3"/>
      <c r="Q254" s="52"/>
      <c r="R254" s="44"/>
    </row>
    <row r="255" spans="1:18" s="29" customFormat="1">
      <c r="A255" s="161"/>
      <c r="B255" s="3"/>
      <c r="C255" s="3"/>
      <c r="D255" s="3"/>
      <c r="E255" s="3"/>
      <c r="F255" s="3"/>
      <c r="G255" s="10"/>
      <c r="H255" s="3"/>
      <c r="J255" s="3"/>
      <c r="K255" s="3"/>
      <c r="L255" s="3"/>
      <c r="M255" s="3"/>
      <c r="N255" s="3"/>
      <c r="O255" s="3"/>
      <c r="P255" s="3"/>
      <c r="Q255" s="52"/>
      <c r="R255" s="44"/>
    </row>
    <row r="256" spans="1:18" s="29" customFormat="1">
      <c r="A256" s="161"/>
      <c r="B256" s="3"/>
      <c r="C256" s="3"/>
      <c r="D256" s="3"/>
      <c r="E256" s="3"/>
      <c r="F256" s="3"/>
      <c r="G256" s="10"/>
      <c r="H256" s="3"/>
      <c r="J256" s="3"/>
      <c r="K256" s="3"/>
      <c r="L256" s="3"/>
      <c r="M256" s="3"/>
      <c r="N256" s="3"/>
      <c r="O256" s="3"/>
      <c r="P256" s="3"/>
      <c r="Q256" s="44"/>
      <c r="R256" s="44"/>
    </row>
    <row r="257" spans="1:18" s="29" customFormat="1">
      <c r="A257" s="161"/>
      <c r="B257" s="3"/>
      <c r="C257" s="3"/>
      <c r="D257" s="3"/>
      <c r="E257" s="3"/>
      <c r="F257" s="3"/>
      <c r="G257" s="10"/>
      <c r="H257" s="3"/>
      <c r="J257" s="3"/>
      <c r="K257" s="3"/>
      <c r="L257" s="3"/>
      <c r="M257" s="3"/>
      <c r="N257" s="3"/>
      <c r="O257" s="3"/>
      <c r="P257" s="3"/>
      <c r="Q257" s="44"/>
      <c r="R257" s="44"/>
    </row>
    <row r="258" spans="1:18" s="29" customFormat="1">
      <c r="A258" s="161"/>
      <c r="B258" s="3"/>
      <c r="C258" s="3"/>
      <c r="D258" s="3"/>
      <c r="E258" s="3"/>
      <c r="F258" s="3"/>
      <c r="G258" s="10"/>
      <c r="H258" s="3"/>
      <c r="J258" s="3"/>
      <c r="K258" s="3"/>
      <c r="L258" s="3"/>
      <c r="M258" s="3"/>
      <c r="N258" s="3"/>
      <c r="O258" s="3"/>
      <c r="P258" s="3"/>
      <c r="Q258" s="44"/>
      <c r="R258" s="44"/>
    </row>
    <row r="259" spans="1:18" s="29" customFormat="1">
      <c r="A259" s="161"/>
      <c r="B259" s="3"/>
      <c r="C259" s="3"/>
      <c r="D259" s="3"/>
      <c r="E259" s="3"/>
      <c r="F259" s="3"/>
      <c r="G259" s="10"/>
      <c r="H259" s="3"/>
      <c r="J259" s="3"/>
      <c r="K259" s="3"/>
      <c r="L259" s="3"/>
      <c r="M259" s="3"/>
      <c r="N259" s="3"/>
      <c r="O259" s="3"/>
      <c r="P259" s="3"/>
      <c r="Q259" s="44"/>
      <c r="R259" s="44"/>
    </row>
  </sheetData>
  <sheetProtection algorithmName="SHA-512" hashValue="/j6Z91OK2MuCpERZOWwaLIbytA1R7oyyUQO7/kGdbPRJhaJfvcsinn9qfvuG+NCTVq11+Wo8NBnh80a412DyOQ==" saltValue="06td/mxxjWAclsahVqjarA==" spinCount="100000" sheet="1" selectLockedCells="1"/>
  <mergeCells count="236">
    <mergeCell ref="B23:C23"/>
    <mergeCell ref="B24:C24"/>
    <mergeCell ref="B25:C25"/>
    <mergeCell ref="B96:D96"/>
    <mergeCell ref="B99:D99"/>
    <mergeCell ref="A98:A99"/>
    <mergeCell ref="B98:D98"/>
    <mergeCell ref="E98:E99"/>
    <mergeCell ref="F98:F99"/>
    <mergeCell ref="B32:D32"/>
    <mergeCell ref="B42:D42"/>
    <mergeCell ref="B41:D41"/>
    <mergeCell ref="A32:A33"/>
    <mergeCell ref="E32:E33"/>
    <mergeCell ref="F32:F33"/>
    <mergeCell ref="B40:D40"/>
    <mergeCell ref="E40:E45"/>
    <mergeCell ref="B82:C82"/>
    <mergeCell ref="B84:C84"/>
    <mergeCell ref="B85:C85"/>
    <mergeCell ref="B86:C86"/>
    <mergeCell ref="E74:F74"/>
    <mergeCell ref="B69:C69"/>
    <mergeCell ref="B67:C67"/>
    <mergeCell ref="A4:B4"/>
    <mergeCell ref="D7:G7"/>
    <mergeCell ref="A7:B7"/>
    <mergeCell ref="B20:C20"/>
    <mergeCell ref="B21:C21"/>
    <mergeCell ref="B22:C22"/>
    <mergeCell ref="D11:D12"/>
    <mergeCell ref="E11:E12"/>
    <mergeCell ref="F11:F12"/>
    <mergeCell ref="B14:C14"/>
    <mergeCell ref="B15:C15"/>
    <mergeCell ref="A11:B12"/>
    <mergeCell ref="B17:C17"/>
    <mergeCell ref="B19:C19"/>
    <mergeCell ref="B16:C16"/>
    <mergeCell ref="G32:G33"/>
    <mergeCell ref="H32:H33"/>
    <mergeCell ref="B33:D33"/>
    <mergeCell ref="B35:D35"/>
    <mergeCell ref="A38:A39"/>
    <mergeCell ref="B38:D39"/>
    <mergeCell ref="E38:E39"/>
    <mergeCell ref="H38:H39"/>
    <mergeCell ref="B37:D37"/>
    <mergeCell ref="B66:C66"/>
    <mergeCell ref="B68:C68"/>
    <mergeCell ref="G98:G99"/>
    <mergeCell ref="H98:H99"/>
    <mergeCell ref="B76:C76"/>
    <mergeCell ref="B78:C78"/>
    <mergeCell ref="B117:D117"/>
    <mergeCell ref="B64:C64"/>
    <mergeCell ref="B74:C74"/>
    <mergeCell ref="B65:C65"/>
    <mergeCell ref="B70:C70"/>
    <mergeCell ref="B71:C71"/>
    <mergeCell ref="B73:C73"/>
    <mergeCell ref="B77:C77"/>
    <mergeCell ref="B79:C79"/>
    <mergeCell ref="B81:C81"/>
    <mergeCell ref="D69:D72"/>
    <mergeCell ref="B72:C72"/>
    <mergeCell ref="B106:D106"/>
    <mergeCell ref="B107:D107"/>
    <mergeCell ref="B115:D115"/>
    <mergeCell ref="B108:D108"/>
    <mergeCell ref="B110:D110"/>
    <mergeCell ref="B114:D114"/>
    <mergeCell ref="D147:D148"/>
    <mergeCell ref="E147:E148"/>
    <mergeCell ref="F147:G147"/>
    <mergeCell ref="F148:G148"/>
    <mergeCell ref="A151:B152"/>
    <mergeCell ref="C151:C152"/>
    <mergeCell ref="D151:D152"/>
    <mergeCell ref="B159:C159"/>
    <mergeCell ref="B172:C172"/>
    <mergeCell ref="B169:C169"/>
    <mergeCell ref="E151:F151"/>
    <mergeCell ref="H162:H165"/>
    <mergeCell ref="E163:F163"/>
    <mergeCell ref="A100:A101"/>
    <mergeCell ref="E164:F164"/>
    <mergeCell ref="E165:F165"/>
    <mergeCell ref="B166:C167"/>
    <mergeCell ref="B170:C170"/>
    <mergeCell ref="A174:A175"/>
    <mergeCell ref="B174:C174"/>
    <mergeCell ref="D174:D175"/>
    <mergeCell ref="E174:E175"/>
    <mergeCell ref="F174:F175"/>
    <mergeCell ref="A166:A167"/>
    <mergeCell ref="A162:A165"/>
    <mergeCell ref="B162:C165"/>
    <mergeCell ref="E162:F162"/>
    <mergeCell ref="B171:C171"/>
    <mergeCell ref="G162:G165"/>
    <mergeCell ref="G174:G175"/>
    <mergeCell ref="H174:H175"/>
    <mergeCell ref="B175:C175"/>
    <mergeCell ref="B129:C129"/>
    <mergeCell ref="B134:C134"/>
    <mergeCell ref="B135:C135"/>
    <mergeCell ref="H40:H45"/>
    <mergeCell ref="B43:D43"/>
    <mergeCell ref="B48:D48"/>
    <mergeCell ref="B49:D49"/>
    <mergeCell ref="B56:D56"/>
    <mergeCell ref="B57:D57"/>
    <mergeCell ref="B58:D58"/>
    <mergeCell ref="A61:B62"/>
    <mergeCell ref="D61:D62"/>
    <mergeCell ref="E61:F61"/>
    <mergeCell ref="G61:G62"/>
    <mergeCell ref="H61:H62"/>
    <mergeCell ref="B54:D54"/>
    <mergeCell ref="B44:D44"/>
    <mergeCell ref="B45:D45"/>
    <mergeCell ref="B53:D53"/>
    <mergeCell ref="B47:D47"/>
    <mergeCell ref="B50:D50"/>
    <mergeCell ref="B100:D100"/>
    <mergeCell ref="E100:E101"/>
    <mergeCell ref="B101:D101"/>
    <mergeCell ref="A103:A104"/>
    <mergeCell ref="E103:E104"/>
    <mergeCell ref="F103:F104"/>
    <mergeCell ref="G103:G104"/>
    <mergeCell ref="H103:H104"/>
    <mergeCell ref="F100:F101"/>
    <mergeCell ref="G100:G101"/>
    <mergeCell ref="H100:H101"/>
    <mergeCell ref="B103:D103"/>
    <mergeCell ref="B104:D104"/>
    <mergeCell ref="B113:D113"/>
    <mergeCell ref="B109:D109"/>
    <mergeCell ref="Q106:Q107"/>
    <mergeCell ref="B118:D118"/>
    <mergeCell ref="B119:D119"/>
    <mergeCell ref="B125:C125"/>
    <mergeCell ref="A127:A128"/>
    <mergeCell ref="D127:D128"/>
    <mergeCell ref="E127:E128"/>
    <mergeCell ref="F127:F128"/>
    <mergeCell ref="G127:G128"/>
    <mergeCell ref="H127:H128"/>
    <mergeCell ref="B128:C128"/>
    <mergeCell ref="B127:C127"/>
    <mergeCell ref="H131:H132"/>
    <mergeCell ref="B132:C132"/>
    <mergeCell ref="B138:C138"/>
    <mergeCell ref="B139:C139"/>
    <mergeCell ref="B140:C140"/>
    <mergeCell ref="B141:C141"/>
    <mergeCell ref="B142:C142"/>
    <mergeCell ref="A145:B145"/>
    <mergeCell ref="F145:G145"/>
    <mergeCell ref="A131:A132"/>
    <mergeCell ref="B131:C131"/>
    <mergeCell ref="D131:D132"/>
    <mergeCell ref="E131:E132"/>
    <mergeCell ref="F131:F132"/>
    <mergeCell ref="G131:G132"/>
    <mergeCell ref="H151:H152"/>
    <mergeCell ref="B155:C155"/>
    <mergeCell ref="B156:C156"/>
    <mergeCell ref="B157:C157"/>
    <mergeCell ref="B158:C158"/>
    <mergeCell ref="A160:A161"/>
    <mergeCell ref="B160:C161"/>
    <mergeCell ref="E160:F160"/>
    <mergeCell ref="G160:G161"/>
    <mergeCell ref="H160:H161"/>
    <mergeCell ref="E161:F161"/>
    <mergeCell ref="G151:G152"/>
    <mergeCell ref="G184:G185"/>
    <mergeCell ref="H184:H185"/>
    <mergeCell ref="B187:C187"/>
    <mergeCell ref="B188:C188"/>
    <mergeCell ref="B189:C189"/>
    <mergeCell ref="E189:F189"/>
    <mergeCell ref="H176:H177"/>
    <mergeCell ref="B177:C177"/>
    <mergeCell ref="A196:B196"/>
    <mergeCell ref="B179:C179"/>
    <mergeCell ref="B180:C180"/>
    <mergeCell ref="E176:E177"/>
    <mergeCell ref="F176:F177"/>
    <mergeCell ref="G176:G177"/>
    <mergeCell ref="B181:C181"/>
    <mergeCell ref="A184:B185"/>
    <mergeCell ref="C184:C185"/>
    <mergeCell ref="D184:D185"/>
    <mergeCell ref="E184:F184"/>
    <mergeCell ref="A176:A177"/>
    <mergeCell ref="B176:C176"/>
    <mergeCell ref="D176:D177"/>
    <mergeCell ref="B199:C199"/>
    <mergeCell ref="B201:C201"/>
    <mergeCell ref="A208:B209"/>
    <mergeCell ref="C208:C209"/>
    <mergeCell ref="D208:D209"/>
    <mergeCell ref="E208:F208"/>
    <mergeCell ref="G208:G209"/>
    <mergeCell ref="H208:H209"/>
    <mergeCell ref="B212:C212"/>
    <mergeCell ref="B205:C205"/>
    <mergeCell ref="B204:C204"/>
    <mergeCell ref="B203:C203"/>
    <mergeCell ref="B213:C213"/>
    <mergeCell ref="B214:C214"/>
    <mergeCell ref="B215:C215"/>
    <mergeCell ref="B218:C218"/>
    <mergeCell ref="B219:C219"/>
    <mergeCell ref="A222:B223"/>
    <mergeCell ref="C222:C223"/>
    <mergeCell ref="D222:D223"/>
    <mergeCell ref="E222:F222"/>
    <mergeCell ref="B217:C217"/>
    <mergeCell ref="B239:D239"/>
    <mergeCell ref="B240:D240"/>
    <mergeCell ref="B242:D242"/>
    <mergeCell ref="D247:F248"/>
    <mergeCell ref="G222:G223"/>
    <mergeCell ref="H222:H223"/>
    <mergeCell ref="B225:C225"/>
    <mergeCell ref="B226:C226"/>
    <mergeCell ref="A233:B233"/>
    <mergeCell ref="B235:D235"/>
    <mergeCell ref="B236:D236"/>
    <mergeCell ref="B237:D237"/>
    <mergeCell ref="B238:D238"/>
  </mergeCells>
  <dataValidations count="3">
    <dataValidation type="list" allowBlank="1" showInputMessage="1" showErrorMessage="1" sqref="A7" xr:uid="{D0D2B592-303B-4030-8DD1-3D1E6AC6C639}">
      <formula1>$J$1:$J$7</formula1>
    </dataValidation>
    <dataValidation type="list" allowBlank="1" showInputMessage="1" showErrorMessage="1" sqref="E242" xr:uid="{321C12EF-85DF-4046-B7CD-B8D0238FE6C6}">
      <formula1>$J$242:$J$246</formula1>
    </dataValidation>
    <dataValidation type="list" allowBlank="1" showInputMessage="1" showErrorMessage="1" sqref="F148:G148" xr:uid="{7ECEECD1-9ED0-49B4-93DC-912B6528A822}">
      <formula1>$K$145:$P$145</formula1>
    </dataValidation>
  </dataValidations>
  <pageMargins left="0.25" right="0.25" top="0.75" bottom="0.75" header="0.3" footer="0.3"/>
  <pageSetup paperSize="9" scale="55" fitToHeight="4" orientation="portrait" r:id="rId1"/>
  <headerFooter>
    <oddFooter>&amp;F</oddFooter>
  </headerFooter>
  <rowBreaks count="3" manualBreakCount="3">
    <brk id="60" max="7" man="1"/>
    <brk id="121" max="7" man="1"/>
    <brk id="183"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R259"/>
  <sheetViews>
    <sheetView zoomScale="80" zoomScaleNormal="80" zoomScaleSheetLayoutView="100" workbookViewId="0">
      <selection activeCell="A7" sqref="A7:B7"/>
    </sheetView>
  </sheetViews>
  <sheetFormatPr defaultColWidth="9.109375" defaultRowHeight="15"/>
  <cols>
    <col min="1" max="1" width="7" style="160"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29" style="3" hidden="1" customWidth="1"/>
    <col min="10" max="10" width="45.6640625" style="3" hidden="1" customWidth="1"/>
    <col min="11" max="15" width="9.109375" style="3" hidden="1" customWidth="1"/>
    <col min="16" max="16" width="9.6640625" style="3" hidden="1" customWidth="1"/>
    <col min="17" max="17" width="9.109375" style="3" customWidth="1"/>
    <col min="18" max="16384" width="9.109375" style="3"/>
  </cols>
  <sheetData>
    <row r="1" spans="1:15" ht="15.6">
      <c r="A1" s="558" t="s">
        <v>89</v>
      </c>
      <c r="B1" s="559"/>
      <c r="C1" s="559"/>
      <c r="D1" s="559"/>
      <c r="E1" s="559"/>
      <c r="F1" s="559"/>
      <c r="G1" s="559"/>
      <c r="H1" s="560"/>
      <c r="J1" s="3" t="s">
        <v>40</v>
      </c>
    </row>
    <row r="2" spans="1:15">
      <c r="A2" s="561"/>
      <c r="B2" s="264"/>
      <c r="C2" s="264"/>
      <c r="D2" s="264"/>
      <c r="E2" s="264"/>
      <c r="F2" s="264"/>
      <c r="G2" s="265"/>
      <c r="H2" s="562"/>
      <c r="I2" s="6"/>
      <c r="J2" s="6" t="s">
        <v>384</v>
      </c>
    </row>
    <row r="3" spans="1:15" ht="15.6">
      <c r="A3" s="563" t="s">
        <v>336</v>
      </c>
      <c r="B3" s="264"/>
      <c r="C3" s="264"/>
      <c r="D3" s="331" t="s">
        <v>134</v>
      </c>
      <c r="E3" s="331" t="s">
        <v>135</v>
      </c>
      <c r="F3" s="331" t="s">
        <v>136</v>
      </c>
      <c r="G3" s="289" t="s">
        <v>104</v>
      </c>
      <c r="H3" s="564" t="s">
        <v>62</v>
      </c>
      <c r="I3" s="6"/>
      <c r="J3" s="6" t="s">
        <v>44</v>
      </c>
    </row>
    <row r="4" spans="1:15" ht="15.6">
      <c r="A4" s="966">
        <f>Summary!A6</f>
        <v>0</v>
      </c>
      <c r="B4" s="967"/>
      <c r="C4" s="264"/>
      <c r="D4" s="74">
        <f>H89</f>
        <v>0</v>
      </c>
      <c r="E4" s="154">
        <f>H192</f>
        <v>0</v>
      </c>
      <c r="F4" s="129">
        <f>H229</f>
        <v>0</v>
      </c>
      <c r="G4" s="138">
        <f>H243</f>
        <v>0</v>
      </c>
      <c r="H4" s="565">
        <f>H245</f>
        <v>0</v>
      </c>
      <c r="I4" s="6"/>
      <c r="J4" s="6" t="s">
        <v>15</v>
      </c>
    </row>
    <row r="5" spans="1:15">
      <c r="A5" s="561"/>
      <c r="B5" s="264"/>
      <c r="C5" s="264"/>
      <c r="D5" s="264"/>
      <c r="E5" s="264"/>
      <c r="F5" s="264"/>
      <c r="G5" s="265"/>
      <c r="H5" s="562"/>
      <c r="I5" s="6"/>
      <c r="J5" s="6" t="s">
        <v>16</v>
      </c>
    </row>
    <row r="6" spans="1:15" s="4" customFormat="1" ht="15.6">
      <c r="A6" s="563" t="s">
        <v>90</v>
      </c>
      <c r="B6" s="296"/>
      <c r="C6" s="296"/>
      <c r="D6" s="297" t="s">
        <v>35</v>
      </c>
      <c r="E6" s="264"/>
      <c r="F6" s="264"/>
      <c r="G6" s="265"/>
      <c r="H6" s="562"/>
      <c r="I6" s="6"/>
      <c r="J6" s="6" t="s">
        <v>383</v>
      </c>
      <c r="K6" s="3"/>
      <c r="L6" s="3"/>
      <c r="M6" s="3"/>
    </row>
    <row r="7" spans="1:15" ht="15.75" customHeight="1">
      <c r="A7" s="976" t="s">
        <v>384</v>
      </c>
      <c r="B7" s="977"/>
      <c r="D7" s="761">
        <f>Summary!A80</f>
        <v>0</v>
      </c>
      <c r="E7" s="779"/>
      <c r="F7" s="779"/>
      <c r="G7" s="780"/>
      <c r="H7" s="566"/>
      <c r="I7" s="29"/>
      <c r="J7" s="29" t="s">
        <v>382</v>
      </c>
    </row>
    <row r="8" spans="1:15" ht="15.6" thickBot="1">
      <c r="A8" s="561"/>
      <c r="B8" s="298"/>
      <c r="C8" s="264"/>
      <c r="D8" s="264"/>
      <c r="E8" s="264"/>
      <c r="F8" s="264"/>
      <c r="G8" s="265"/>
      <c r="H8" s="562"/>
    </row>
    <row r="9" spans="1:15" ht="16.2" thickBot="1">
      <c r="A9" s="567" t="s">
        <v>125</v>
      </c>
      <c r="B9" s="140"/>
      <c r="C9" s="140"/>
      <c r="D9" s="140"/>
      <c r="E9" s="140"/>
      <c r="F9" s="141"/>
      <c r="G9" s="16"/>
      <c r="H9" s="568"/>
    </row>
    <row r="10" spans="1:15">
      <c r="A10" s="561"/>
      <c r="B10" s="299"/>
      <c r="C10" s="264"/>
      <c r="D10" s="264"/>
      <c r="E10" s="264"/>
      <c r="F10" s="264"/>
      <c r="G10" s="265"/>
      <c r="H10" s="562"/>
    </row>
    <row r="11" spans="1:15" ht="15.75" customHeight="1">
      <c r="A11" s="905" t="s">
        <v>0</v>
      </c>
      <c r="B11" s="906"/>
      <c r="C11" s="144"/>
      <c r="D11" s="883" t="s">
        <v>4</v>
      </c>
      <c r="E11" s="882" t="s">
        <v>80</v>
      </c>
      <c r="F11" s="882" t="s">
        <v>21</v>
      </c>
      <c r="G11" s="300"/>
      <c r="H11" s="569"/>
    </row>
    <row r="12" spans="1:15" ht="15.75" customHeight="1">
      <c r="A12" s="907"/>
      <c r="B12" s="908"/>
      <c r="C12" s="145"/>
      <c r="D12" s="884"/>
      <c r="E12" s="882"/>
      <c r="F12" s="882"/>
      <c r="G12" s="300"/>
      <c r="H12" s="569"/>
    </row>
    <row r="13" spans="1:15" s="29" customFormat="1" ht="15.6">
      <c r="A13" s="570" t="s">
        <v>127</v>
      </c>
      <c r="B13" s="167"/>
      <c r="C13" s="167"/>
      <c r="D13" s="167"/>
      <c r="E13" s="170"/>
      <c r="F13" s="170"/>
      <c r="G13" s="301"/>
      <c r="H13" s="571"/>
      <c r="N13" s="44"/>
      <c r="O13" s="44"/>
    </row>
    <row r="14" spans="1:15">
      <c r="A14" s="572">
        <v>1</v>
      </c>
      <c r="B14" s="826" t="s">
        <v>268</v>
      </c>
      <c r="C14" s="827"/>
      <c r="D14" s="511" t="s">
        <v>2</v>
      </c>
      <c r="E14" s="512" t="s">
        <v>49</v>
      </c>
      <c r="F14" s="30"/>
      <c r="G14" s="573" t="str">
        <f>IF(F14&lt;65%,"To comply with min. 65%"," ")</f>
        <v>To comply with min. 65%</v>
      </c>
      <c r="H14" s="574"/>
    </row>
    <row r="15" spans="1:15">
      <c r="A15" s="575">
        <v>2</v>
      </c>
      <c r="B15" s="826" t="s">
        <v>590</v>
      </c>
      <c r="C15" s="827"/>
      <c r="D15" s="513" t="s">
        <v>50</v>
      </c>
      <c r="E15" s="514" t="s">
        <v>49</v>
      </c>
      <c r="F15" s="553"/>
      <c r="G15" s="573" t="str">
        <f>IF(F15&lt;80%,"To comply with min. 80%"," ")</f>
        <v>To comply with min. 80%</v>
      </c>
      <c r="H15" s="562"/>
    </row>
    <row r="16" spans="1:15" ht="15" customHeight="1">
      <c r="A16" s="572">
        <v>3</v>
      </c>
      <c r="B16" s="826" t="s">
        <v>589</v>
      </c>
      <c r="C16" s="827"/>
      <c r="D16" s="513" t="s">
        <v>50</v>
      </c>
      <c r="E16" s="514" t="s">
        <v>49</v>
      </c>
      <c r="F16" s="553"/>
      <c r="G16" s="573" t="str">
        <f>IF(F16&lt;80%,"To comply with min. 80%"," ")</f>
        <v>To comply with min. 80%</v>
      </c>
      <c r="H16" s="569"/>
    </row>
    <row r="17" spans="1:18">
      <c r="A17" s="572">
        <v>4</v>
      </c>
      <c r="B17" s="826" t="s">
        <v>591</v>
      </c>
      <c r="C17" s="827"/>
      <c r="D17" s="515" t="s">
        <v>3</v>
      </c>
      <c r="E17" s="514" t="s">
        <v>49</v>
      </c>
      <c r="F17" s="553"/>
      <c r="G17" s="573" t="str">
        <f>IF(F17&lt;65%,"To comply with min. 65%"," ")</f>
        <v>To comply with min. 65%</v>
      </c>
      <c r="H17" s="569"/>
    </row>
    <row r="18" spans="1:18" s="29" customFormat="1" ht="15.6">
      <c r="A18" s="576" t="s">
        <v>126</v>
      </c>
      <c r="B18" s="167"/>
      <c r="C18" s="167"/>
      <c r="D18" s="167"/>
      <c r="E18" s="168"/>
      <c r="F18" s="169"/>
      <c r="G18" s="534"/>
      <c r="H18" s="571"/>
      <c r="J18" s="10"/>
      <c r="N18" s="44"/>
      <c r="O18" s="44"/>
    </row>
    <row r="19" spans="1:18" ht="32.25" customHeight="1">
      <c r="A19" s="577">
        <v>5</v>
      </c>
      <c r="B19" s="886" t="s">
        <v>269</v>
      </c>
      <c r="C19" s="887"/>
      <c r="D19" s="143" t="s">
        <v>3</v>
      </c>
      <c r="E19" s="537"/>
      <c r="F19" s="31">
        <f>IFERROR(E19/$F$120,0)</f>
        <v>0</v>
      </c>
      <c r="G19" s="573" t="str">
        <f>IF(OR($A$7=$J$2,$A$7=$J$3),IF(E19=0,"Please input wall length"," ")," ")</f>
        <v>Please input wall length</v>
      </c>
      <c r="H19" s="569"/>
    </row>
    <row r="20" spans="1:18">
      <c r="A20" s="577" t="s">
        <v>509</v>
      </c>
      <c r="B20" s="826" t="s">
        <v>270</v>
      </c>
      <c r="C20" s="827"/>
      <c r="D20" s="516" t="s">
        <v>50</v>
      </c>
      <c r="E20" s="514" t="s">
        <v>49</v>
      </c>
      <c r="F20" s="30"/>
      <c r="G20" s="573" t="str">
        <f>IF(OR($A$7=$J$2,$A$7=$J$3),IF(F20&lt;65%,"To comply with min. 65%"," ")," ")</f>
        <v>To comply with min. 65%</v>
      </c>
      <c r="H20" s="569"/>
    </row>
    <row r="21" spans="1:18">
      <c r="A21" s="577" t="s">
        <v>510</v>
      </c>
      <c r="B21" s="826" t="s">
        <v>592</v>
      </c>
      <c r="C21" s="827"/>
      <c r="D21" s="516" t="s">
        <v>50</v>
      </c>
      <c r="E21" s="514" t="s">
        <v>49</v>
      </c>
      <c r="F21" s="30"/>
      <c r="G21" s="573" t="str">
        <f>IF(OR($A$7=$J$2,$A$7=$J$3),IF(F21&lt;60%,"To comply with min. 60%"," ")," ")</f>
        <v>To comply with min. 60%</v>
      </c>
      <c r="H21" s="569"/>
    </row>
    <row r="22" spans="1:18">
      <c r="A22" s="577" t="s">
        <v>511</v>
      </c>
      <c r="B22" s="826" t="s">
        <v>593</v>
      </c>
      <c r="C22" s="827"/>
      <c r="D22" s="516" t="s">
        <v>50</v>
      </c>
      <c r="E22" s="514" t="s">
        <v>49</v>
      </c>
      <c r="F22" s="30"/>
      <c r="G22" s="573" t="str">
        <f>IF(OR($A$7=$J$2,$A$7=$J$3),IF(F22&lt;65%,"To comply with min. 65%"," ")," ")</f>
        <v>To comply with min. 65%</v>
      </c>
      <c r="H22" s="569"/>
    </row>
    <row r="23" spans="1:18">
      <c r="A23" s="577" t="s">
        <v>512</v>
      </c>
      <c r="B23" s="826" t="s">
        <v>594</v>
      </c>
      <c r="C23" s="827"/>
      <c r="D23" s="516" t="s">
        <v>50</v>
      </c>
      <c r="E23" s="514" t="s">
        <v>49</v>
      </c>
      <c r="F23" s="30"/>
      <c r="G23" s="573" t="str">
        <f>IF(OR($A$7=$J$2,$A$7=$J$3),IF(F23&lt;60%,"To comply with min. 60%"," ")," ")</f>
        <v>To comply with min. 60%</v>
      </c>
      <c r="H23" s="569"/>
    </row>
    <row r="24" spans="1:18">
      <c r="A24" s="577" t="s">
        <v>283</v>
      </c>
      <c r="B24" s="826" t="s">
        <v>595</v>
      </c>
      <c r="C24" s="827"/>
      <c r="D24" s="513" t="s">
        <v>50</v>
      </c>
      <c r="E24" s="514" t="s">
        <v>49</v>
      </c>
      <c r="F24" s="553"/>
      <c r="G24" s="573" t="str">
        <f>IF(OR($A$7=$J$2,$A$7=$J$3),IF(F24&lt;65%,"To comply with min. 65%"," ")," ")</f>
        <v>To comply with min. 65%</v>
      </c>
      <c r="H24" s="569"/>
    </row>
    <row r="25" spans="1:18">
      <c r="A25" s="577" t="s">
        <v>513</v>
      </c>
      <c r="B25" s="826" t="s">
        <v>596</v>
      </c>
      <c r="C25" s="827"/>
      <c r="D25" s="513" t="s">
        <v>50</v>
      </c>
      <c r="E25" s="514" t="s">
        <v>49</v>
      </c>
      <c r="F25" s="553"/>
      <c r="G25" s="573" t="str">
        <f>IF(OR($A$7=$J$2,$A$7=$J$3),IF(F25&lt;80%,"To comply with min. 80%"," ")," ")</f>
        <v>To comply with min. 80%</v>
      </c>
      <c r="H25" s="569"/>
    </row>
    <row r="26" spans="1:18">
      <c r="A26" s="561"/>
      <c r="B26" s="264"/>
      <c r="C26" s="264"/>
      <c r="D26" s="264"/>
      <c r="E26" s="264"/>
      <c r="F26" s="264"/>
      <c r="G26" s="265"/>
      <c r="H26" s="562"/>
      <c r="J26" s="6"/>
    </row>
    <row r="27" spans="1:18" ht="15.6">
      <c r="A27" s="578" t="s">
        <v>43</v>
      </c>
      <c r="B27" s="157"/>
      <c r="C27" s="157"/>
      <c r="D27" s="157"/>
      <c r="E27" s="157"/>
      <c r="F27" s="158" t="s">
        <v>42</v>
      </c>
      <c r="G27" s="159">
        <f>VLOOKUP($A$7,'Manpower allocation'!A4:D11,2,FALSE)*100</f>
        <v>45</v>
      </c>
      <c r="H27" s="579" t="s">
        <v>41</v>
      </c>
      <c r="I27" s="365">
        <f>VLOOKUP($A$7,'Manpower allocation'!A4:D11,2,FALSE)*100</f>
        <v>45</v>
      </c>
      <c r="J27" s="6"/>
    </row>
    <row r="28" spans="1:18" ht="15.6">
      <c r="A28" s="561"/>
      <c r="B28" s="302"/>
      <c r="C28" s="303"/>
      <c r="D28" s="264"/>
      <c r="E28" s="264"/>
      <c r="F28" s="264"/>
      <c r="G28" s="265"/>
      <c r="H28" s="562"/>
      <c r="J28" s="6"/>
    </row>
    <row r="29" spans="1:18" s="29" customFormat="1" ht="46.8">
      <c r="A29" s="580" t="s">
        <v>0</v>
      </c>
      <c r="B29" s="40"/>
      <c r="C29" s="40"/>
      <c r="D29" s="41"/>
      <c r="E29" s="42" t="s">
        <v>17</v>
      </c>
      <c r="F29" s="42" t="s">
        <v>113</v>
      </c>
      <c r="G29" s="42" t="s">
        <v>18</v>
      </c>
      <c r="H29" s="42" t="s">
        <v>52</v>
      </c>
      <c r="J29" s="43"/>
      <c r="Q29" s="44"/>
      <c r="R29" s="44"/>
    </row>
    <row r="30" spans="1:18" s="29" customFormat="1" ht="15.6">
      <c r="A30" s="581" t="s">
        <v>187</v>
      </c>
      <c r="B30" s="45" t="s">
        <v>203</v>
      </c>
      <c r="C30" s="46"/>
      <c r="D30" s="46"/>
      <c r="E30" s="47"/>
      <c r="F30" s="47"/>
      <c r="G30" s="47"/>
      <c r="H30" s="582"/>
      <c r="Q30" s="44"/>
      <c r="R30" s="44"/>
    </row>
    <row r="31" spans="1:18" s="29" customFormat="1" ht="15.6">
      <c r="A31" s="583">
        <v>1</v>
      </c>
      <c r="B31" s="39" t="s">
        <v>304</v>
      </c>
      <c r="C31" s="40"/>
      <c r="D31" s="48"/>
      <c r="E31" s="40"/>
      <c r="F31" s="49"/>
      <c r="G31" s="49"/>
      <c r="H31" s="584"/>
      <c r="Q31" s="44"/>
      <c r="R31" s="44"/>
    </row>
    <row r="32" spans="1:18" s="29" customFormat="1">
      <c r="A32" s="918">
        <v>1.1000000000000001</v>
      </c>
      <c r="B32" s="836" t="s">
        <v>271</v>
      </c>
      <c r="C32" s="885"/>
      <c r="D32" s="885"/>
      <c r="E32" s="811">
        <f>VLOOKUP(A32,'Point Allocation'!$A$5:$J$15,MATCH(A7,'Point Allocation'!$A$5:$J$5,0),0)</f>
        <v>45</v>
      </c>
      <c r="F32" s="812"/>
      <c r="G32" s="813">
        <f>IFERROR(F32/$F$59,0)</f>
        <v>0</v>
      </c>
      <c r="H32" s="811">
        <f>E32*G32</f>
        <v>0</v>
      </c>
      <c r="Q32" s="44"/>
      <c r="R32" s="44"/>
    </row>
    <row r="33" spans="1:18" s="29" customFormat="1" ht="15.6">
      <c r="A33" s="919"/>
      <c r="B33" s="810" t="s">
        <v>358</v>
      </c>
      <c r="C33" s="810"/>
      <c r="D33" s="810"/>
      <c r="E33" s="811"/>
      <c r="F33" s="812"/>
      <c r="G33" s="813">
        <f t="shared" ref="G33" si="0">IFERROR(F33/$F$59,0)</f>
        <v>0</v>
      </c>
      <c r="H33" s="811"/>
      <c r="Q33" s="44"/>
      <c r="R33" s="44"/>
    </row>
    <row r="34" spans="1:18" s="29" customFormat="1" ht="15.6">
      <c r="A34" s="583">
        <v>2</v>
      </c>
      <c r="B34" s="39" t="s">
        <v>305</v>
      </c>
      <c r="C34" s="50"/>
      <c r="D34" s="48"/>
      <c r="E34" s="51"/>
      <c r="F34" s="8"/>
      <c r="G34" s="22"/>
      <c r="H34" s="585"/>
      <c r="Q34" s="52"/>
      <c r="R34" s="44"/>
    </row>
    <row r="35" spans="1:18" s="29" customFormat="1">
      <c r="A35" s="586">
        <v>2.1</v>
      </c>
      <c r="B35" s="858" t="s">
        <v>192</v>
      </c>
      <c r="C35" s="859"/>
      <c r="D35" s="840"/>
      <c r="E35" s="20">
        <f>VLOOKUP(A35,'Point Allocation'!$A$5:$J$15,MATCH(A7,'Point Allocation'!$A$5:$J$5,0),0)</f>
        <v>42</v>
      </c>
      <c r="F35" s="537"/>
      <c r="G35" s="31">
        <f>IFERROR(F35/$F$59,0)</f>
        <v>0</v>
      </c>
      <c r="H35" s="20">
        <f>E35*G35</f>
        <v>0</v>
      </c>
      <c r="Q35" s="52"/>
      <c r="R35" s="44"/>
    </row>
    <row r="36" spans="1:18" s="29" customFormat="1" ht="15.6">
      <c r="A36" s="583">
        <v>3</v>
      </c>
      <c r="B36" s="39" t="s">
        <v>306</v>
      </c>
      <c r="C36" s="50"/>
      <c r="D36" s="48"/>
      <c r="E36" s="51"/>
      <c r="F36" s="8"/>
      <c r="G36" s="22"/>
      <c r="H36" s="585"/>
      <c r="Q36" s="52"/>
      <c r="R36" s="44"/>
    </row>
    <row r="37" spans="1:18" s="29" customFormat="1" ht="15" customHeight="1">
      <c r="A37" s="586">
        <v>3.1</v>
      </c>
      <c r="B37" s="858" t="s">
        <v>640</v>
      </c>
      <c r="C37" s="859"/>
      <c r="D37" s="840"/>
      <c r="E37" s="20">
        <f>VLOOKUP(A37,'Point Allocation'!$A$5:$J$15,MATCH(A7,'Point Allocation'!$A$5:$J$5,0),0)</f>
        <v>39</v>
      </c>
      <c r="F37" s="37"/>
      <c r="G37" s="31">
        <f>IFERROR(F37/$F$59,0)</f>
        <v>0</v>
      </c>
      <c r="H37" s="546">
        <f>E37*G37</f>
        <v>0</v>
      </c>
      <c r="Q37" s="52"/>
      <c r="R37" s="44"/>
    </row>
    <row r="38" spans="1:18" s="29" customFormat="1" ht="31.5" customHeight="1">
      <c r="A38" s="909">
        <v>3.2</v>
      </c>
      <c r="B38" s="863" t="s">
        <v>296</v>
      </c>
      <c r="C38" s="911"/>
      <c r="D38" s="864"/>
      <c r="E38" s="828">
        <f>VLOOKUP(A38,'Point Allocation'!$A$5:$J$15,MATCH(A7,'Point Allocation'!$A$5:$J$5,0),0)</f>
        <v>39</v>
      </c>
      <c r="F38" s="37"/>
      <c r="G38" s="31">
        <f>IFERROR(F38/$F$59,0)</f>
        <v>0</v>
      </c>
      <c r="H38" s="828">
        <f>IF(SUM(I40:I45)&gt;=4,E38*G38,0)</f>
        <v>0</v>
      </c>
      <c r="Q38" s="52"/>
      <c r="R38" s="44"/>
    </row>
    <row r="39" spans="1:18" s="29" customFormat="1" ht="46.95" customHeight="1">
      <c r="A39" s="910"/>
      <c r="B39" s="912"/>
      <c r="C39" s="913"/>
      <c r="D39" s="914"/>
      <c r="E39" s="829"/>
      <c r="F39" s="521" t="s">
        <v>601</v>
      </c>
      <c r="G39" s="53" t="s">
        <v>116</v>
      </c>
      <c r="H39" s="829"/>
      <c r="Q39" s="52"/>
      <c r="R39" s="44"/>
    </row>
    <row r="40" spans="1:18" s="29" customFormat="1" ht="112.2" customHeight="1">
      <c r="A40" s="587" t="s">
        <v>181</v>
      </c>
      <c r="B40" s="830" t="s">
        <v>323</v>
      </c>
      <c r="C40" s="831"/>
      <c r="D40" s="832"/>
      <c r="E40" s="900"/>
      <c r="F40" s="536" t="s">
        <v>609</v>
      </c>
      <c r="G40" s="552"/>
      <c r="H40" s="889"/>
      <c r="I40" s="54">
        <f t="shared" ref="I40:I45" si="1">IF(G40&gt;=65%,1,0)</f>
        <v>0</v>
      </c>
      <c r="Q40" s="52"/>
      <c r="R40" s="44"/>
    </row>
    <row r="41" spans="1:18" s="29" customFormat="1" ht="63" customHeight="1">
      <c r="A41" s="587" t="s">
        <v>182</v>
      </c>
      <c r="B41" s="833" t="s">
        <v>204</v>
      </c>
      <c r="C41" s="834"/>
      <c r="D41" s="835"/>
      <c r="E41" s="900"/>
      <c r="F41" s="483" t="s">
        <v>598</v>
      </c>
      <c r="G41" s="553"/>
      <c r="H41" s="889"/>
      <c r="I41" s="54">
        <f t="shared" si="1"/>
        <v>0</v>
      </c>
      <c r="Q41" s="52"/>
      <c r="R41" s="44"/>
    </row>
    <row r="42" spans="1:18" s="29" customFormat="1" ht="48.75" customHeight="1">
      <c r="A42" s="587" t="s">
        <v>190</v>
      </c>
      <c r="B42" s="833" t="s">
        <v>205</v>
      </c>
      <c r="C42" s="834"/>
      <c r="D42" s="835"/>
      <c r="E42" s="900"/>
      <c r="F42" s="483" t="s">
        <v>611</v>
      </c>
      <c r="G42" s="553"/>
      <c r="H42" s="889"/>
      <c r="I42" s="54">
        <f t="shared" si="1"/>
        <v>0</v>
      </c>
      <c r="Q42" s="52"/>
      <c r="R42" s="44"/>
    </row>
    <row r="43" spans="1:18" s="29" customFormat="1" ht="45">
      <c r="A43" s="587" t="s">
        <v>183</v>
      </c>
      <c r="B43" s="833" t="s">
        <v>206</v>
      </c>
      <c r="C43" s="834"/>
      <c r="D43" s="835"/>
      <c r="E43" s="900"/>
      <c r="F43" s="483" t="s">
        <v>597</v>
      </c>
      <c r="G43" s="553"/>
      <c r="H43" s="889"/>
      <c r="I43" s="54">
        <f t="shared" si="1"/>
        <v>0</v>
      </c>
      <c r="Q43" s="52"/>
      <c r="R43" s="44"/>
    </row>
    <row r="44" spans="1:18" s="29" customFormat="1" ht="63" customHeight="1">
      <c r="A44" s="587" t="s">
        <v>191</v>
      </c>
      <c r="B44" s="833" t="s">
        <v>207</v>
      </c>
      <c r="C44" s="834"/>
      <c r="D44" s="835"/>
      <c r="E44" s="900"/>
      <c r="F44" s="483" t="s">
        <v>599</v>
      </c>
      <c r="G44" s="553"/>
      <c r="H44" s="889"/>
      <c r="I44" s="54">
        <f t="shared" si="1"/>
        <v>0</v>
      </c>
      <c r="Q44" s="52"/>
      <c r="R44" s="44"/>
    </row>
    <row r="45" spans="1:18" s="29" customFormat="1" ht="31.5" customHeight="1">
      <c r="A45" s="587" t="s">
        <v>184</v>
      </c>
      <c r="B45" s="915" t="s">
        <v>610</v>
      </c>
      <c r="C45" s="916"/>
      <c r="D45" s="886"/>
      <c r="E45" s="901"/>
      <c r="F45" s="483" t="s">
        <v>600</v>
      </c>
      <c r="G45" s="553"/>
      <c r="H45" s="829"/>
      <c r="I45" s="54">
        <f t="shared" si="1"/>
        <v>0</v>
      </c>
      <c r="Q45" s="52"/>
      <c r="R45" s="44"/>
    </row>
    <row r="46" spans="1:18" s="29" customFormat="1" ht="15.6">
      <c r="A46" s="583" t="s">
        <v>185</v>
      </c>
      <c r="B46" s="39" t="s">
        <v>307</v>
      </c>
      <c r="C46" s="55"/>
      <c r="D46" s="48"/>
      <c r="E46" s="51"/>
      <c r="F46" s="36"/>
      <c r="G46" s="23"/>
      <c r="H46" s="588"/>
      <c r="Q46" s="52"/>
      <c r="R46" s="44"/>
    </row>
    <row r="47" spans="1:18" s="29" customFormat="1" ht="31.5" customHeight="1">
      <c r="A47" s="543">
        <v>4.0999999999999996</v>
      </c>
      <c r="B47" s="858" t="s">
        <v>602</v>
      </c>
      <c r="C47" s="859"/>
      <c r="D47" s="840"/>
      <c r="E47" s="20">
        <f>VLOOKUP(A47,'Point Allocation'!$A$5:$J$15,MATCH(A7,'Point Allocation'!$A$5:$J$5,0),0)</f>
        <v>35</v>
      </c>
      <c r="F47" s="537"/>
      <c r="G47" s="31">
        <f>IFERROR(F47/$F$59,0)</f>
        <v>0</v>
      </c>
      <c r="H47" s="20">
        <f>E47*G47</f>
        <v>0</v>
      </c>
      <c r="Q47" s="52"/>
      <c r="R47" s="44"/>
    </row>
    <row r="48" spans="1:18" s="29" customFormat="1">
      <c r="A48" s="589">
        <v>4.2</v>
      </c>
      <c r="B48" s="825" t="s">
        <v>313</v>
      </c>
      <c r="C48" s="826"/>
      <c r="D48" s="827"/>
      <c r="E48" s="20">
        <f>VLOOKUP(A48,'Point Allocation'!$A$5:$J$15,MATCH(A7,'Point Allocation'!$A$5:$J$5,0),0)</f>
        <v>35</v>
      </c>
      <c r="F48" s="537"/>
      <c r="G48" s="31">
        <f>IFERROR(F48/$F$59,0)</f>
        <v>0</v>
      </c>
      <c r="H48" s="20">
        <f>E48*G48</f>
        <v>0</v>
      </c>
      <c r="Q48" s="52"/>
      <c r="R48" s="44"/>
    </row>
    <row r="49" spans="1:18" s="29" customFormat="1">
      <c r="A49" s="589">
        <v>4.3</v>
      </c>
      <c r="B49" s="902" t="s">
        <v>311</v>
      </c>
      <c r="C49" s="903"/>
      <c r="D49" s="904"/>
      <c r="E49" s="20">
        <f>VLOOKUP(A49,'Point Allocation'!$A$5:$J$15,MATCH(A7,'Point Allocation'!$A$5:$J$5,0),0)</f>
        <v>28</v>
      </c>
      <c r="F49" s="537"/>
      <c r="G49" s="31">
        <f>IFERROR(F49/$F$59,0)</f>
        <v>0</v>
      </c>
      <c r="H49" s="20">
        <f>E49*G49</f>
        <v>0</v>
      </c>
      <c r="Q49" s="52"/>
      <c r="R49" s="44"/>
    </row>
    <row r="50" spans="1:18" s="29" customFormat="1">
      <c r="A50" s="543">
        <v>4.4000000000000004</v>
      </c>
      <c r="B50" s="858" t="s">
        <v>312</v>
      </c>
      <c r="C50" s="859"/>
      <c r="D50" s="840"/>
      <c r="E50" s="20">
        <f>VLOOKUP(A50,'Point Allocation'!$A$5:$J$15,MATCH(A7,'Point Allocation'!$A$5:$J$5,0),0)</f>
        <v>28</v>
      </c>
      <c r="F50" s="537"/>
      <c r="G50" s="31">
        <f>IFERROR(F50/$F$59,0)</f>
        <v>0</v>
      </c>
      <c r="H50" s="20">
        <f>E50*G50</f>
        <v>0</v>
      </c>
      <c r="Q50" s="52"/>
      <c r="R50" s="44"/>
    </row>
    <row r="51" spans="1:18" s="58" customFormat="1" ht="15.6">
      <c r="A51" s="581" t="s">
        <v>186</v>
      </c>
      <c r="B51" s="45" t="s">
        <v>200</v>
      </c>
      <c r="C51" s="56"/>
      <c r="D51" s="57"/>
      <c r="E51" s="7"/>
      <c r="F51" s="7"/>
      <c r="G51" s="24"/>
      <c r="H51" s="590"/>
      <c r="I51" s="29"/>
      <c r="J51" s="29"/>
      <c r="K51" s="29"/>
      <c r="L51" s="29"/>
      <c r="M51" s="29"/>
      <c r="Q51" s="59"/>
    </row>
    <row r="52" spans="1:18" s="58" customFormat="1" ht="15.6">
      <c r="A52" s="39">
        <v>5</v>
      </c>
      <c r="B52" s="39" t="s">
        <v>201</v>
      </c>
      <c r="C52" s="48"/>
      <c r="D52" s="48"/>
      <c r="E52" s="8"/>
      <c r="F52" s="8"/>
      <c r="G52" s="22"/>
      <c r="H52" s="588"/>
      <c r="I52" s="29"/>
      <c r="J52" s="29"/>
      <c r="K52" s="29"/>
      <c r="L52" s="29"/>
      <c r="M52" s="29"/>
      <c r="Q52" s="59"/>
    </row>
    <row r="53" spans="1:18" s="29" customFormat="1">
      <c r="A53" s="541">
        <v>5.0999999999999996</v>
      </c>
      <c r="B53" s="822" t="s">
        <v>193</v>
      </c>
      <c r="C53" s="823"/>
      <c r="D53" s="824"/>
      <c r="E53" s="20">
        <f>VLOOKUP(A53,'Point Allocation'!$A$5:$J$15,MATCH(A7,'Point Allocation'!$A$5:$J$5,0),0)</f>
        <v>22</v>
      </c>
      <c r="F53" s="537"/>
      <c r="G53" s="31">
        <f>IFERROR(F53/$F$59,0)</f>
        <v>0</v>
      </c>
      <c r="H53" s="20">
        <f>E53*G53</f>
        <v>0</v>
      </c>
      <c r="Q53" s="52"/>
      <c r="R53" s="44"/>
    </row>
    <row r="54" spans="1:18" s="29" customFormat="1">
      <c r="A54" s="541">
        <v>5.2</v>
      </c>
      <c r="B54" s="822" t="s">
        <v>142</v>
      </c>
      <c r="C54" s="823"/>
      <c r="D54" s="824"/>
      <c r="E54" s="20">
        <f>VLOOKUP(A54,'Point Allocation'!$A$5:$J$15,MATCH(A7,'Point Allocation'!$A$5:$J$5,0),0)</f>
        <v>10</v>
      </c>
      <c r="F54" s="537"/>
      <c r="G54" s="31">
        <f>IFERROR(F54/$F$59,0)</f>
        <v>0</v>
      </c>
      <c r="H54" s="20">
        <f>E54*G54</f>
        <v>0</v>
      </c>
      <c r="Q54" s="52"/>
      <c r="R54" s="44"/>
    </row>
    <row r="55" spans="1:18" s="29" customFormat="1" ht="15.6">
      <c r="A55" s="60">
        <v>6</v>
      </c>
      <c r="B55" s="60" t="s">
        <v>202</v>
      </c>
      <c r="C55" s="48"/>
      <c r="D55" s="48"/>
      <c r="E55" s="8"/>
      <c r="F55" s="8"/>
      <c r="G55" s="22"/>
      <c r="H55" s="588"/>
      <c r="Q55" s="52"/>
      <c r="R55" s="44"/>
    </row>
    <row r="56" spans="1:18" s="29" customFormat="1">
      <c r="A56" s="591">
        <v>6.1</v>
      </c>
      <c r="B56" s="762"/>
      <c r="C56" s="763"/>
      <c r="D56" s="803"/>
      <c r="E56" s="537"/>
      <c r="F56" s="537"/>
      <c r="G56" s="31">
        <f>IFERROR(F56/$F$59,0)</f>
        <v>0</v>
      </c>
      <c r="H56" s="20">
        <f>E56*G56</f>
        <v>0</v>
      </c>
      <c r="Q56" s="52"/>
      <c r="R56" s="44"/>
    </row>
    <row r="57" spans="1:18" s="29" customFormat="1">
      <c r="A57" s="591">
        <v>6.2</v>
      </c>
      <c r="B57" s="762"/>
      <c r="C57" s="763"/>
      <c r="D57" s="803"/>
      <c r="E57" s="537"/>
      <c r="F57" s="537"/>
      <c r="G57" s="31">
        <f>IFERROR(F57/$F$59,0)</f>
        <v>0</v>
      </c>
      <c r="H57" s="20">
        <f>E57*G57</f>
        <v>0</v>
      </c>
      <c r="Q57" s="52"/>
      <c r="R57" s="44"/>
    </row>
    <row r="58" spans="1:18" s="29" customFormat="1">
      <c r="A58" s="591">
        <v>6.3</v>
      </c>
      <c r="B58" s="762"/>
      <c r="C58" s="763"/>
      <c r="D58" s="803"/>
      <c r="E58" s="537"/>
      <c r="F58" s="537"/>
      <c r="G58" s="31">
        <f>IFERROR(F58/$F$59,0)</f>
        <v>0</v>
      </c>
      <c r="H58" s="20">
        <f>E58*G58</f>
        <v>0</v>
      </c>
      <c r="Q58" s="52"/>
      <c r="R58" s="44"/>
    </row>
    <row r="59" spans="1:18" s="29" customFormat="1" ht="15.6">
      <c r="A59" s="592"/>
      <c r="B59" s="304"/>
      <c r="C59" s="305"/>
      <c r="D59" s="305"/>
      <c r="E59" s="306" t="s">
        <v>60</v>
      </c>
      <c r="F59" s="26">
        <f>SUM(F32,F35,F37,F38,F47,F48,F49,F50,F53,F54,F56,F57,F58)</f>
        <v>0</v>
      </c>
      <c r="G59" s="25">
        <f>SUM(G32,G35:G35,G37:G38,G47:G50,G53:G54,G56:G58)</f>
        <v>0</v>
      </c>
      <c r="H59" s="593">
        <f>IFERROR(SUM(H32:H58),0)</f>
        <v>0</v>
      </c>
      <c r="M59" s="61"/>
      <c r="Q59" s="52"/>
      <c r="R59" s="44"/>
    </row>
    <row r="60" spans="1:18" s="29" customFormat="1" ht="15.6" thickBot="1">
      <c r="A60" s="594"/>
      <c r="B60" s="361"/>
      <c r="C60" s="362"/>
      <c r="D60" s="362"/>
      <c r="E60" s="362"/>
      <c r="F60" s="362"/>
      <c r="G60" s="354"/>
      <c r="H60" s="595"/>
      <c r="Q60" s="52"/>
      <c r="R60" s="44"/>
    </row>
    <row r="61" spans="1:18" s="29" customFormat="1" ht="15.6">
      <c r="A61" s="896" t="s">
        <v>0</v>
      </c>
      <c r="B61" s="897"/>
      <c r="C61" s="461"/>
      <c r="D61" s="892" t="s">
        <v>4</v>
      </c>
      <c r="E61" s="894" t="s">
        <v>1</v>
      </c>
      <c r="F61" s="895"/>
      <c r="G61" s="890" t="s">
        <v>21</v>
      </c>
      <c r="H61" s="892" t="s">
        <v>62</v>
      </c>
      <c r="Q61" s="52"/>
      <c r="R61" s="44"/>
    </row>
    <row r="62" spans="1:18" s="29" customFormat="1" ht="31.2">
      <c r="A62" s="898"/>
      <c r="B62" s="899"/>
      <c r="C62" s="62"/>
      <c r="D62" s="893"/>
      <c r="E62" s="42" t="s">
        <v>117</v>
      </c>
      <c r="F62" s="42" t="s">
        <v>118</v>
      </c>
      <c r="G62" s="891"/>
      <c r="H62" s="893"/>
      <c r="I62" s="63"/>
      <c r="Q62" s="52"/>
      <c r="R62" s="44"/>
    </row>
    <row r="63" spans="1:18" s="29" customFormat="1" ht="15.6">
      <c r="A63" s="45" t="s">
        <v>208</v>
      </c>
      <c r="B63" s="45" t="s">
        <v>139</v>
      </c>
      <c r="C63" s="57"/>
      <c r="D63" s="64"/>
      <c r="E63" s="47"/>
      <c r="F63" s="47"/>
      <c r="G63" s="47"/>
      <c r="H63" s="596"/>
      <c r="I63" s="61"/>
      <c r="J63" s="61"/>
      <c r="K63" s="61"/>
      <c r="L63" s="61"/>
      <c r="Q63" s="52"/>
      <c r="R63" s="44"/>
    </row>
    <row r="64" spans="1:18" s="29" customFormat="1" ht="15" customHeight="1">
      <c r="A64" s="597" t="s">
        <v>314</v>
      </c>
      <c r="B64" s="837" t="s">
        <v>647</v>
      </c>
      <c r="C64" s="838"/>
      <c r="D64" s="5" t="s">
        <v>50</v>
      </c>
      <c r="E64" s="9">
        <v>3</v>
      </c>
      <c r="F64" s="9">
        <v>4</v>
      </c>
      <c r="G64" s="30"/>
      <c r="H64" s="20">
        <f>IF(G64&gt;=80%,F64,IF(G64&lt;65%,0,E64))</f>
        <v>0</v>
      </c>
      <c r="Q64" s="52"/>
      <c r="R64" s="44"/>
    </row>
    <row r="65" spans="1:18" s="29" customFormat="1">
      <c r="A65" s="597" t="s">
        <v>315</v>
      </c>
      <c r="B65" s="837" t="s">
        <v>646</v>
      </c>
      <c r="C65" s="838"/>
      <c r="D65" s="5" t="s">
        <v>50</v>
      </c>
      <c r="E65" s="9">
        <v>3</v>
      </c>
      <c r="F65" s="9">
        <v>4</v>
      </c>
      <c r="G65" s="30"/>
      <c r="H65" s="20">
        <f>IF(G65&gt;=80%,F65,IF(G65&lt;65%,0,E65))</f>
        <v>0</v>
      </c>
      <c r="Q65" s="52"/>
      <c r="R65" s="44"/>
    </row>
    <row r="66" spans="1:18" s="29" customFormat="1">
      <c r="A66" s="598" t="s">
        <v>316</v>
      </c>
      <c r="B66" s="837" t="s">
        <v>641</v>
      </c>
      <c r="C66" s="838"/>
      <c r="D66" s="5" t="s">
        <v>50</v>
      </c>
      <c r="E66" s="9">
        <v>3</v>
      </c>
      <c r="F66" s="9">
        <v>4</v>
      </c>
      <c r="G66" s="30"/>
      <c r="H66" s="20">
        <f>IF(G66&gt;=80%,F66,IF(G66&lt;65%,0,E66))</f>
        <v>0</v>
      </c>
      <c r="Q66" s="52"/>
      <c r="R66" s="44"/>
    </row>
    <row r="67" spans="1:18" s="29" customFormat="1" ht="51" customHeight="1">
      <c r="A67" s="597">
        <v>7.2</v>
      </c>
      <c r="B67" s="841" t="s">
        <v>319</v>
      </c>
      <c r="C67" s="841"/>
      <c r="D67" s="385" t="s">
        <v>50</v>
      </c>
      <c r="E67" s="546">
        <v>2</v>
      </c>
      <c r="F67" s="546">
        <v>2.5</v>
      </c>
      <c r="G67" s="518"/>
      <c r="H67" s="546">
        <f>IF(H38&gt;0,0,IF(G67&gt;=80%,F67,IF(G67&lt;65%,0,E67)))</f>
        <v>0</v>
      </c>
      <c r="I67" s="11"/>
      <c r="J67" s="11"/>
      <c r="K67" s="11"/>
      <c r="Q67" s="52"/>
      <c r="R67" s="44"/>
    </row>
    <row r="68" spans="1:18" s="29" customFormat="1" ht="15" customHeight="1">
      <c r="A68" s="597">
        <v>7.3</v>
      </c>
      <c r="B68" s="858" t="s">
        <v>215</v>
      </c>
      <c r="C68" s="859"/>
      <c r="D68" s="353"/>
      <c r="E68" s="353"/>
      <c r="F68" s="353"/>
      <c r="G68" s="519"/>
      <c r="H68" s="599"/>
      <c r="I68" s="11"/>
      <c r="J68" s="11"/>
      <c r="K68" s="11"/>
      <c r="Q68" s="52"/>
      <c r="R68" s="44"/>
    </row>
    <row r="69" spans="1:18" s="29" customFormat="1" ht="32.25" customHeight="1">
      <c r="A69" s="598" t="s">
        <v>209</v>
      </c>
      <c r="B69" s="839" t="s">
        <v>216</v>
      </c>
      <c r="C69" s="840"/>
      <c r="D69" s="980" t="s">
        <v>50</v>
      </c>
      <c r="E69" s="279">
        <v>1</v>
      </c>
      <c r="F69" s="279">
        <v>1.5</v>
      </c>
      <c r="G69" s="553"/>
      <c r="H69" s="279">
        <f>IF(H32+H38&gt;0,0.5,IF(G69&gt;=80%,F69,IF(G69&lt;65%,0,E69)))</f>
        <v>0</v>
      </c>
      <c r="J69" s="11"/>
      <c r="K69" s="11"/>
      <c r="Q69" s="52"/>
      <c r="R69" s="44"/>
    </row>
    <row r="70" spans="1:18" s="29" customFormat="1" ht="47.25" customHeight="1">
      <c r="A70" s="598" t="s">
        <v>210</v>
      </c>
      <c r="B70" s="839" t="s">
        <v>217</v>
      </c>
      <c r="C70" s="840"/>
      <c r="D70" s="981"/>
      <c r="E70" s="279">
        <v>1</v>
      </c>
      <c r="F70" s="279">
        <v>1.5</v>
      </c>
      <c r="G70" s="553"/>
      <c r="H70" s="279">
        <f>IF(H32+H38&gt;0,0.5,IF(G70&gt;=80%,F70,IF(G70&lt;65%,0,E70)))</f>
        <v>0</v>
      </c>
      <c r="Q70" s="52"/>
      <c r="R70" s="44"/>
    </row>
    <row r="71" spans="1:18" s="29" customFormat="1">
      <c r="A71" s="598" t="s">
        <v>222</v>
      </c>
      <c r="B71" s="839" t="s">
        <v>218</v>
      </c>
      <c r="C71" s="840"/>
      <c r="D71" s="981"/>
      <c r="E71" s="279">
        <v>1</v>
      </c>
      <c r="F71" s="279">
        <v>1.5</v>
      </c>
      <c r="G71" s="553"/>
      <c r="H71" s="279">
        <f>IF(H32+H38&gt;0,0.5,IF(G71&gt;=80%,F71,IF(G71&lt;65%,0,E71)))</f>
        <v>0</v>
      </c>
      <c r="Q71" s="52"/>
      <c r="R71" s="44"/>
    </row>
    <row r="72" spans="1:18" s="29" customFormat="1" ht="46.5" customHeight="1">
      <c r="A72" s="598" t="s">
        <v>211</v>
      </c>
      <c r="B72" s="839" t="s">
        <v>219</v>
      </c>
      <c r="C72" s="840"/>
      <c r="D72" s="982"/>
      <c r="E72" s="279">
        <v>1</v>
      </c>
      <c r="F72" s="279">
        <v>1.5</v>
      </c>
      <c r="G72" s="553"/>
      <c r="H72" s="279">
        <f>IF(H32+H38&gt;0,0.5,IF(G72&gt;=80%,F72,IF(G72&lt;65%,0,E72)))</f>
        <v>0</v>
      </c>
      <c r="Q72" s="52"/>
      <c r="R72" s="44"/>
    </row>
    <row r="73" spans="1:18" s="29" customFormat="1">
      <c r="A73" s="597">
        <v>7.4</v>
      </c>
      <c r="B73" s="923" t="s">
        <v>393</v>
      </c>
      <c r="C73" s="923"/>
      <c r="D73" s="332" t="s">
        <v>2</v>
      </c>
      <c r="E73" s="279">
        <v>1</v>
      </c>
      <c r="F73" s="279">
        <v>1.5</v>
      </c>
      <c r="G73" s="553"/>
      <c r="H73" s="279">
        <f>IF(G73&gt;=80%,F73,IF(G73&lt;65%,0,E73))</f>
        <v>0</v>
      </c>
      <c r="Q73" s="52"/>
      <c r="R73" s="44"/>
    </row>
    <row r="74" spans="1:18" s="29" customFormat="1" ht="15" customHeight="1">
      <c r="A74" s="600">
        <v>7.5</v>
      </c>
      <c r="B74" s="928" t="s">
        <v>380</v>
      </c>
      <c r="C74" s="928"/>
      <c r="D74" s="490" t="s">
        <v>377</v>
      </c>
      <c r="E74" s="979">
        <v>2</v>
      </c>
      <c r="F74" s="979"/>
      <c r="G74" s="552"/>
      <c r="H74" s="557">
        <f>IF(G74&gt;=5%,E74,0)</f>
        <v>0</v>
      </c>
      <c r="Q74" s="52"/>
      <c r="R74" s="44"/>
    </row>
    <row r="75" spans="1:18" s="29" customFormat="1" ht="15.6">
      <c r="A75" s="66" t="s">
        <v>212</v>
      </c>
      <c r="B75" s="66" t="s">
        <v>517</v>
      </c>
      <c r="C75" s="67"/>
      <c r="D75" s="68"/>
      <c r="E75" s="69"/>
      <c r="F75" s="69"/>
      <c r="G75" s="69"/>
      <c r="H75" s="601"/>
      <c r="Q75" s="52"/>
      <c r="R75" s="44"/>
    </row>
    <row r="76" spans="1:18" s="29" customFormat="1">
      <c r="A76" s="597">
        <v>8.1</v>
      </c>
      <c r="B76" s="836" t="s">
        <v>220</v>
      </c>
      <c r="C76" s="836"/>
      <c r="D76" s="5" t="s">
        <v>50</v>
      </c>
      <c r="E76" s="20">
        <v>2</v>
      </c>
      <c r="F76" s="20">
        <v>2.5</v>
      </c>
      <c r="G76" s="553"/>
      <c r="H76" s="20">
        <f>IF(G76&gt;=80%,F76,IF(G76&lt;65%,0,E76))</f>
        <v>0</v>
      </c>
      <c r="I76" s="70"/>
      <c r="Q76" s="52"/>
      <c r="R76" s="44"/>
    </row>
    <row r="77" spans="1:18" s="29" customFormat="1">
      <c r="A77" s="597">
        <v>8.1999999999999993</v>
      </c>
      <c r="B77" s="836" t="s">
        <v>221</v>
      </c>
      <c r="C77" s="836"/>
      <c r="D77" s="5" t="s">
        <v>50</v>
      </c>
      <c r="E77" s="20">
        <v>2</v>
      </c>
      <c r="F77" s="20">
        <v>2.5</v>
      </c>
      <c r="G77" s="553"/>
      <c r="H77" s="20">
        <f>IF(G77&gt;=80%,F77,IF(G77&lt;65%,0,E77))</f>
        <v>0</v>
      </c>
      <c r="I77" s="11"/>
      <c r="J77" s="11"/>
      <c r="K77" s="11"/>
      <c r="Q77" s="52"/>
      <c r="R77" s="44"/>
    </row>
    <row r="78" spans="1:18" s="29" customFormat="1" ht="30.6" customHeight="1">
      <c r="A78" s="602">
        <v>8.3000000000000007</v>
      </c>
      <c r="B78" s="825" t="s">
        <v>607</v>
      </c>
      <c r="C78" s="827"/>
      <c r="D78" s="420" t="s">
        <v>50</v>
      </c>
      <c r="E78" s="434">
        <v>2</v>
      </c>
      <c r="F78" s="434">
        <v>2.5</v>
      </c>
      <c r="G78" s="553"/>
      <c r="H78" s="279">
        <f>IF(H76&gt;0,0,IF(G78&gt;=80%,F78,IF(G78&lt;65%,0,E78)))</f>
        <v>0</v>
      </c>
      <c r="I78" s="11"/>
      <c r="J78" s="11"/>
      <c r="K78" s="11"/>
      <c r="Q78" s="52"/>
      <c r="R78" s="44"/>
    </row>
    <row r="79" spans="1:18" s="29" customFormat="1">
      <c r="A79" s="602">
        <v>8.4</v>
      </c>
      <c r="B79" s="917" t="s">
        <v>138</v>
      </c>
      <c r="C79" s="843"/>
      <c r="D79" s="420" t="s">
        <v>2</v>
      </c>
      <c r="E79" s="434">
        <v>2</v>
      </c>
      <c r="F79" s="434">
        <v>2.5</v>
      </c>
      <c r="G79" s="30"/>
      <c r="H79" s="20">
        <f>IF(G79&gt;=80%,F79,IF(G79&lt;65%,0,E79))</f>
        <v>0</v>
      </c>
      <c r="Q79" s="52"/>
      <c r="R79" s="44"/>
    </row>
    <row r="80" spans="1:18" s="29" customFormat="1" ht="15.6">
      <c r="A80" s="66" t="s">
        <v>213</v>
      </c>
      <c r="B80" s="66" t="s">
        <v>518</v>
      </c>
      <c r="C80" s="67"/>
      <c r="D80" s="68"/>
      <c r="E80" s="69"/>
      <c r="F80" s="69"/>
      <c r="G80" s="69"/>
      <c r="H80" s="601"/>
      <c r="Q80" s="52"/>
      <c r="R80" s="44"/>
    </row>
    <row r="81" spans="1:18" s="29" customFormat="1" ht="31.5" customHeight="1">
      <c r="A81" s="602">
        <v>9.1</v>
      </c>
      <c r="B81" s="978" t="s">
        <v>514</v>
      </c>
      <c r="C81" s="978"/>
      <c r="D81" s="420" t="s">
        <v>50</v>
      </c>
      <c r="E81" s="434" t="s">
        <v>49</v>
      </c>
      <c r="F81" s="434">
        <v>2.5</v>
      </c>
      <c r="G81" s="517">
        <f>F21</f>
        <v>0</v>
      </c>
      <c r="H81" s="434">
        <f>IF(G81&gt;=80%,F81,0)</f>
        <v>0</v>
      </c>
      <c r="Q81" s="52"/>
      <c r="R81" s="44"/>
    </row>
    <row r="82" spans="1:18" s="29" customFormat="1" ht="31.5" customHeight="1">
      <c r="A82" s="602">
        <v>9.1999999999999993</v>
      </c>
      <c r="B82" s="825" t="s">
        <v>608</v>
      </c>
      <c r="C82" s="827"/>
      <c r="D82" s="420" t="s">
        <v>50</v>
      </c>
      <c r="E82" s="434">
        <v>2</v>
      </c>
      <c r="F82" s="434">
        <v>2.5</v>
      </c>
      <c r="G82" s="553"/>
      <c r="H82" s="279">
        <f>IF(G82&gt;=80%,F82,IF(G82&lt;65%,0,E82))</f>
        <v>0</v>
      </c>
      <c r="Q82" s="52"/>
      <c r="R82" s="44"/>
    </row>
    <row r="83" spans="1:18" s="29" customFormat="1" ht="15.6">
      <c r="A83" s="71" t="s">
        <v>214</v>
      </c>
      <c r="B83" s="71" t="s">
        <v>202</v>
      </c>
      <c r="C83" s="57"/>
      <c r="D83" s="57"/>
      <c r="E83" s="72"/>
      <c r="F83" s="72"/>
      <c r="G83" s="73"/>
      <c r="H83" s="603"/>
      <c r="Q83" s="52"/>
      <c r="R83" s="44"/>
    </row>
    <row r="84" spans="1:18" s="29" customFormat="1">
      <c r="A84" s="597">
        <v>10.1</v>
      </c>
      <c r="B84" s="776"/>
      <c r="C84" s="776"/>
      <c r="D84" s="520"/>
      <c r="E84" s="537"/>
      <c r="F84" s="537"/>
      <c r="G84" s="553"/>
      <c r="H84" s="20">
        <f>IF(G84&gt;=80%,F84,IF(G84&lt;65%,0,E84))</f>
        <v>0</v>
      </c>
      <c r="Q84" s="52"/>
      <c r="R84" s="44"/>
    </row>
    <row r="85" spans="1:18" s="29" customFormat="1">
      <c r="A85" s="597">
        <v>10.199999999999999</v>
      </c>
      <c r="B85" s="776"/>
      <c r="C85" s="776"/>
      <c r="D85" s="520"/>
      <c r="E85" s="537"/>
      <c r="F85" s="537"/>
      <c r="G85" s="553"/>
      <c r="H85" s="20">
        <f>IF(G85&gt;=80%,F85,IF(G85&lt;65%,0,E85))</f>
        <v>0</v>
      </c>
      <c r="Q85" s="52"/>
      <c r="R85" s="44"/>
    </row>
    <row r="86" spans="1:18" s="29" customFormat="1">
      <c r="A86" s="597">
        <v>10.3</v>
      </c>
      <c r="B86" s="776"/>
      <c r="C86" s="776"/>
      <c r="D86" s="520"/>
      <c r="E86" s="537"/>
      <c r="F86" s="537"/>
      <c r="G86" s="553"/>
      <c r="H86" s="20">
        <f>IF(G86&gt;=80%,F86,IF(G86&lt;65%,0,E86))</f>
        <v>0</v>
      </c>
      <c r="Q86" s="52"/>
      <c r="R86" s="44"/>
    </row>
    <row r="87" spans="1:18" s="29" customFormat="1" ht="15.6">
      <c r="A87" s="604"/>
      <c r="B87" s="307"/>
      <c r="C87" s="305"/>
      <c r="D87" s="305"/>
      <c r="E87" s="308"/>
      <c r="F87" s="309"/>
      <c r="G87" s="310" t="s">
        <v>375</v>
      </c>
      <c r="H87" s="605">
        <f>IFERROR((SUM(H64:H86)),0)</f>
        <v>0</v>
      </c>
      <c r="Q87" s="52"/>
      <c r="R87" s="44"/>
    </row>
    <row r="88" spans="1:18" s="29" customFormat="1">
      <c r="A88" s="592"/>
      <c r="B88" s="307"/>
      <c r="C88" s="305"/>
      <c r="D88" s="305"/>
      <c r="E88" s="305"/>
      <c r="F88" s="305"/>
      <c r="G88" s="311"/>
      <c r="H88" s="571"/>
      <c r="Q88" s="52"/>
      <c r="R88" s="44"/>
    </row>
    <row r="89" spans="1:18" s="29" customFormat="1" ht="15.6">
      <c r="A89" s="592"/>
      <c r="B89" s="307"/>
      <c r="C89" s="305"/>
      <c r="D89" s="305"/>
      <c r="E89" s="305"/>
      <c r="F89" s="305"/>
      <c r="G89" s="312" t="s">
        <v>128</v>
      </c>
      <c r="H89" s="74">
        <f>IFERROR(MIN(G27,H59+H87),0)</f>
        <v>0</v>
      </c>
      <c r="Q89" s="52"/>
      <c r="R89" s="44"/>
    </row>
    <row r="90" spans="1:18" s="29" customFormat="1" ht="16.2" thickBot="1">
      <c r="A90" s="594"/>
      <c r="B90" s="361"/>
      <c r="C90" s="362"/>
      <c r="D90" s="362"/>
      <c r="E90" s="362"/>
      <c r="F90" s="362"/>
      <c r="G90" s="364"/>
      <c r="H90" s="606"/>
      <c r="Q90" s="52"/>
      <c r="R90" s="44"/>
    </row>
    <row r="91" spans="1:18" s="29" customFormat="1" ht="15.6">
      <c r="A91" s="607" t="s">
        <v>51</v>
      </c>
      <c r="B91" s="358"/>
      <c r="C91" s="358"/>
      <c r="D91" s="358"/>
      <c r="E91" s="358"/>
      <c r="F91" s="359" t="s">
        <v>42</v>
      </c>
      <c r="G91" s="360">
        <f>VLOOKUP($A$7,'Manpower allocation'!A4:D11,3,FALSE)*100</f>
        <v>40</v>
      </c>
      <c r="H91" s="608" t="s">
        <v>41</v>
      </c>
      <c r="I91" s="75">
        <f>VLOOKUP($A$7,'Manpower allocation'!A4:D11,3,FALSE)*100</f>
        <v>40</v>
      </c>
      <c r="Q91" s="52"/>
      <c r="R91" s="44"/>
    </row>
    <row r="92" spans="1:18" s="29" customFormat="1" ht="15.6">
      <c r="A92" s="592"/>
      <c r="B92" s="313"/>
      <c r="C92" s="308"/>
      <c r="D92" s="305"/>
      <c r="E92" s="305"/>
      <c r="F92" s="305"/>
      <c r="G92" s="314"/>
      <c r="H92" s="571"/>
      <c r="Q92" s="52"/>
      <c r="R92" s="44"/>
    </row>
    <row r="93" spans="1:18" s="29" customFormat="1" ht="46.8">
      <c r="A93" s="609" t="s">
        <v>0</v>
      </c>
      <c r="B93" s="556"/>
      <c r="C93" s="156"/>
      <c r="D93" s="76"/>
      <c r="E93" s="77" t="s">
        <v>17</v>
      </c>
      <c r="F93" s="78" t="s">
        <v>80</v>
      </c>
      <c r="G93" s="78" t="s">
        <v>20</v>
      </c>
      <c r="H93" s="550" t="s">
        <v>52</v>
      </c>
      <c r="Q93" s="52"/>
      <c r="R93" s="44"/>
    </row>
    <row r="94" spans="1:18" s="29" customFormat="1" ht="15.6">
      <c r="A94" s="79" t="s">
        <v>280</v>
      </c>
      <c r="B94" s="79" t="s">
        <v>298</v>
      </c>
      <c r="C94" s="80"/>
      <c r="D94" s="80"/>
      <c r="E94" s="81"/>
      <c r="F94" s="81"/>
      <c r="G94" s="81"/>
      <c r="H94" s="610"/>
      <c r="Q94" s="52"/>
      <c r="R94" s="44"/>
    </row>
    <row r="95" spans="1:18" s="29" customFormat="1" ht="15.6">
      <c r="A95" s="82">
        <v>1</v>
      </c>
      <c r="B95" s="82" t="s">
        <v>304</v>
      </c>
      <c r="C95" s="83"/>
      <c r="D95" s="83"/>
      <c r="E95" s="84"/>
      <c r="F95" s="84"/>
      <c r="G95" s="84"/>
      <c r="H95" s="611"/>
      <c r="Q95" s="52"/>
      <c r="R95" s="44"/>
    </row>
    <row r="96" spans="1:18" s="29" customFormat="1">
      <c r="A96" s="597">
        <v>1.1000000000000001</v>
      </c>
      <c r="B96" s="858" t="s">
        <v>271</v>
      </c>
      <c r="C96" s="823"/>
      <c r="D96" s="824"/>
      <c r="E96" s="85">
        <f>VLOOKUP(A96,'Point Allocation'!$A$20:$J$41,MATCH(A7,'Point Allocation'!$A$20:$J$20,0),0)</f>
        <v>30</v>
      </c>
      <c r="F96" s="86"/>
      <c r="G96" s="87">
        <f>IFERROR(F96/$F$120,0)</f>
        <v>0</v>
      </c>
      <c r="H96" s="612">
        <f>E96*G96</f>
        <v>0</v>
      </c>
      <c r="Q96" s="44"/>
      <c r="R96" s="44"/>
    </row>
    <row r="97" spans="1:18" s="29" customFormat="1" ht="15.6">
      <c r="A97" s="88">
        <v>2</v>
      </c>
      <c r="B97" s="88" t="s">
        <v>305</v>
      </c>
      <c r="C97" s="89"/>
      <c r="D97" s="90"/>
      <c r="E97" s="90"/>
      <c r="F97" s="91"/>
      <c r="G97" s="92"/>
      <c r="H97" s="613"/>
      <c r="Q97" s="52"/>
      <c r="R97" s="44"/>
    </row>
    <row r="98" spans="1:18" s="29" customFormat="1">
      <c r="A98" s="814">
        <v>2.1</v>
      </c>
      <c r="B98" s="822" t="s">
        <v>196</v>
      </c>
      <c r="C98" s="823"/>
      <c r="D98" s="824"/>
      <c r="E98" s="819">
        <f>VLOOKUP(A98,'Point Allocation'!$A$20:$J$41,MATCH(A7,'Point Allocation'!$A$20:$J$20,0),0)</f>
        <v>28</v>
      </c>
      <c r="F98" s="820"/>
      <c r="G98" s="821">
        <f>IFERROR(F98/$F$120,0)</f>
        <v>0</v>
      </c>
      <c r="H98" s="819">
        <f>E98*G98</f>
        <v>0</v>
      </c>
      <c r="Q98" s="52"/>
      <c r="R98" s="44"/>
    </row>
    <row r="99" spans="1:18" s="29" customFormat="1" ht="15.6">
      <c r="A99" s="878"/>
      <c r="B99" s="816" t="s">
        <v>119</v>
      </c>
      <c r="C99" s="817"/>
      <c r="D99" s="818"/>
      <c r="E99" s="819"/>
      <c r="F99" s="820"/>
      <c r="G99" s="821"/>
      <c r="H99" s="819"/>
      <c r="Q99" s="52"/>
      <c r="R99" s="44"/>
    </row>
    <row r="100" spans="1:18" s="29" customFormat="1">
      <c r="A100" s="814">
        <v>2.2000000000000002</v>
      </c>
      <c r="B100" s="825" t="s">
        <v>606</v>
      </c>
      <c r="C100" s="826"/>
      <c r="D100" s="827"/>
      <c r="E100" s="819">
        <f>VLOOKUP(A100,'Point Allocation'!$A$20:$J$41,MATCH(A7,'Point Allocation'!$A$20:$J$20,0),0)</f>
        <v>28</v>
      </c>
      <c r="F100" s="820"/>
      <c r="G100" s="821">
        <f>IFERROR(F100/$F$120,0)</f>
        <v>0</v>
      </c>
      <c r="H100" s="819">
        <f>E100*G100</f>
        <v>0</v>
      </c>
      <c r="Q100" s="52"/>
      <c r="R100" s="44"/>
    </row>
    <row r="101" spans="1:18" s="29" customFormat="1" ht="15.6">
      <c r="A101" s="815"/>
      <c r="B101" s="816" t="s">
        <v>119</v>
      </c>
      <c r="C101" s="817"/>
      <c r="D101" s="818"/>
      <c r="E101" s="819"/>
      <c r="F101" s="820"/>
      <c r="G101" s="821"/>
      <c r="H101" s="819"/>
      <c r="Q101" s="52"/>
      <c r="R101" s="44"/>
    </row>
    <row r="102" spans="1:18" s="29" customFormat="1" ht="15.6">
      <c r="A102" s="82">
        <v>3</v>
      </c>
      <c r="B102" s="82" t="s">
        <v>306</v>
      </c>
      <c r="C102" s="89"/>
      <c r="D102" s="89"/>
      <c r="E102" s="91"/>
      <c r="F102" s="91"/>
      <c r="G102" s="92"/>
      <c r="H102" s="614"/>
      <c r="Q102" s="52"/>
      <c r="R102" s="44"/>
    </row>
    <row r="103" spans="1:18" s="29" customFormat="1">
      <c r="A103" s="814">
        <v>3.1</v>
      </c>
      <c r="B103" s="822" t="s">
        <v>197</v>
      </c>
      <c r="C103" s="823"/>
      <c r="D103" s="824"/>
      <c r="E103" s="819">
        <f>VLOOKUP(A103,'Point Allocation'!$A$20:$J$41,MATCH(A7,'Point Allocation'!$A$20:$J$20,0),0)</f>
        <v>27</v>
      </c>
      <c r="F103" s="820"/>
      <c r="G103" s="821">
        <f>IFERROR(F103/$F$120,0)</f>
        <v>0</v>
      </c>
      <c r="H103" s="819">
        <f>E103*G103</f>
        <v>0</v>
      </c>
      <c r="Q103" s="52"/>
      <c r="R103" s="44"/>
    </row>
    <row r="104" spans="1:18" s="29" customFormat="1" ht="15.6">
      <c r="A104" s="878"/>
      <c r="B104" s="816" t="s">
        <v>267</v>
      </c>
      <c r="C104" s="817"/>
      <c r="D104" s="818"/>
      <c r="E104" s="819"/>
      <c r="F104" s="820"/>
      <c r="G104" s="821"/>
      <c r="H104" s="819"/>
      <c r="Q104" s="52"/>
      <c r="R104" s="44"/>
    </row>
    <row r="105" spans="1:18" s="29" customFormat="1" ht="15.6">
      <c r="A105" s="82">
        <v>4</v>
      </c>
      <c r="B105" s="82" t="s">
        <v>307</v>
      </c>
      <c r="C105" s="89"/>
      <c r="D105" s="89"/>
      <c r="E105" s="91"/>
      <c r="F105" s="91"/>
      <c r="G105" s="92"/>
      <c r="H105" s="614"/>
      <c r="Q105" s="52"/>
      <c r="R105" s="44"/>
    </row>
    <row r="106" spans="1:18" s="29" customFormat="1" ht="30" customHeight="1">
      <c r="A106" s="598" t="s">
        <v>194</v>
      </c>
      <c r="B106" s="833" t="s">
        <v>273</v>
      </c>
      <c r="C106" s="834"/>
      <c r="D106" s="835"/>
      <c r="E106" s="93">
        <f>VLOOKUP(A106,'Point Allocation'!$A$20:$J$41,MATCH(A7,'Point Allocation'!$A$20:$J$20,0),0)</f>
        <v>25</v>
      </c>
      <c r="F106" s="538"/>
      <c r="G106" s="539">
        <f>IFERROR(F106/$F$120,0)</f>
        <v>0</v>
      </c>
      <c r="H106" s="94">
        <f>E106*G106</f>
        <v>0</v>
      </c>
      <c r="Q106" s="939"/>
      <c r="R106" s="44"/>
    </row>
    <row r="107" spans="1:18" s="29" customFormat="1">
      <c r="A107" s="598" t="s">
        <v>195</v>
      </c>
      <c r="B107" s="833" t="s">
        <v>274</v>
      </c>
      <c r="C107" s="834"/>
      <c r="D107" s="835"/>
      <c r="E107" s="93">
        <f>VLOOKUP(A107,'Point Allocation'!$A$20:$J$41,MATCH(A7,'Point Allocation'!$A$20:$J$20,0),0)</f>
        <v>25</v>
      </c>
      <c r="F107" s="538"/>
      <c r="G107" s="539">
        <f>IFERROR(F107/$F$120,0)</f>
        <v>0</v>
      </c>
      <c r="H107" s="94">
        <f>E107*G107</f>
        <v>0</v>
      </c>
      <c r="Q107" s="939"/>
      <c r="R107" s="44"/>
    </row>
    <row r="108" spans="1:18" s="29" customFormat="1">
      <c r="A108" s="597">
        <v>4.2</v>
      </c>
      <c r="B108" s="848" t="s">
        <v>198</v>
      </c>
      <c r="C108" s="924"/>
      <c r="D108" s="849"/>
      <c r="E108" s="93">
        <f>VLOOKUP(A108,'Point Allocation'!$A$20:$J$41,MATCH(A7,'Point Allocation'!$A$20:$J$20,0),0)</f>
        <v>25</v>
      </c>
      <c r="F108" s="538"/>
      <c r="G108" s="539">
        <f>IFERROR(F108/$F$120,0)</f>
        <v>0</v>
      </c>
      <c r="H108" s="94">
        <f>E108*G108</f>
        <v>0</v>
      </c>
      <c r="Q108" s="52"/>
      <c r="R108" s="44"/>
    </row>
    <row r="109" spans="1:18" s="29" customFormat="1">
      <c r="A109" s="597">
        <v>4.3</v>
      </c>
      <c r="B109" s="925" t="s">
        <v>150</v>
      </c>
      <c r="C109" s="926"/>
      <c r="D109" s="927"/>
      <c r="E109" s="93">
        <f>VLOOKUP(A109,'Point Allocation'!$A$20:$J$41,MATCH(A7,'Point Allocation'!$A$20:$J$20,0),0)</f>
        <v>25</v>
      </c>
      <c r="F109" s="538"/>
      <c r="G109" s="539">
        <f>IFERROR(F109/$F$120,0)</f>
        <v>0</v>
      </c>
      <c r="H109" s="174">
        <f>E109*G109</f>
        <v>0</v>
      </c>
      <c r="Q109" s="52"/>
      <c r="R109" s="44"/>
    </row>
    <row r="110" spans="1:18" s="29" customFormat="1">
      <c r="A110" s="597">
        <v>4.4000000000000004</v>
      </c>
      <c r="B110" s="925" t="s">
        <v>320</v>
      </c>
      <c r="C110" s="926"/>
      <c r="D110" s="927"/>
      <c r="E110" s="93">
        <f>VLOOKUP(A110,'Point Allocation'!$A$20:$J$41,MATCH(A7,'Point Allocation'!$A$20:$J$20,0),0)</f>
        <v>22</v>
      </c>
      <c r="F110" s="538"/>
      <c r="G110" s="539">
        <f>IFERROR(F110/$F$120,0)</f>
        <v>0</v>
      </c>
      <c r="H110" s="174">
        <f>E110*G110</f>
        <v>0</v>
      </c>
      <c r="Q110" s="52"/>
      <c r="R110" s="44"/>
    </row>
    <row r="111" spans="1:18" s="29" customFormat="1" ht="15.6">
      <c r="A111" s="95" t="s">
        <v>281</v>
      </c>
      <c r="B111" s="95" t="s">
        <v>223</v>
      </c>
      <c r="C111" s="96"/>
      <c r="D111" s="97"/>
      <c r="E111" s="98"/>
      <c r="F111" s="99"/>
      <c r="G111" s="100"/>
      <c r="H111" s="615"/>
      <c r="Q111" s="52"/>
      <c r="R111" s="44"/>
    </row>
    <row r="112" spans="1:18" s="29" customFormat="1" ht="15.6">
      <c r="A112" s="82">
        <v>5</v>
      </c>
      <c r="B112" s="82" t="s">
        <v>224</v>
      </c>
      <c r="C112" s="89"/>
      <c r="D112" s="89"/>
      <c r="E112" s="91"/>
      <c r="F112" s="91"/>
      <c r="G112" s="92"/>
      <c r="H112" s="614"/>
      <c r="Q112" s="52"/>
      <c r="R112" s="44"/>
    </row>
    <row r="113" spans="1:18" s="29" customFormat="1">
      <c r="A113" s="597">
        <v>5.0999999999999996</v>
      </c>
      <c r="B113" s="822" t="s">
        <v>199</v>
      </c>
      <c r="C113" s="823"/>
      <c r="D113" s="824"/>
      <c r="E113" s="101">
        <f>VLOOKUP(A113,'Point Allocation'!$A$20:$J$41,MATCH(A7,'Point Allocation'!$A$20:$J$20,0),0)</f>
        <v>16</v>
      </c>
      <c r="F113" s="147"/>
      <c r="G113" s="539">
        <f>IFERROR(F113/$F$120,0)</f>
        <v>0</v>
      </c>
      <c r="H113" s="547">
        <f>E113*G113</f>
        <v>0</v>
      </c>
      <c r="Q113" s="52"/>
      <c r="R113" s="44"/>
    </row>
    <row r="114" spans="1:18" s="29" customFormat="1">
      <c r="A114" s="597">
        <v>5.2</v>
      </c>
      <c r="B114" s="822" t="s">
        <v>321</v>
      </c>
      <c r="C114" s="823"/>
      <c r="D114" s="824"/>
      <c r="E114" s="101">
        <f>VLOOKUP(A114,'Point Allocation'!$A$20:$J$41,MATCH(A7,'Point Allocation'!$A$20:$J$20,0),0)</f>
        <v>5</v>
      </c>
      <c r="F114" s="86"/>
      <c r="G114" s="539">
        <f>IFERROR(F114/$F$120,0)</f>
        <v>0</v>
      </c>
      <c r="H114" s="547">
        <f>E114*G114</f>
        <v>0</v>
      </c>
      <c r="Q114" s="52"/>
      <c r="R114" s="44"/>
    </row>
    <row r="115" spans="1:18" s="29" customFormat="1">
      <c r="A115" s="597">
        <v>5.3</v>
      </c>
      <c r="B115" s="822" t="s">
        <v>322</v>
      </c>
      <c r="C115" s="823"/>
      <c r="D115" s="824"/>
      <c r="E115" s="101">
        <f>VLOOKUP(A115,'Point Allocation'!$A$20:$J$41,MATCH(A7,'Point Allocation'!$A$20:$J$20,0),0)</f>
        <v>0</v>
      </c>
      <c r="F115" s="146"/>
      <c r="G115" s="539">
        <f>IFERROR(F115/$F$120,0)</f>
        <v>0</v>
      </c>
      <c r="H115" s="616">
        <f>E115*G115</f>
        <v>0</v>
      </c>
      <c r="Q115" s="52"/>
      <c r="R115" s="44"/>
    </row>
    <row r="116" spans="1:18" s="29" customFormat="1" ht="15.6">
      <c r="A116" s="102">
        <v>6</v>
      </c>
      <c r="B116" s="102" t="s">
        <v>202</v>
      </c>
      <c r="C116" s="89"/>
      <c r="D116" s="89"/>
      <c r="E116" s="91"/>
      <c r="F116" s="91"/>
      <c r="G116" s="92"/>
      <c r="H116" s="614"/>
      <c r="Q116" s="52"/>
      <c r="R116" s="44"/>
    </row>
    <row r="117" spans="1:18" s="29" customFormat="1">
      <c r="A117" s="386">
        <v>6.1</v>
      </c>
      <c r="B117" s="765"/>
      <c r="C117" s="766"/>
      <c r="D117" s="847"/>
      <c r="E117" s="538"/>
      <c r="F117" s="538"/>
      <c r="G117" s="539">
        <f>IFERROR(F117/$F$120,0)</f>
        <v>0</v>
      </c>
      <c r="H117" s="616">
        <f>E117*G117</f>
        <v>0</v>
      </c>
      <c r="Q117" s="52"/>
      <c r="R117" s="44"/>
    </row>
    <row r="118" spans="1:18" s="29" customFormat="1">
      <c r="A118" s="386">
        <v>6.2</v>
      </c>
      <c r="B118" s="765"/>
      <c r="C118" s="766"/>
      <c r="D118" s="847"/>
      <c r="E118" s="538"/>
      <c r="F118" s="538"/>
      <c r="G118" s="539">
        <f>IFERROR(F118/$F$120,0)</f>
        <v>0</v>
      </c>
      <c r="H118" s="616">
        <f>E118*G118</f>
        <v>0</v>
      </c>
      <c r="Q118" s="52"/>
      <c r="R118" s="44"/>
    </row>
    <row r="119" spans="1:18" s="29" customFormat="1">
      <c r="A119" s="386">
        <v>6.3</v>
      </c>
      <c r="B119" s="920"/>
      <c r="C119" s="920"/>
      <c r="D119" s="920"/>
      <c r="E119" s="538"/>
      <c r="F119" s="538"/>
      <c r="G119" s="539">
        <f>IFERROR(F119/$F$120,0)</f>
        <v>0</v>
      </c>
      <c r="H119" s="616">
        <f>E119*G119</f>
        <v>0</v>
      </c>
      <c r="Q119" s="52"/>
      <c r="R119" s="44"/>
    </row>
    <row r="120" spans="1:18" s="29" customFormat="1" ht="15.6">
      <c r="A120" s="604"/>
      <c r="B120" s="307"/>
      <c r="C120" s="305"/>
      <c r="D120" s="305"/>
      <c r="E120" s="312" t="s">
        <v>61</v>
      </c>
      <c r="F120" s="315">
        <f>SUM(F96:F119)+E19</f>
        <v>0</v>
      </c>
      <c r="G120" s="316">
        <f>SUM(G96:G119)+F19</f>
        <v>0</v>
      </c>
      <c r="H120" s="617">
        <f>IFERROR(SUM(H96:H119),0)</f>
        <v>0</v>
      </c>
      <c r="Q120" s="52"/>
      <c r="R120" s="44"/>
    </row>
    <row r="121" spans="1:18" s="29" customFormat="1" ht="15.6" thickBot="1">
      <c r="A121" s="594"/>
      <c r="B121" s="361"/>
      <c r="C121" s="362"/>
      <c r="D121" s="362"/>
      <c r="E121" s="362"/>
      <c r="F121" s="362"/>
      <c r="G121" s="354"/>
      <c r="H121" s="595"/>
      <c r="Q121" s="52"/>
      <c r="R121" s="44"/>
    </row>
    <row r="122" spans="1:18" s="29" customFormat="1" ht="31.2">
      <c r="A122" s="618" t="s">
        <v>0</v>
      </c>
      <c r="B122" s="458"/>
      <c r="C122" s="458"/>
      <c r="D122" s="549" t="s">
        <v>17</v>
      </c>
      <c r="E122" s="459" t="s">
        <v>80</v>
      </c>
      <c r="F122" s="460" t="s">
        <v>301</v>
      </c>
      <c r="G122" s="460" t="s">
        <v>302</v>
      </c>
      <c r="H122" s="549" t="s">
        <v>52</v>
      </c>
      <c r="Q122" s="52"/>
      <c r="R122" s="44"/>
    </row>
    <row r="123" spans="1:18" s="29" customFormat="1" ht="15.6">
      <c r="A123" s="79" t="s">
        <v>225</v>
      </c>
      <c r="B123" s="79" t="s">
        <v>299</v>
      </c>
      <c r="C123" s="80"/>
      <c r="D123" s="81"/>
      <c r="E123" s="81"/>
      <c r="F123" s="81"/>
      <c r="G123" s="81"/>
      <c r="H123" s="610"/>
      <c r="Q123" s="52"/>
      <c r="R123" s="44"/>
    </row>
    <row r="124" spans="1:18" s="29" customFormat="1" ht="15.6">
      <c r="A124" s="82">
        <v>7</v>
      </c>
      <c r="B124" s="82" t="s">
        <v>304</v>
      </c>
      <c r="C124" s="83"/>
      <c r="D124" s="84"/>
      <c r="E124" s="84"/>
      <c r="F124" s="84"/>
      <c r="G124" s="84"/>
      <c r="H124" s="611"/>
      <c r="Q124" s="52"/>
      <c r="R124" s="44"/>
    </row>
    <row r="125" spans="1:18" s="29" customFormat="1" ht="15" customHeight="1">
      <c r="A125" s="543">
        <v>7.1</v>
      </c>
      <c r="B125" s="858" t="s">
        <v>271</v>
      </c>
      <c r="C125" s="840"/>
      <c r="D125" s="94">
        <f>VLOOKUP(A125,'Point Allocation'!$A$20:$J$41,MATCH(A7,'Point Allocation'!$A$20:$J$20,0),0)</f>
        <v>10</v>
      </c>
      <c r="E125" s="85">
        <f>F96</f>
        <v>0</v>
      </c>
      <c r="F125" s="85">
        <f>F32</f>
        <v>0</v>
      </c>
      <c r="G125" s="87">
        <f>IFERROR(SUM(E125:F125)/SUM($E$143:$F$143),0)</f>
        <v>0</v>
      </c>
      <c r="H125" s="612">
        <f>D125*G125</f>
        <v>0</v>
      </c>
      <c r="Q125" s="52"/>
      <c r="R125" s="44"/>
    </row>
    <row r="126" spans="1:18" s="29" customFormat="1" ht="15.6">
      <c r="A126" s="88">
        <v>8</v>
      </c>
      <c r="B126" s="88" t="s">
        <v>305</v>
      </c>
      <c r="C126" s="89"/>
      <c r="D126" s="90"/>
      <c r="E126" s="91"/>
      <c r="F126" s="91"/>
      <c r="G126" s="92"/>
      <c r="H126" s="613"/>
      <c r="Q126" s="52"/>
      <c r="R126" s="44"/>
    </row>
    <row r="127" spans="1:18" s="29" customFormat="1">
      <c r="A127" s="814">
        <v>8.1</v>
      </c>
      <c r="B127" s="822" t="s">
        <v>303</v>
      </c>
      <c r="C127" s="824"/>
      <c r="D127" s="921">
        <f>VLOOKUP(A127,'Point Allocation'!$A$20:$J$41,MATCH(A7,'Point Allocation'!$A$20:$J$20,0),0)</f>
        <v>8</v>
      </c>
      <c r="E127" s="945">
        <f>F98</f>
        <v>0</v>
      </c>
      <c r="F127" s="946"/>
      <c r="G127" s="983">
        <f>IFERROR(SUM(E127:F128)/SUM($E$143:$F$143),0)</f>
        <v>0</v>
      </c>
      <c r="H127" s="819">
        <f>D127*G127</f>
        <v>0</v>
      </c>
      <c r="Q127" s="52"/>
      <c r="R127" s="44"/>
    </row>
    <row r="128" spans="1:18" s="29" customFormat="1" ht="15.6">
      <c r="A128" s="815"/>
      <c r="B128" s="816" t="s">
        <v>119</v>
      </c>
      <c r="C128" s="818"/>
      <c r="D128" s="922"/>
      <c r="E128" s="945"/>
      <c r="F128" s="946"/>
      <c r="G128" s="984"/>
      <c r="H128" s="819"/>
      <c r="Q128" s="52"/>
      <c r="R128" s="44"/>
    </row>
    <row r="129" spans="1:18" s="29" customFormat="1">
      <c r="A129" s="543">
        <v>8.1999999999999993</v>
      </c>
      <c r="B129" s="825" t="s">
        <v>606</v>
      </c>
      <c r="C129" s="827"/>
      <c r="D129" s="94">
        <f>VLOOKUP(A129,'Point Allocation'!$A$20:$J$41,MATCH(A7,'Point Allocation'!$A$20:$J$20,0),0)</f>
        <v>8</v>
      </c>
      <c r="E129" s="174">
        <f>F100</f>
        <v>0</v>
      </c>
      <c r="F129" s="555"/>
      <c r="G129" s="87">
        <f>IFERROR(SUM(E129:F129)/SUM($E$143:$F$143),0)</f>
        <v>0</v>
      </c>
      <c r="H129" s="94">
        <f>D129*G129</f>
        <v>0</v>
      </c>
      <c r="Q129" s="52"/>
      <c r="R129" s="44"/>
    </row>
    <row r="130" spans="1:18" s="29" customFormat="1" ht="15.6">
      <c r="A130" s="82">
        <v>9</v>
      </c>
      <c r="B130" s="82" t="s">
        <v>306</v>
      </c>
      <c r="C130" s="89"/>
      <c r="D130" s="91"/>
      <c r="E130" s="91"/>
      <c r="F130" s="91"/>
      <c r="G130" s="92"/>
      <c r="H130" s="614"/>
      <c r="Q130" s="52"/>
      <c r="R130" s="44"/>
    </row>
    <row r="131" spans="1:18" s="29" customFormat="1">
      <c r="A131" s="814">
        <v>9.1</v>
      </c>
      <c r="B131" s="822" t="s">
        <v>339</v>
      </c>
      <c r="C131" s="824"/>
      <c r="D131" s="921">
        <f>VLOOKUP(A131,'Point Allocation'!$A$20:$J$41,MATCH(A7,'Point Allocation'!$A$20:$J$20,0),0)</f>
        <v>6</v>
      </c>
      <c r="E131" s="946"/>
      <c r="F131" s="946"/>
      <c r="G131" s="821">
        <f>IFERROR(SUM(E131:F132)/SUM($E$143:$F$143),0)</f>
        <v>0</v>
      </c>
      <c r="H131" s="819">
        <f>D131*G131</f>
        <v>0</v>
      </c>
      <c r="Q131" s="52"/>
      <c r="R131" s="44"/>
    </row>
    <row r="132" spans="1:18" s="29" customFormat="1" ht="15.6">
      <c r="A132" s="815"/>
      <c r="B132" s="816" t="s">
        <v>5</v>
      </c>
      <c r="C132" s="818"/>
      <c r="D132" s="922"/>
      <c r="E132" s="946"/>
      <c r="F132" s="946"/>
      <c r="G132" s="821"/>
      <c r="H132" s="819"/>
      <c r="Q132" s="52"/>
      <c r="R132" s="44"/>
    </row>
    <row r="133" spans="1:18" s="29" customFormat="1" ht="15.6">
      <c r="A133" s="82">
        <v>10</v>
      </c>
      <c r="B133" s="82" t="s">
        <v>308</v>
      </c>
      <c r="C133" s="89"/>
      <c r="D133" s="91"/>
      <c r="E133" s="91"/>
      <c r="F133" s="91"/>
      <c r="G133" s="92"/>
      <c r="H133" s="614"/>
      <c r="Q133" s="52"/>
      <c r="R133" s="44"/>
    </row>
    <row r="134" spans="1:18" s="29" customFormat="1" ht="15" customHeight="1">
      <c r="A134" s="541">
        <v>10.1</v>
      </c>
      <c r="B134" s="822" t="s">
        <v>340</v>
      </c>
      <c r="C134" s="824"/>
      <c r="D134" s="94">
        <f>VLOOKUP(A134,'Point Allocation'!$A$20:$J$41,MATCH(A7,'Point Allocation'!$A$20:$J$20,0),0)</f>
        <v>4</v>
      </c>
      <c r="E134" s="555"/>
      <c r="F134" s="555"/>
      <c r="G134" s="87">
        <f>IFERROR(SUM(E134:F134)/SUM($E$143:$F$143),0)</f>
        <v>0</v>
      </c>
      <c r="H134" s="94">
        <f>D134*G134</f>
        <v>0</v>
      </c>
      <c r="Q134" s="52"/>
      <c r="R134" s="44"/>
    </row>
    <row r="135" spans="1:18" s="29" customFormat="1" ht="32.25" customHeight="1">
      <c r="A135" s="589">
        <v>10.199999999999999</v>
      </c>
      <c r="B135" s="825" t="s">
        <v>318</v>
      </c>
      <c r="C135" s="827"/>
      <c r="D135" s="94">
        <f>VLOOKUP(A135,'Point Allocation'!$A$20:$J$41,MATCH(A7,'Point Allocation'!$A$20:$J$20,0),0)</f>
        <v>4</v>
      </c>
      <c r="E135" s="173"/>
      <c r="F135" s="555"/>
      <c r="G135" s="539">
        <f>IFERROR(SUM(E135:F135)/SUM($E$143:$F$143),0)</f>
        <v>0</v>
      </c>
      <c r="H135" s="94">
        <f>D135*G135</f>
        <v>0</v>
      </c>
      <c r="Q135" s="52"/>
      <c r="R135" s="44"/>
    </row>
    <row r="136" spans="1:18" s="29" customFormat="1" ht="15.6">
      <c r="A136" s="95" t="s">
        <v>226</v>
      </c>
      <c r="B136" s="95" t="s">
        <v>248</v>
      </c>
      <c r="C136" s="96"/>
      <c r="D136" s="98"/>
      <c r="E136" s="99"/>
      <c r="F136" s="99"/>
      <c r="G136" s="100"/>
      <c r="H136" s="615"/>
      <c r="Q136" s="52"/>
      <c r="R136" s="44"/>
    </row>
    <row r="137" spans="1:18" s="29" customFormat="1" ht="15.6">
      <c r="A137" s="82">
        <v>11</v>
      </c>
      <c r="B137" s="82" t="s">
        <v>249</v>
      </c>
      <c r="C137" s="89"/>
      <c r="D137" s="91"/>
      <c r="E137" s="91"/>
      <c r="F137" s="91"/>
      <c r="G137" s="92"/>
      <c r="H137" s="614"/>
      <c r="Q137" s="52"/>
      <c r="R137" s="44"/>
    </row>
    <row r="138" spans="1:18" s="29" customFormat="1">
      <c r="A138" s="541">
        <v>11.1</v>
      </c>
      <c r="B138" s="822" t="s">
        <v>642</v>
      </c>
      <c r="C138" s="824"/>
      <c r="D138" s="94">
        <f>VLOOKUP(A138,'Point Allocation'!$A$20:$J$41,MATCH(A7,'Point Allocation'!$A$20:$J$20,0),0)</f>
        <v>2</v>
      </c>
      <c r="E138" s="555"/>
      <c r="F138" s="555"/>
      <c r="G138" s="539">
        <f>IFERROR(SUM(E138:F138)/SUM($E$143:$F$143),0)</f>
        <v>0</v>
      </c>
      <c r="H138" s="94">
        <f t="shared" ref="H138:H142" si="2">D138*G138</f>
        <v>0</v>
      </c>
      <c r="Q138" s="52"/>
      <c r="R138" s="44"/>
    </row>
    <row r="139" spans="1:18" s="29" customFormat="1">
      <c r="A139" s="619">
        <v>11.2</v>
      </c>
      <c r="B139" s="848" t="s">
        <v>310</v>
      </c>
      <c r="C139" s="849"/>
      <c r="D139" s="174">
        <f>VLOOKUP(A138,'Point Allocation'!$A$20:$J$41,MATCH(A7,'Point Allocation'!$A$20:$J$20,0),0)</f>
        <v>2</v>
      </c>
      <c r="E139" s="555"/>
      <c r="F139" s="555"/>
      <c r="G139" s="539">
        <f>IFERROR(SUM(E139:F139)/SUM($E$143:$F$143),0)</f>
        <v>0</v>
      </c>
      <c r="H139" s="94">
        <f t="shared" si="2"/>
        <v>0</v>
      </c>
      <c r="Q139" s="52"/>
      <c r="R139" s="44"/>
    </row>
    <row r="140" spans="1:18" s="29" customFormat="1">
      <c r="A140" s="541">
        <v>11.3</v>
      </c>
      <c r="B140" s="848" t="s">
        <v>317</v>
      </c>
      <c r="C140" s="849"/>
      <c r="D140" s="94">
        <f>VLOOKUP(A140,'Point Allocation'!$A$20:$J$41,MATCH(A7,'Point Allocation'!$A$20:$J$20,0),0)</f>
        <v>0</v>
      </c>
      <c r="E140" s="555"/>
      <c r="F140" s="555"/>
      <c r="G140" s="539">
        <f>IFERROR(SUM(E140:F140)/SUM($E$143:$F$143),0)</f>
        <v>0</v>
      </c>
      <c r="H140" s="94">
        <f t="shared" si="2"/>
        <v>0</v>
      </c>
      <c r="Q140" s="52"/>
      <c r="R140" s="44"/>
    </row>
    <row r="141" spans="1:18" s="29" customFormat="1">
      <c r="A141" s="620">
        <v>11.4</v>
      </c>
      <c r="B141" s="968"/>
      <c r="C141" s="969"/>
      <c r="D141" s="538"/>
      <c r="E141" s="555"/>
      <c r="F141" s="555"/>
      <c r="G141" s="539">
        <f>IFERROR(SUM(E141:F141)/SUM($E$143:$F$143),0)</f>
        <v>0</v>
      </c>
      <c r="H141" s="94">
        <f t="shared" si="2"/>
        <v>0</v>
      </c>
      <c r="Q141" s="52"/>
      <c r="R141" s="44"/>
    </row>
    <row r="142" spans="1:18" s="29" customFormat="1">
      <c r="A142" s="620">
        <v>11.5</v>
      </c>
      <c r="B142" s="968"/>
      <c r="C142" s="969"/>
      <c r="D142" s="538"/>
      <c r="E142" s="555"/>
      <c r="F142" s="555"/>
      <c r="G142" s="539">
        <f>IFERROR(SUM(E142:F142)/SUM($E$143:$F$143),0)</f>
        <v>0</v>
      </c>
      <c r="H142" s="94">
        <f t="shared" si="2"/>
        <v>0</v>
      </c>
      <c r="Q142" s="52"/>
      <c r="R142" s="44"/>
    </row>
    <row r="143" spans="1:18" s="29" customFormat="1" ht="15.6">
      <c r="A143" s="592"/>
      <c r="B143" s="307"/>
      <c r="C143" s="305"/>
      <c r="D143" s="312" t="s">
        <v>131</v>
      </c>
      <c r="E143" s="315">
        <f>SUM(E125:E142)</f>
        <v>0</v>
      </c>
      <c r="F143" s="317">
        <f>SUM(F125:F142)</f>
        <v>0</v>
      </c>
      <c r="G143" s="318">
        <f>SUM(G125:G142)</f>
        <v>0</v>
      </c>
      <c r="H143" s="621">
        <f>IFERROR(SUM(H125:H142),0)</f>
        <v>0</v>
      </c>
      <c r="Q143" s="52"/>
      <c r="R143" s="44"/>
    </row>
    <row r="144" spans="1:18" s="29" customFormat="1">
      <c r="A144" s="622"/>
      <c r="B144" s="307"/>
      <c r="C144" s="305"/>
      <c r="D144" s="305"/>
      <c r="E144" s="305"/>
      <c r="F144" s="305"/>
      <c r="G144" s="314"/>
      <c r="H144" s="571"/>
      <c r="Q144" s="52"/>
      <c r="R144" s="44"/>
    </row>
    <row r="145" spans="1:18" s="29" customFormat="1" ht="46.8">
      <c r="A145" s="970" t="s">
        <v>0</v>
      </c>
      <c r="B145" s="971"/>
      <c r="C145" s="163"/>
      <c r="D145" s="550" t="s">
        <v>57</v>
      </c>
      <c r="E145" s="550" t="s">
        <v>58</v>
      </c>
      <c r="F145" s="956" t="s">
        <v>59</v>
      </c>
      <c r="G145" s="956"/>
      <c r="H145" s="623" t="s">
        <v>62</v>
      </c>
      <c r="J145" s="103" t="s">
        <v>71</v>
      </c>
      <c r="K145" s="103">
        <v>1</v>
      </c>
      <c r="L145" s="103">
        <v>2</v>
      </c>
      <c r="M145" s="103">
        <v>3</v>
      </c>
      <c r="N145" s="103">
        <v>4</v>
      </c>
      <c r="O145" s="103">
        <v>5</v>
      </c>
      <c r="P145" s="103">
        <v>6</v>
      </c>
      <c r="Q145" s="52"/>
      <c r="R145" s="44"/>
    </row>
    <row r="146" spans="1:18" s="29" customFormat="1" ht="15.6">
      <c r="A146" s="126" t="s">
        <v>227</v>
      </c>
      <c r="B146" s="126" t="s">
        <v>139</v>
      </c>
      <c r="C146" s="162"/>
      <c r="D146" s="56"/>
      <c r="E146" s="56"/>
      <c r="F146" s="57"/>
      <c r="G146" s="104"/>
      <c r="H146" s="624"/>
      <c r="J146" s="103" t="s">
        <v>73</v>
      </c>
      <c r="K146" s="103" t="s">
        <v>72</v>
      </c>
      <c r="L146" s="103">
        <v>1</v>
      </c>
      <c r="M146" s="103">
        <v>2</v>
      </c>
      <c r="N146" s="103">
        <v>3</v>
      </c>
      <c r="O146" s="103">
        <v>4</v>
      </c>
      <c r="P146" s="103">
        <v>4</v>
      </c>
      <c r="Q146" s="52"/>
      <c r="R146" s="44"/>
    </row>
    <row r="147" spans="1:18" s="29" customFormat="1">
      <c r="A147" s="625" t="s">
        <v>228</v>
      </c>
      <c r="B147" s="386" t="s">
        <v>394</v>
      </c>
      <c r="C147" s="164" t="s">
        <v>55</v>
      </c>
      <c r="D147" s="820"/>
      <c r="E147" s="820"/>
      <c r="F147" s="949" t="str">
        <f>IF(D147&gt;9,D147/E147," ")</f>
        <v xml:space="preserve"> </v>
      </c>
      <c r="G147" s="949"/>
      <c r="H147" s="94">
        <f>IF(D147="",0,IF(D147&lt;9,2,IF((D147/E147)=0,2,IF((D147/E147)&lt;10%,1.5,IF((D147/E147)&lt;15%,1,IF((D147/E147)&lt;20%,0.5,0))))))</f>
        <v>0</v>
      </c>
      <c r="J147" s="103" t="s">
        <v>74</v>
      </c>
      <c r="K147" s="103" t="s">
        <v>72</v>
      </c>
      <c r="L147" s="103">
        <v>5</v>
      </c>
      <c r="M147" s="103">
        <v>15</v>
      </c>
      <c r="N147" s="103">
        <v>25</v>
      </c>
      <c r="O147" s="103">
        <v>35</v>
      </c>
      <c r="P147" s="103">
        <v>35</v>
      </c>
      <c r="Q147" s="52"/>
      <c r="R147" s="44"/>
    </row>
    <row r="148" spans="1:18" s="29" customFormat="1">
      <c r="A148" s="625" t="s">
        <v>229</v>
      </c>
      <c r="B148" s="386" t="s">
        <v>395</v>
      </c>
      <c r="C148" s="164" t="s">
        <v>56</v>
      </c>
      <c r="D148" s="820"/>
      <c r="E148" s="820"/>
      <c r="F148" s="950"/>
      <c r="G148" s="950"/>
      <c r="H148" s="94">
        <f>IF(E147="",0,IF(E147&lt;15,HLOOKUP(F148,J145:P152,4,FALSE),IF(E147&lt;45,HLOOKUP(F148,J145:P152,5,FALSE),IF(E147&lt;90,HLOOKUP(F148,J145:P152,6,FALSE),IF(E147&lt;135,HLOOKUP(F148,J145:P152,7,FALSE),IF(E147&gt;=135,HLOOKUP(F148,J145:P152,8,FALSE),3))))))</f>
        <v>0</v>
      </c>
      <c r="I148" s="54"/>
      <c r="J148" s="103" t="s">
        <v>75</v>
      </c>
      <c r="K148" s="103">
        <v>3</v>
      </c>
      <c r="L148" s="103">
        <v>3</v>
      </c>
      <c r="M148" s="103">
        <v>3</v>
      </c>
      <c r="N148" s="103">
        <v>2.5</v>
      </c>
      <c r="O148" s="103">
        <v>1.5</v>
      </c>
      <c r="P148" s="103">
        <v>0</v>
      </c>
      <c r="Q148" s="52"/>
      <c r="R148" s="44"/>
    </row>
    <row r="149" spans="1:18" s="29" customFormat="1">
      <c r="A149" s="592"/>
      <c r="B149" s="307"/>
      <c r="C149" s="314"/>
      <c r="D149" s="319"/>
      <c r="E149" s="319"/>
      <c r="F149" s="319"/>
      <c r="G149" s="319"/>
      <c r="H149" s="626"/>
      <c r="I149" s="54"/>
      <c r="J149" s="103" t="s">
        <v>76</v>
      </c>
      <c r="K149" s="103">
        <v>3</v>
      </c>
      <c r="L149" s="103">
        <v>3</v>
      </c>
      <c r="M149" s="103">
        <v>2.5</v>
      </c>
      <c r="N149" s="103">
        <v>1.5</v>
      </c>
      <c r="O149" s="103">
        <v>1</v>
      </c>
      <c r="P149" s="103">
        <v>0</v>
      </c>
      <c r="Q149" s="52"/>
      <c r="R149" s="44"/>
    </row>
    <row r="150" spans="1:18" s="29" customFormat="1" ht="15.6">
      <c r="A150" s="592"/>
      <c r="B150" s="320"/>
      <c r="C150" s="314"/>
      <c r="D150" s="314"/>
      <c r="E150" s="314"/>
      <c r="F150" s="305"/>
      <c r="G150" s="321"/>
      <c r="H150" s="627"/>
      <c r="I150" s="54"/>
      <c r="J150" s="103" t="s">
        <v>77</v>
      </c>
      <c r="K150" s="103">
        <v>3</v>
      </c>
      <c r="L150" s="103">
        <v>2.5</v>
      </c>
      <c r="M150" s="103">
        <v>1.5</v>
      </c>
      <c r="N150" s="103">
        <v>1</v>
      </c>
      <c r="O150" s="103">
        <v>0</v>
      </c>
      <c r="P150" s="103">
        <v>0</v>
      </c>
      <c r="Q150" s="52"/>
      <c r="R150" s="44"/>
    </row>
    <row r="151" spans="1:18" s="29" customFormat="1" ht="15.75" customHeight="1">
      <c r="A151" s="972" t="s">
        <v>0</v>
      </c>
      <c r="B151" s="973"/>
      <c r="C151" s="888"/>
      <c r="D151" s="974" t="s">
        <v>4</v>
      </c>
      <c r="E151" s="951" t="s">
        <v>1</v>
      </c>
      <c r="F151" s="952"/>
      <c r="G151" s="953" t="s">
        <v>21</v>
      </c>
      <c r="H151" s="947" t="s">
        <v>62</v>
      </c>
      <c r="I151" s="54"/>
      <c r="J151" s="103" t="s">
        <v>78</v>
      </c>
      <c r="K151" s="103">
        <v>3</v>
      </c>
      <c r="L151" s="103">
        <v>1.5</v>
      </c>
      <c r="M151" s="103">
        <v>1</v>
      </c>
      <c r="N151" s="103">
        <v>0</v>
      </c>
      <c r="O151" s="103">
        <v>0</v>
      </c>
      <c r="P151" s="103">
        <v>0</v>
      </c>
      <c r="Q151" s="52"/>
      <c r="R151" s="44"/>
    </row>
    <row r="152" spans="1:18" s="29" customFormat="1" ht="30" customHeight="1">
      <c r="A152" s="867"/>
      <c r="B152" s="868"/>
      <c r="C152" s="870"/>
      <c r="D152" s="952"/>
      <c r="E152" s="550" t="s">
        <v>64</v>
      </c>
      <c r="F152" s="550" t="s">
        <v>65</v>
      </c>
      <c r="G152" s="954"/>
      <c r="H152" s="948"/>
      <c r="I152" s="54"/>
      <c r="J152" s="103" t="s">
        <v>79</v>
      </c>
      <c r="K152" s="103">
        <v>3</v>
      </c>
      <c r="L152" s="103">
        <v>1</v>
      </c>
      <c r="M152" s="103">
        <v>0</v>
      </c>
      <c r="N152" s="103">
        <v>0</v>
      </c>
      <c r="O152" s="103">
        <v>0</v>
      </c>
      <c r="P152" s="103">
        <v>0</v>
      </c>
      <c r="Q152" s="52"/>
      <c r="R152" s="44"/>
    </row>
    <row r="153" spans="1:18" s="29" customFormat="1" ht="15.6">
      <c r="A153" s="105" t="s">
        <v>230</v>
      </c>
      <c r="B153" s="105" t="s">
        <v>516</v>
      </c>
      <c r="C153" s="106"/>
      <c r="D153" s="106"/>
      <c r="E153" s="106"/>
      <c r="F153" s="110"/>
      <c r="G153" s="111"/>
      <c r="H153" s="628"/>
      <c r="J153" s="103" t="s">
        <v>73</v>
      </c>
      <c r="K153" s="103" t="s">
        <v>72</v>
      </c>
      <c r="L153" s="103">
        <v>1</v>
      </c>
      <c r="M153" s="103">
        <v>2</v>
      </c>
      <c r="N153" s="103">
        <v>3</v>
      </c>
      <c r="O153" s="103">
        <v>4</v>
      </c>
      <c r="P153" s="103">
        <v>4</v>
      </c>
      <c r="Q153" s="52"/>
      <c r="R153" s="44"/>
    </row>
    <row r="154" spans="1:18" s="29" customFormat="1" ht="15.6">
      <c r="A154" s="149" t="s">
        <v>231</v>
      </c>
      <c r="B154" s="149" t="s">
        <v>517</v>
      </c>
      <c r="C154" s="150"/>
      <c r="D154" s="151"/>
      <c r="E154" s="152"/>
      <c r="F154" s="152"/>
      <c r="G154" s="153"/>
      <c r="H154" s="629"/>
      <c r="I154" s="54"/>
      <c r="Q154" s="52"/>
      <c r="R154" s="44"/>
    </row>
    <row r="155" spans="1:18" s="29" customFormat="1">
      <c r="A155" s="630" t="s">
        <v>232</v>
      </c>
      <c r="B155" s="825" t="s">
        <v>612</v>
      </c>
      <c r="C155" s="827"/>
      <c r="D155" s="522" t="s">
        <v>50</v>
      </c>
      <c r="E155" s="523">
        <v>2</v>
      </c>
      <c r="F155" s="523">
        <v>3</v>
      </c>
      <c r="G155" s="27"/>
      <c r="H155" s="434">
        <f t="shared" ref="H155:H166" si="3">IF(G155&gt;=80%,F155,IF(G155&lt;65%,0,E155))</f>
        <v>0</v>
      </c>
      <c r="Q155" s="52"/>
      <c r="R155" s="44"/>
    </row>
    <row r="156" spans="1:18" s="29" customFormat="1">
      <c r="A156" s="630" t="s">
        <v>233</v>
      </c>
      <c r="B156" s="917" t="s">
        <v>613</v>
      </c>
      <c r="C156" s="843"/>
      <c r="D156" s="483" t="s">
        <v>50</v>
      </c>
      <c r="E156" s="434">
        <v>2</v>
      </c>
      <c r="F156" s="434">
        <v>3</v>
      </c>
      <c r="G156" s="553"/>
      <c r="H156" s="434">
        <f>IF(G156&gt;=80%,F156,IF(G156&lt;65%,0,E156))</f>
        <v>0</v>
      </c>
      <c r="Q156" s="52"/>
      <c r="R156" s="44"/>
    </row>
    <row r="157" spans="1:18" s="29" customFormat="1">
      <c r="A157" s="631" t="s">
        <v>234</v>
      </c>
      <c r="B157" s="917" t="s">
        <v>563</v>
      </c>
      <c r="C157" s="843"/>
      <c r="D157" s="524" t="s">
        <v>50</v>
      </c>
      <c r="E157" s="554">
        <v>2</v>
      </c>
      <c r="F157" s="434">
        <v>2.5</v>
      </c>
      <c r="G157" s="551"/>
      <c r="H157" s="434">
        <f t="shared" ref="H157" si="4">IF(G157&gt;=80%,F157,IF(G157&lt;65%,0,E157))</f>
        <v>0</v>
      </c>
      <c r="Q157" s="52"/>
      <c r="R157" s="44"/>
    </row>
    <row r="158" spans="1:18" s="29" customFormat="1">
      <c r="A158" s="631" t="s">
        <v>235</v>
      </c>
      <c r="B158" s="917" t="s">
        <v>623</v>
      </c>
      <c r="C158" s="843"/>
      <c r="D158" s="524" t="s">
        <v>50</v>
      </c>
      <c r="E158" s="554">
        <v>2</v>
      </c>
      <c r="F158" s="434">
        <v>2.5</v>
      </c>
      <c r="G158" s="551"/>
      <c r="H158" s="434">
        <f>IF(G158&gt;=80%,F158,IF(G158&lt;65%,0,E158))</f>
        <v>0</v>
      </c>
      <c r="Q158" s="52"/>
      <c r="R158" s="44"/>
    </row>
    <row r="159" spans="1:18" s="29" customFormat="1">
      <c r="A159" s="630" t="s">
        <v>371</v>
      </c>
      <c r="B159" s="875" t="s">
        <v>379</v>
      </c>
      <c r="C159" s="876"/>
      <c r="D159" s="530" t="s">
        <v>50</v>
      </c>
      <c r="E159" s="523">
        <v>2</v>
      </c>
      <c r="F159" s="523">
        <v>2.5</v>
      </c>
      <c r="G159" s="529"/>
      <c r="H159" s="434">
        <f>IF(G159&gt;=80%,F159,IF(G159&lt;65%,0,E159))</f>
        <v>0</v>
      </c>
      <c r="Q159" s="52"/>
      <c r="R159" s="44"/>
    </row>
    <row r="160" spans="1:18" s="29" customFormat="1" ht="30">
      <c r="A160" s="871" t="s">
        <v>519</v>
      </c>
      <c r="B160" s="873" t="s">
        <v>397</v>
      </c>
      <c r="C160" s="940"/>
      <c r="D160" s="524" t="s">
        <v>402</v>
      </c>
      <c r="E160" s="964">
        <v>2.5</v>
      </c>
      <c r="F160" s="965"/>
      <c r="G160" s="933"/>
      <c r="H160" s="931">
        <f>IF(G160&gt;=35,E161,IF(G160&gt;=30,E160,0))</f>
        <v>0</v>
      </c>
      <c r="Q160" s="52"/>
      <c r="R160" s="44"/>
    </row>
    <row r="161" spans="1:18" s="29" customFormat="1" ht="30">
      <c r="A161" s="872"/>
      <c r="B161" s="941"/>
      <c r="C161" s="942"/>
      <c r="D161" s="524" t="s">
        <v>396</v>
      </c>
      <c r="E161" s="964">
        <v>3</v>
      </c>
      <c r="F161" s="965"/>
      <c r="G161" s="934"/>
      <c r="H161" s="932"/>
      <c r="Q161" s="52"/>
      <c r="R161" s="44"/>
    </row>
    <row r="162" spans="1:18" s="29" customFormat="1" ht="31.5" customHeight="1">
      <c r="A162" s="871" t="s">
        <v>520</v>
      </c>
      <c r="B162" s="873" t="s">
        <v>398</v>
      </c>
      <c r="C162" s="874"/>
      <c r="D162" s="524" t="s">
        <v>333</v>
      </c>
      <c r="E162" s="962">
        <v>4</v>
      </c>
      <c r="F162" s="963"/>
      <c r="G162" s="933"/>
      <c r="H162" s="931">
        <f>IF(G162&gt;=80,E162,IF(G162&gt;=70,E163,IF(G162&gt;=60,E164,IF(G162&gt;=50,E165,0))))</f>
        <v>0</v>
      </c>
      <c r="Q162" s="52"/>
      <c r="R162" s="44"/>
    </row>
    <row r="163" spans="1:18" s="29" customFormat="1" ht="31.5" customHeight="1">
      <c r="A163" s="975"/>
      <c r="B163" s="929"/>
      <c r="C163" s="930"/>
      <c r="D163" s="524" t="s">
        <v>334</v>
      </c>
      <c r="E163" s="962">
        <v>3</v>
      </c>
      <c r="F163" s="963"/>
      <c r="G163" s="935"/>
      <c r="H163" s="936"/>
      <c r="Q163" s="52"/>
      <c r="R163" s="44"/>
    </row>
    <row r="164" spans="1:18" s="29" customFormat="1" ht="31.5" customHeight="1">
      <c r="A164" s="975"/>
      <c r="B164" s="929"/>
      <c r="C164" s="930"/>
      <c r="D164" s="524" t="s">
        <v>368</v>
      </c>
      <c r="E164" s="962">
        <v>2</v>
      </c>
      <c r="F164" s="963"/>
      <c r="G164" s="935"/>
      <c r="H164" s="936"/>
      <c r="Q164" s="52"/>
      <c r="R164" s="44"/>
    </row>
    <row r="165" spans="1:18" s="29" customFormat="1" ht="31.5" customHeight="1">
      <c r="A165" s="872"/>
      <c r="B165" s="875"/>
      <c r="C165" s="876"/>
      <c r="D165" s="524" t="s">
        <v>369</v>
      </c>
      <c r="E165" s="962">
        <v>1</v>
      </c>
      <c r="F165" s="963"/>
      <c r="G165" s="934"/>
      <c r="H165" s="932"/>
      <c r="Q165" s="52"/>
      <c r="R165" s="44"/>
    </row>
    <row r="166" spans="1:18" s="29" customFormat="1" ht="31.5" customHeight="1">
      <c r="A166" s="871" t="s">
        <v>643</v>
      </c>
      <c r="B166" s="873" t="s">
        <v>614</v>
      </c>
      <c r="C166" s="874"/>
      <c r="D166" s="524" t="s">
        <v>66</v>
      </c>
      <c r="E166" s="525">
        <v>3.5</v>
      </c>
      <c r="F166" s="525">
        <v>4</v>
      </c>
      <c r="G166" s="27"/>
      <c r="H166" s="434">
        <f t="shared" si="3"/>
        <v>0</v>
      </c>
      <c r="Q166" s="52"/>
      <c r="R166" s="44"/>
    </row>
    <row r="167" spans="1:18" s="29" customFormat="1" ht="30">
      <c r="A167" s="872"/>
      <c r="B167" s="875"/>
      <c r="C167" s="876"/>
      <c r="D167" s="524" t="s">
        <v>67</v>
      </c>
      <c r="E167" s="525" t="s">
        <v>49</v>
      </c>
      <c r="F167" s="525">
        <v>3</v>
      </c>
      <c r="G167" s="27"/>
      <c r="H167" s="434">
        <f>IF(G167&gt;=80%,F167,0)</f>
        <v>0</v>
      </c>
      <c r="Q167" s="52"/>
      <c r="R167" s="44"/>
    </row>
    <row r="168" spans="1:18" s="29" customFormat="1" ht="15.6">
      <c r="A168" s="82">
        <v>14</v>
      </c>
      <c r="B168" s="470" t="s">
        <v>515</v>
      </c>
      <c r="C168" s="89"/>
      <c r="D168" s="151"/>
      <c r="E168" s="152"/>
      <c r="F168" s="152"/>
      <c r="G168" s="153"/>
      <c r="H168" s="629"/>
      <c r="Q168" s="52"/>
      <c r="R168" s="44"/>
    </row>
    <row r="169" spans="1:18" s="29" customFormat="1" ht="31.95" customHeight="1">
      <c r="A169" s="630" t="s">
        <v>236</v>
      </c>
      <c r="B169" s="875" t="s">
        <v>648</v>
      </c>
      <c r="C169" s="876"/>
      <c r="D169" s="527" t="s">
        <v>50</v>
      </c>
      <c r="E169" s="528">
        <v>2</v>
      </c>
      <c r="F169" s="528">
        <v>2.5</v>
      </c>
      <c r="G169" s="529"/>
      <c r="H169" s="9">
        <f>IF(G169&gt;=80%,F169,IF(G169&lt;65%,0,E169))</f>
        <v>0</v>
      </c>
      <c r="Q169" s="52"/>
      <c r="R169" s="44"/>
    </row>
    <row r="170" spans="1:18" s="29" customFormat="1">
      <c r="A170" s="630" t="s">
        <v>237</v>
      </c>
      <c r="B170" s="875" t="s">
        <v>615</v>
      </c>
      <c r="C170" s="876"/>
      <c r="D170" s="530" t="s">
        <v>50</v>
      </c>
      <c r="E170" s="523" t="s">
        <v>49</v>
      </c>
      <c r="F170" s="523">
        <v>2.5</v>
      </c>
      <c r="G170" s="526">
        <f>F23</f>
        <v>0</v>
      </c>
      <c r="H170" s="434">
        <f>IF(G170&gt;=80%,F170,0)</f>
        <v>0</v>
      </c>
      <c r="Q170" s="52"/>
      <c r="R170" s="44"/>
    </row>
    <row r="171" spans="1:18" s="29" customFormat="1" ht="32.25" customHeight="1">
      <c r="A171" s="630" t="s">
        <v>378</v>
      </c>
      <c r="B171" s="875" t="s">
        <v>617</v>
      </c>
      <c r="C171" s="876"/>
      <c r="D171" s="530" t="s">
        <v>50</v>
      </c>
      <c r="E171" s="523">
        <v>2</v>
      </c>
      <c r="F171" s="523">
        <v>3</v>
      </c>
      <c r="G171" s="529"/>
      <c r="H171" s="434">
        <f>IF(G171&gt;=80%,F171,IF(G171&lt;65%,0,E171))</f>
        <v>0</v>
      </c>
      <c r="Q171" s="52"/>
      <c r="R171" s="44"/>
    </row>
    <row r="172" spans="1:18" s="29" customFormat="1" ht="30" customHeight="1">
      <c r="A172" s="632" t="s">
        <v>521</v>
      </c>
      <c r="B172" s="825" t="s">
        <v>616</v>
      </c>
      <c r="C172" s="827"/>
      <c r="D172" s="420" t="s">
        <v>50</v>
      </c>
      <c r="E172" s="434">
        <v>2</v>
      </c>
      <c r="F172" s="434">
        <v>2.5</v>
      </c>
      <c r="G172" s="30"/>
      <c r="H172" s="434">
        <f>IF(G172&gt;=80%,F172,IF(G172&lt;65%,0,E172))</f>
        <v>0</v>
      </c>
      <c r="Q172" s="52"/>
      <c r="R172" s="44"/>
    </row>
    <row r="173" spans="1:18" s="29" customFormat="1" ht="15.6">
      <c r="A173" s="82">
        <v>15</v>
      </c>
      <c r="B173" s="82" t="s">
        <v>259</v>
      </c>
      <c r="C173" s="89"/>
      <c r="D173" s="151"/>
      <c r="E173" s="152"/>
      <c r="F173" s="152"/>
      <c r="G173" s="153"/>
      <c r="H173" s="629"/>
      <c r="Q173" s="52"/>
      <c r="R173" s="44"/>
    </row>
    <row r="174" spans="1:18" s="29" customFormat="1">
      <c r="A174" s="877" t="s">
        <v>238</v>
      </c>
      <c r="B174" s="879" t="s">
        <v>275</v>
      </c>
      <c r="C174" s="880"/>
      <c r="D174" s="943" t="s">
        <v>50</v>
      </c>
      <c r="E174" s="828">
        <v>2.5</v>
      </c>
      <c r="F174" s="828">
        <v>4</v>
      </c>
      <c r="G174" s="957"/>
      <c r="H174" s="828">
        <f>IF(G174&gt;=80%,F174,IF(G174&lt;65%,0,E174))</f>
        <v>0</v>
      </c>
      <c r="Q174" s="52"/>
      <c r="R174" s="44"/>
    </row>
    <row r="175" spans="1:18" s="29" customFormat="1" ht="15.6">
      <c r="A175" s="878"/>
      <c r="B175" s="810" t="s">
        <v>276</v>
      </c>
      <c r="C175" s="810"/>
      <c r="D175" s="944"/>
      <c r="E175" s="829"/>
      <c r="F175" s="829"/>
      <c r="G175" s="958"/>
      <c r="H175" s="829"/>
      <c r="Q175" s="52"/>
      <c r="R175" s="44"/>
    </row>
    <row r="176" spans="1:18" s="29" customFormat="1">
      <c r="A176" s="877" t="s">
        <v>239</v>
      </c>
      <c r="B176" s="858" t="s">
        <v>137</v>
      </c>
      <c r="C176" s="840"/>
      <c r="D176" s="937" t="s">
        <v>50</v>
      </c>
      <c r="E176" s="938">
        <v>2.5</v>
      </c>
      <c r="F176" s="938">
        <v>4</v>
      </c>
      <c r="G176" s="961"/>
      <c r="H176" s="811">
        <f>IF(G176&gt;=80%,F176,IF(G176&lt;65%,0,E176))</f>
        <v>0</v>
      </c>
      <c r="Q176" s="52"/>
      <c r="R176" s="44"/>
    </row>
    <row r="177" spans="1:18" s="29" customFormat="1" ht="15.6">
      <c r="A177" s="878"/>
      <c r="B177" s="810" t="s">
        <v>119</v>
      </c>
      <c r="C177" s="810"/>
      <c r="D177" s="937"/>
      <c r="E177" s="938"/>
      <c r="F177" s="938"/>
      <c r="G177" s="961"/>
      <c r="H177" s="811"/>
      <c r="Q177" s="52"/>
      <c r="R177" s="44"/>
    </row>
    <row r="178" spans="1:18" s="29" customFormat="1" ht="15.6">
      <c r="A178" s="102">
        <v>16</v>
      </c>
      <c r="B178" s="102" t="s">
        <v>202</v>
      </c>
      <c r="C178" s="89"/>
      <c r="D178" s="89"/>
      <c r="E178" s="91"/>
      <c r="F178" s="91"/>
      <c r="G178" s="92"/>
      <c r="H178" s="614"/>
      <c r="Q178" s="59"/>
      <c r="R178" s="44"/>
    </row>
    <row r="179" spans="1:18" s="29" customFormat="1">
      <c r="A179" s="598" t="s">
        <v>241</v>
      </c>
      <c r="B179" s="765"/>
      <c r="C179" s="766"/>
      <c r="D179" s="107"/>
      <c r="E179" s="538"/>
      <c r="F179" s="538"/>
      <c r="G179" s="65"/>
      <c r="H179" s="633">
        <f>IF(G179&gt;=80%,F179,IF(G179&lt;65%,0,E179))</f>
        <v>0</v>
      </c>
      <c r="Q179" s="52"/>
      <c r="R179" s="44"/>
    </row>
    <row r="180" spans="1:18" s="29" customFormat="1">
      <c r="A180" s="598" t="s">
        <v>242</v>
      </c>
      <c r="B180" s="765"/>
      <c r="C180" s="766"/>
      <c r="D180" s="107"/>
      <c r="E180" s="538"/>
      <c r="F180" s="538"/>
      <c r="G180" s="65"/>
      <c r="H180" s="633">
        <f>IF(G180&gt;=80%,F180,IF(G180&lt;65%,0,E180))</f>
        <v>0</v>
      </c>
      <c r="Q180" s="52"/>
      <c r="R180" s="44"/>
    </row>
    <row r="181" spans="1:18" s="29" customFormat="1">
      <c r="A181" s="598" t="s">
        <v>243</v>
      </c>
      <c r="B181" s="765"/>
      <c r="C181" s="766"/>
      <c r="D181" s="107"/>
      <c r="E181" s="538"/>
      <c r="F181" s="538"/>
      <c r="G181" s="65"/>
      <c r="H181" s="633">
        <f>IF(G181&gt;=80%,F181,IF(G181&lt;65%,0,E181))</f>
        <v>0</v>
      </c>
      <c r="Q181" s="52"/>
      <c r="R181" s="44"/>
    </row>
    <row r="182" spans="1:18" s="29" customFormat="1" ht="15.6">
      <c r="A182" s="604"/>
      <c r="B182" s="307"/>
      <c r="C182" s="305"/>
      <c r="D182" s="305"/>
      <c r="E182" s="305"/>
      <c r="F182" s="309"/>
      <c r="G182" s="310" t="s">
        <v>376</v>
      </c>
      <c r="H182" s="634">
        <f>IFERROR((SUM(H147:H181)),0)</f>
        <v>0</v>
      </c>
      <c r="Q182" s="52"/>
      <c r="R182" s="44"/>
    </row>
    <row r="183" spans="1:18" s="29" customFormat="1" ht="15.6" thickBot="1">
      <c r="A183" s="594"/>
      <c r="B183" s="361"/>
      <c r="C183" s="362"/>
      <c r="D183" s="362"/>
      <c r="E183" s="362"/>
      <c r="F183" s="362"/>
      <c r="G183" s="354"/>
      <c r="H183" s="595"/>
      <c r="Q183" s="52"/>
      <c r="R183" s="44"/>
    </row>
    <row r="184" spans="1:18" s="29" customFormat="1" ht="30.75" customHeight="1">
      <c r="A184" s="865" t="s">
        <v>0</v>
      </c>
      <c r="B184" s="866"/>
      <c r="C184" s="869"/>
      <c r="D184" s="856" t="s">
        <v>4</v>
      </c>
      <c r="E184" s="959" t="s">
        <v>1</v>
      </c>
      <c r="F184" s="960"/>
      <c r="G184" s="955" t="s">
        <v>21</v>
      </c>
      <c r="H184" s="856" t="s">
        <v>62</v>
      </c>
      <c r="Q184" s="52"/>
      <c r="R184" s="44"/>
    </row>
    <row r="185" spans="1:18" s="29" customFormat="1" ht="15.6">
      <c r="A185" s="867"/>
      <c r="B185" s="868"/>
      <c r="C185" s="870"/>
      <c r="D185" s="857"/>
      <c r="E185" s="550" t="s">
        <v>120</v>
      </c>
      <c r="F185" s="550" t="s">
        <v>121</v>
      </c>
      <c r="G185" s="956"/>
      <c r="H185" s="857"/>
      <c r="Q185" s="52"/>
      <c r="R185" s="44"/>
    </row>
    <row r="186" spans="1:18" s="29" customFormat="1" ht="15.6">
      <c r="A186" s="126" t="s">
        <v>240</v>
      </c>
      <c r="B186" s="105" t="s">
        <v>244</v>
      </c>
      <c r="C186" s="106"/>
      <c r="D186" s="106"/>
      <c r="E186" s="106"/>
      <c r="F186" s="110"/>
      <c r="G186" s="111"/>
      <c r="H186" s="628"/>
      <c r="Q186" s="52"/>
      <c r="R186" s="44"/>
    </row>
    <row r="187" spans="1:18" s="29" customFormat="1">
      <c r="A187" s="625" t="s">
        <v>277</v>
      </c>
      <c r="B187" s="858" t="s">
        <v>245</v>
      </c>
      <c r="C187" s="859"/>
      <c r="D187" s="5" t="s">
        <v>50</v>
      </c>
      <c r="E187" s="20">
        <v>-1</v>
      </c>
      <c r="F187" s="20">
        <v>-2</v>
      </c>
      <c r="G187" s="28"/>
      <c r="H187" s="20">
        <f>IF(G187&gt;=30%,F187,IF(G187=0%,0,E187))</f>
        <v>0</v>
      </c>
      <c r="Q187" s="52"/>
      <c r="R187" s="44"/>
    </row>
    <row r="188" spans="1:18" s="29" customFormat="1">
      <c r="A188" s="625" t="s">
        <v>278</v>
      </c>
      <c r="B188" s="858" t="s">
        <v>246</v>
      </c>
      <c r="C188" s="859"/>
      <c r="D188" s="5" t="s">
        <v>50</v>
      </c>
      <c r="E188" s="20">
        <v>-1</v>
      </c>
      <c r="F188" s="20">
        <v>-1.5</v>
      </c>
      <c r="G188" s="28"/>
      <c r="H188" s="20">
        <f>IF(G188&gt;=30%,F188,IF(G188=0%,0,E188))</f>
        <v>0</v>
      </c>
      <c r="Q188" s="52"/>
      <c r="R188" s="44"/>
    </row>
    <row r="189" spans="1:18" s="29" customFormat="1">
      <c r="A189" s="625" t="s">
        <v>279</v>
      </c>
      <c r="B189" s="858" t="s">
        <v>247</v>
      </c>
      <c r="C189" s="859"/>
      <c r="D189" s="5" t="s">
        <v>50</v>
      </c>
      <c r="E189" s="811">
        <v>-1</v>
      </c>
      <c r="F189" s="811"/>
      <c r="G189" s="553"/>
      <c r="H189" s="20">
        <f>IF(G189&gt;0%,E189,0)</f>
        <v>0</v>
      </c>
      <c r="Q189" s="52"/>
      <c r="R189" s="44"/>
    </row>
    <row r="190" spans="1:18" s="29" customFormat="1" ht="15.6">
      <c r="A190" s="604"/>
      <c r="B190" s="307"/>
      <c r="C190" s="305"/>
      <c r="D190" s="305"/>
      <c r="E190" s="305"/>
      <c r="F190" s="309"/>
      <c r="G190" s="310" t="s">
        <v>133</v>
      </c>
      <c r="H190" s="634">
        <f>IFERROR(MAX(SUM(H187:H189),-4),0)</f>
        <v>0</v>
      </c>
      <c r="Q190" s="44"/>
      <c r="R190" s="44"/>
    </row>
    <row r="191" spans="1:18" s="29" customFormat="1">
      <c r="A191" s="592"/>
      <c r="B191" s="307"/>
      <c r="C191" s="305"/>
      <c r="D191" s="305"/>
      <c r="E191" s="305"/>
      <c r="F191" s="305"/>
      <c r="G191" s="314"/>
      <c r="H191" s="571"/>
      <c r="Q191" s="52"/>
      <c r="R191" s="44"/>
    </row>
    <row r="192" spans="1:18" s="29" customFormat="1" ht="15.6">
      <c r="A192" s="592"/>
      <c r="B192" s="307"/>
      <c r="C192" s="305"/>
      <c r="D192" s="305"/>
      <c r="E192" s="305"/>
      <c r="F192" s="305"/>
      <c r="G192" s="312" t="s">
        <v>132</v>
      </c>
      <c r="H192" s="154">
        <f>IFERROR(MIN(SUM(H120+H143+H182+H190),G91),0)</f>
        <v>0</v>
      </c>
      <c r="Q192" s="52"/>
      <c r="R192" s="44"/>
    </row>
    <row r="193" spans="1:18" s="29" customFormat="1" ht="16.2" thickBot="1">
      <c r="A193" s="594"/>
      <c r="B193" s="361"/>
      <c r="C193" s="362"/>
      <c r="D193" s="362"/>
      <c r="E193" s="362"/>
      <c r="F193" s="362"/>
      <c r="G193" s="363"/>
      <c r="H193" s="606"/>
      <c r="Q193" s="52"/>
      <c r="R193" s="44"/>
    </row>
    <row r="194" spans="1:18" s="29" customFormat="1" ht="15.6">
      <c r="A194" s="635" t="s">
        <v>63</v>
      </c>
      <c r="B194" s="355"/>
      <c r="C194" s="355"/>
      <c r="D194" s="355"/>
      <c r="E194" s="355"/>
      <c r="F194" s="356" t="s">
        <v>42</v>
      </c>
      <c r="G194" s="357">
        <f>VLOOKUP($A$7,'Manpower allocation'!A4:D11,4,FALSE)*100</f>
        <v>15</v>
      </c>
      <c r="H194" s="636" t="s">
        <v>41</v>
      </c>
      <c r="I194" s="108">
        <f>VLOOKUP($A$7,'Manpower allocation'!A4:D11,4,FALSE)*100</f>
        <v>15</v>
      </c>
      <c r="Q194" s="52"/>
      <c r="R194" s="44"/>
    </row>
    <row r="195" spans="1:18" s="29" customFormat="1" ht="15.6">
      <c r="A195" s="592"/>
      <c r="B195" s="313"/>
      <c r="C195" s="305"/>
      <c r="D195" s="305"/>
      <c r="E195" s="305"/>
      <c r="F195" s="305"/>
      <c r="G195" s="314"/>
      <c r="H195" s="571"/>
      <c r="Q195" s="52"/>
      <c r="R195" s="44"/>
    </row>
    <row r="196" spans="1:18" s="29" customFormat="1" ht="46.8">
      <c r="A196" s="850" t="s">
        <v>0</v>
      </c>
      <c r="B196" s="851"/>
      <c r="C196" s="109"/>
      <c r="D196" s="545" t="s">
        <v>17</v>
      </c>
      <c r="E196" s="545" t="s">
        <v>124</v>
      </c>
      <c r="F196" s="545" t="s">
        <v>108</v>
      </c>
      <c r="G196" s="545" t="s">
        <v>18</v>
      </c>
      <c r="H196" s="545" t="s">
        <v>62</v>
      </c>
      <c r="Q196" s="52"/>
      <c r="R196" s="44"/>
    </row>
    <row r="197" spans="1:18" s="29" customFormat="1" ht="15.6">
      <c r="A197" s="105" t="s">
        <v>250</v>
      </c>
      <c r="B197" s="531" t="s">
        <v>618</v>
      </c>
      <c r="C197" s="106"/>
      <c r="D197" s="106"/>
      <c r="E197" s="106"/>
      <c r="F197" s="110"/>
      <c r="G197" s="111"/>
      <c r="H197" s="628"/>
      <c r="Q197" s="52"/>
      <c r="R197" s="44"/>
    </row>
    <row r="198" spans="1:18" s="29" customFormat="1" ht="15.6">
      <c r="A198" s="112">
        <v>1</v>
      </c>
      <c r="B198" s="112" t="s">
        <v>304</v>
      </c>
      <c r="C198" s="113"/>
      <c r="D198" s="114"/>
      <c r="E198" s="114"/>
      <c r="F198" s="114"/>
      <c r="G198" s="114"/>
      <c r="H198" s="637"/>
      <c r="Q198" s="52"/>
      <c r="R198" s="44"/>
    </row>
    <row r="199" spans="1:18" s="29" customFormat="1">
      <c r="A199" s="541">
        <v>1.1000000000000001</v>
      </c>
      <c r="B199" s="822" t="s">
        <v>271</v>
      </c>
      <c r="C199" s="824"/>
      <c r="D199" s="20">
        <f>VLOOKUP(A199,'Point Allocation'!$A$46:$J$55,MATCH(A7,'Point Allocation'!$A$46:$J$46,0),0)</f>
        <v>15</v>
      </c>
      <c r="E199" s="38"/>
      <c r="F199" s="38"/>
      <c r="G199" s="31">
        <f>MIN(IFERROR(F199/E199,0),100%)</f>
        <v>0</v>
      </c>
      <c r="H199" s="20">
        <f>D199*G199</f>
        <v>0</v>
      </c>
      <c r="Q199" s="52"/>
      <c r="R199" s="44"/>
    </row>
    <row r="200" spans="1:18" s="29" customFormat="1" ht="15.6">
      <c r="A200" s="115">
        <v>2</v>
      </c>
      <c r="B200" s="115" t="s">
        <v>305</v>
      </c>
      <c r="C200" s="116"/>
      <c r="D200" s="32"/>
      <c r="E200" s="33"/>
      <c r="F200" s="33"/>
      <c r="G200" s="34"/>
      <c r="H200" s="638"/>
      <c r="Q200" s="52"/>
      <c r="R200" s="44"/>
    </row>
    <row r="201" spans="1:18" s="29" customFormat="1" ht="33" customHeight="1">
      <c r="A201" s="544">
        <v>2.1</v>
      </c>
      <c r="B201" s="863" t="s">
        <v>251</v>
      </c>
      <c r="C201" s="864"/>
      <c r="D201" s="20">
        <f>VLOOKUP(A201,'Point Allocation'!$A$46:$J$55,MATCH(A7,'Point Allocation'!$A$46:$J$46,0),0)</f>
        <v>12</v>
      </c>
      <c r="E201" s="38"/>
      <c r="F201" s="38"/>
      <c r="G201" s="31">
        <f>MIN(IFERROR(F201/E201,0),100%)</f>
        <v>0</v>
      </c>
      <c r="H201" s="20">
        <f>D201*G201</f>
        <v>0</v>
      </c>
      <c r="Q201" s="52"/>
      <c r="R201" s="44"/>
    </row>
    <row r="202" spans="1:18" s="29" customFormat="1" ht="15.6">
      <c r="A202" s="112">
        <v>3</v>
      </c>
      <c r="B202" s="112" t="s">
        <v>309</v>
      </c>
      <c r="C202" s="117"/>
      <c r="D202" s="35"/>
      <c r="E202" s="35"/>
      <c r="F202" s="35"/>
      <c r="G202" s="34"/>
      <c r="H202" s="639"/>
      <c r="Q202" s="52"/>
      <c r="R202" s="44"/>
    </row>
    <row r="203" spans="1:18" s="29" customFormat="1">
      <c r="A203" s="540">
        <v>3.1</v>
      </c>
      <c r="B203" s="837" t="s">
        <v>400</v>
      </c>
      <c r="C203" s="838"/>
      <c r="D203" s="20">
        <f>VLOOKUP(A203,'Point Allocation'!$A$46:$J$55,MATCH(A7,'Point Allocation'!$A$46:$J$46,0),0)</f>
        <v>4</v>
      </c>
      <c r="E203" s="38"/>
      <c r="F203" s="38"/>
      <c r="G203" s="31">
        <f>MIN(IFERROR(F203/E203,0),100%)</f>
        <v>0</v>
      </c>
      <c r="H203" s="20">
        <f>D203*G203</f>
        <v>0</v>
      </c>
      <c r="Q203" s="52"/>
      <c r="R203" s="44"/>
    </row>
    <row r="204" spans="1:18" s="29" customFormat="1">
      <c r="A204" s="540">
        <v>3.2</v>
      </c>
      <c r="B204" s="837" t="s">
        <v>401</v>
      </c>
      <c r="C204" s="838"/>
      <c r="D204" s="20">
        <f>VLOOKUP(A204,'Point Allocation'!$A$46:$J$55,MATCH(A7,'Point Allocation'!$A$46:$J$46,0),0)</f>
        <v>4</v>
      </c>
      <c r="E204" s="165"/>
      <c r="F204" s="38"/>
      <c r="G204" s="31">
        <f>MIN(IFERROR(F204/E204,0),100%)</f>
        <v>0</v>
      </c>
      <c r="H204" s="20">
        <f>D204*G204</f>
        <v>0</v>
      </c>
      <c r="Q204" s="52"/>
      <c r="R204" s="44"/>
    </row>
    <row r="205" spans="1:18" s="29" customFormat="1">
      <c r="A205" s="543">
        <v>3.3</v>
      </c>
      <c r="B205" s="858" t="s">
        <v>161</v>
      </c>
      <c r="C205" s="859"/>
      <c r="D205" s="20">
        <f>VLOOKUP(A205,'Point Allocation'!$A$46:$J$55,MATCH(A7,'Point Allocation'!$A$46:$J$46,0),0)</f>
        <v>4</v>
      </c>
      <c r="E205" s="166"/>
      <c r="F205" s="537"/>
      <c r="G205" s="31">
        <f>MIN(IFERROR(F205/E205,0),100%)</f>
        <v>0</v>
      </c>
      <c r="H205" s="20">
        <f>D205*G205</f>
        <v>0</v>
      </c>
      <c r="Q205" s="52"/>
      <c r="R205" s="44"/>
    </row>
    <row r="206" spans="1:18" s="29" customFormat="1" ht="15.6">
      <c r="A206" s="592"/>
      <c r="B206" s="307"/>
      <c r="C206" s="305"/>
      <c r="D206" s="306" t="s">
        <v>6</v>
      </c>
      <c r="E206" s="283">
        <f>MAX(SUM(E199:E205),F206)</f>
        <v>0</v>
      </c>
      <c r="F206" s="283">
        <f>SUM(F199:F205)</f>
        <v>0</v>
      </c>
      <c r="G206" s="322">
        <f>IFERROR(MIN(F206/E206,100%),0)</f>
        <v>0</v>
      </c>
      <c r="H206" s="593">
        <f>IFERROR(SUM(H199:H205),0)</f>
        <v>0</v>
      </c>
      <c r="Q206" s="52"/>
      <c r="R206" s="44"/>
    </row>
    <row r="207" spans="1:18" s="29" customFormat="1" ht="15.6">
      <c r="A207" s="592"/>
      <c r="B207" s="320"/>
      <c r="C207" s="323"/>
      <c r="D207" s="324"/>
      <c r="E207" s="323"/>
      <c r="F207" s="323"/>
      <c r="G207" s="325"/>
      <c r="H207" s="317"/>
      <c r="Q207" s="52"/>
      <c r="R207" s="44"/>
    </row>
    <row r="208" spans="1:18" s="29" customFormat="1" ht="15.6">
      <c r="A208" s="850" t="s">
        <v>0</v>
      </c>
      <c r="B208" s="851"/>
      <c r="C208" s="860"/>
      <c r="D208" s="862" t="s">
        <v>4</v>
      </c>
      <c r="E208" s="862" t="s">
        <v>1</v>
      </c>
      <c r="F208" s="862"/>
      <c r="G208" s="881" t="s">
        <v>21</v>
      </c>
      <c r="H208" s="881" t="s">
        <v>62</v>
      </c>
      <c r="Q208" s="52"/>
      <c r="R208" s="44"/>
    </row>
    <row r="209" spans="1:18" s="29" customFormat="1" ht="30.75" customHeight="1">
      <c r="A209" s="852"/>
      <c r="B209" s="853"/>
      <c r="C209" s="861"/>
      <c r="D209" s="862"/>
      <c r="E209" s="545" t="s">
        <v>64</v>
      </c>
      <c r="F209" s="545" t="s">
        <v>65</v>
      </c>
      <c r="G209" s="881"/>
      <c r="H209" s="881"/>
      <c r="Q209" s="52"/>
      <c r="R209" s="44"/>
    </row>
    <row r="210" spans="1:18" s="29" customFormat="1" ht="15.6">
      <c r="A210" s="45" t="s">
        <v>253</v>
      </c>
      <c r="B210" s="45" t="s">
        <v>254</v>
      </c>
      <c r="C210" s="56"/>
      <c r="D210" s="56"/>
      <c r="E210" s="56"/>
      <c r="F210" s="57"/>
      <c r="G210" s="104"/>
      <c r="H210" s="624"/>
      <c r="Q210" s="52"/>
      <c r="R210" s="44"/>
    </row>
    <row r="211" spans="1:18" s="29" customFormat="1" ht="15.6">
      <c r="A211" s="118">
        <v>4</v>
      </c>
      <c r="B211" s="118" t="s">
        <v>307</v>
      </c>
      <c r="C211" s="116"/>
      <c r="D211" s="119"/>
      <c r="E211" s="120"/>
      <c r="F211" s="120"/>
      <c r="G211" s="121"/>
      <c r="H211" s="640"/>
      <c r="Q211" s="52"/>
      <c r="R211" s="44"/>
    </row>
    <row r="212" spans="1:18" s="29" customFormat="1">
      <c r="A212" s="541">
        <v>4.0999999999999996</v>
      </c>
      <c r="B212" s="822" t="s">
        <v>155</v>
      </c>
      <c r="C212" s="824"/>
      <c r="D212" s="5" t="s">
        <v>50</v>
      </c>
      <c r="E212" s="20" t="s">
        <v>49</v>
      </c>
      <c r="F212" s="20">
        <f>VLOOKUP(A212,'Point Allocation'!$A$46:$J$55,MATCH(A7,'Point Allocation'!$A$46:$J$46,0),0)</f>
        <v>1.5</v>
      </c>
      <c r="G212" s="553"/>
      <c r="H212" s="20">
        <f>IF(G212&gt;=80%,F212,0)</f>
        <v>0</v>
      </c>
      <c r="Q212" s="52"/>
      <c r="R212" s="44"/>
    </row>
    <row r="213" spans="1:18" s="29" customFormat="1">
      <c r="A213" s="541">
        <v>4.2</v>
      </c>
      <c r="B213" s="822" t="s">
        <v>152</v>
      </c>
      <c r="C213" s="824"/>
      <c r="D213" s="5" t="s">
        <v>50</v>
      </c>
      <c r="E213" s="20" t="s">
        <v>49</v>
      </c>
      <c r="F213" s="20">
        <f>VLOOKUP(A213,'Point Allocation'!$A$46:$J$55,MATCH(A7,'Point Allocation'!$A$46:$J$46,0),0)</f>
        <v>1.5</v>
      </c>
      <c r="G213" s="553"/>
      <c r="H213" s="20">
        <f>IF(G213&gt;=80%,F213,0)</f>
        <v>0</v>
      </c>
      <c r="Q213" s="52"/>
      <c r="R213" s="44"/>
    </row>
    <row r="214" spans="1:18" s="29" customFormat="1">
      <c r="A214" s="541">
        <v>4.3</v>
      </c>
      <c r="B214" s="822" t="s">
        <v>146</v>
      </c>
      <c r="C214" s="824"/>
      <c r="D214" s="5" t="s">
        <v>3</v>
      </c>
      <c r="E214" s="20" t="s">
        <v>49</v>
      </c>
      <c r="F214" s="20">
        <f>VLOOKUP(A214,'Point Allocation'!$A$46:$J$55,MATCH(A7,'Point Allocation'!$A$46:$J$46,0),0)</f>
        <v>1.5</v>
      </c>
      <c r="G214" s="553"/>
      <c r="H214" s="20">
        <f>IF(G214&gt;=80%,F214,0)</f>
        <v>0</v>
      </c>
      <c r="Q214" s="52"/>
      <c r="R214" s="44"/>
    </row>
    <row r="215" spans="1:18" s="29" customFormat="1">
      <c r="A215" s="542">
        <v>4.4000000000000004</v>
      </c>
      <c r="B215" s="848" t="s">
        <v>252</v>
      </c>
      <c r="C215" s="849"/>
      <c r="D215" s="5" t="s">
        <v>3</v>
      </c>
      <c r="E215" s="20" t="s">
        <v>49</v>
      </c>
      <c r="F215" s="20">
        <f>VLOOKUP(A215,'Point Allocation'!$A$46:$J$55,MATCH(A7,'Point Allocation'!$A$46:$J$46,0),0)</f>
        <v>1.5</v>
      </c>
      <c r="G215" s="553"/>
      <c r="H215" s="20">
        <f>IF(G215&gt;=80%,F215,0)</f>
        <v>0</v>
      </c>
      <c r="Q215" s="52"/>
      <c r="R215" s="44"/>
    </row>
    <row r="216" spans="1:18" s="29" customFormat="1" ht="15.6">
      <c r="A216" s="118">
        <v>5</v>
      </c>
      <c r="B216" s="118" t="s">
        <v>202</v>
      </c>
      <c r="C216" s="116"/>
      <c r="D216" s="122"/>
      <c r="E216" s="123"/>
      <c r="F216" s="123"/>
      <c r="G216" s="124"/>
      <c r="H216" s="641"/>
      <c r="Q216" s="52"/>
      <c r="R216" s="44"/>
    </row>
    <row r="217" spans="1:18" s="29" customFormat="1">
      <c r="A217" s="591">
        <v>5.0999999999999996</v>
      </c>
      <c r="B217" s="765"/>
      <c r="C217" s="847"/>
      <c r="D217" s="391"/>
      <c r="E217" s="537"/>
      <c r="F217" s="537"/>
      <c r="G217" s="553"/>
      <c r="H217" s="633">
        <f>IF(G217&gt;=80%,F217,IF(G217&lt;65%,0,E217))</f>
        <v>0</v>
      </c>
      <c r="Q217" s="52"/>
      <c r="R217" s="44"/>
    </row>
    <row r="218" spans="1:18" s="29" customFormat="1">
      <c r="A218" s="591">
        <v>5.2</v>
      </c>
      <c r="B218" s="765"/>
      <c r="C218" s="847"/>
      <c r="D218" s="391"/>
      <c r="E218" s="537"/>
      <c r="F218" s="537"/>
      <c r="G218" s="553"/>
      <c r="H218" s="633">
        <f>IF(G218&gt;=80%,F218,IF(G218&lt;65%,0,E218))</f>
        <v>0</v>
      </c>
      <c r="Q218" s="52"/>
      <c r="R218" s="44"/>
    </row>
    <row r="219" spans="1:18" s="29" customFormat="1">
      <c r="A219" s="591">
        <v>5.3</v>
      </c>
      <c r="B219" s="765"/>
      <c r="C219" s="847"/>
      <c r="D219" s="391"/>
      <c r="E219" s="537"/>
      <c r="F219" s="537"/>
      <c r="G219" s="553"/>
      <c r="H219" s="633">
        <f>IF(G219&gt;=80%,F219,IF(G219&lt;65%,0,E219))</f>
        <v>0</v>
      </c>
      <c r="Q219" s="52"/>
      <c r="R219" s="44"/>
    </row>
    <row r="220" spans="1:18" s="29" customFormat="1" ht="15.6">
      <c r="A220" s="592"/>
      <c r="B220" s="326"/>
      <c r="C220" s="326"/>
      <c r="D220" s="314"/>
      <c r="E220" s="314"/>
      <c r="F220" s="314"/>
      <c r="G220" s="312" t="s">
        <v>7</v>
      </c>
      <c r="H220" s="617">
        <f>IFERROR(SUM(H212:H215,H217:H219),0)</f>
        <v>0</v>
      </c>
      <c r="Q220" s="52"/>
      <c r="R220" s="44"/>
    </row>
    <row r="221" spans="1:18" s="29" customFormat="1">
      <c r="A221" s="592"/>
      <c r="B221" s="307"/>
      <c r="C221" s="305"/>
      <c r="D221" s="305"/>
      <c r="E221" s="305"/>
      <c r="F221" s="305"/>
      <c r="G221" s="314"/>
      <c r="H221" s="571"/>
      <c r="Q221" s="52"/>
      <c r="R221" s="44"/>
    </row>
    <row r="222" spans="1:18" s="29" customFormat="1" ht="15.6">
      <c r="A222" s="850" t="s">
        <v>0</v>
      </c>
      <c r="B222" s="851"/>
      <c r="C222" s="860"/>
      <c r="D222" s="881" t="s">
        <v>4</v>
      </c>
      <c r="E222" s="862" t="s">
        <v>1</v>
      </c>
      <c r="F222" s="862"/>
      <c r="G222" s="881" t="s">
        <v>21</v>
      </c>
      <c r="H222" s="881" t="s">
        <v>62</v>
      </c>
      <c r="Q222" s="52"/>
      <c r="R222" s="44"/>
    </row>
    <row r="223" spans="1:18" s="29" customFormat="1" ht="31.2">
      <c r="A223" s="852"/>
      <c r="B223" s="853"/>
      <c r="C223" s="861"/>
      <c r="D223" s="862"/>
      <c r="E223" s="545" t="s">
        <v>64</v>
      </c>
      <c r="F223" s="545" t="s">
        <v>65</v>
      </c>
      <c r="G223" s="881"/>
      <c r="H223" s="881"/>
      <c r="Q223" s="52"/>
      <c r="R223" s="44"/>
    </row>
    <row r="224" spans="1:18" s="29" customFormat="1" ht="15.6">
      <c r="A224" s="105" t="s">
        <v>255</v>
      </c>
      <c r="B224" s="105" t="s">
        <v>518</v>
      </c>
      <c r="C224" s="125"/>
      <c r="D224" s="126"/>
      <c r="E224" s="126"/>
      <c r="F224" s="127"/>
      <c r="G224" s="128"/>
      <c r="H224" s="127"/>
      <c r="Q224" s="52"/>
      <c r="R224" s="44"/>
    </row>
    <row r="225" spans="1:18" s="29" customFormat="1" ht="15.6">
      <c r="A225" s="625" t="s">
        <v>188</v>
      </c>
      <c r="B225" s="822" t="s">
        <v>256</v>
      </c>
      <c r="C225" s="824"/>
      <c r="D225" s="94" t="s">
        <v>2</v>
      </c>
      <c r="E225" s="94">
        <v>1</v>
      </c>
      <c r="F225" s="94">
        <v>2</v>
      </c>
      <c r="G225" s="65"/>
      <c r="H225" s="94">
        <f>IF(G225&gt;=80%,F225,IF(G225&lt;65%,0,E225))</f>
        <v>0</v>
      </c>
      <c r="J225" s="131"/>
      <c r="Q225" s="52"/>
      <c r="R225" s="44"/>
    </row>
    <row r="226" spans="1:18" s="29" customFormat="1">
      <c r="A226" s="575" t="s">
        <v>189</v>
      </c>
      <c r="B226" s="825" t="s">
        <v>619</v>
      </c>
      <c r="C226" s="827"/>
      <c r="D226" s="94" t="s">
        <v>50</v>
      </c>
      <c r="E226" s="94">
        <v>0.5</v>
      </c>
      <c r="F226" s="94">
        <v>1</v>
      </c>
      <c r="G226" s="65"/>
      <c r="H226" s="94">
        <f>IF(G226&gt;=80%,F226,IF(G226&lt;65%,0,E226))</f>
        <v>0</v>
      </c>
      <c r="Q226" s="52"/>
      <c r="R226" s="44"/>
    </row>
    <row r="227" spans="1:18" s="29" customFormat="1" ht="15.6">
      <c r="A227" s="592"/>
      <c r="B227" s="307"/>
      <c r="C227" s="305"/>
      <c r="D227" s="305"/>
      <c r="E227" s="305"/>
      <c r="F227" s="308"/>
      <c r="G227" s="312" t="s">
        <v>109</v>
      </c>
      <c r="H227" s="129">
        <f>IFERROR(SUM(H225:H226),0)</f>
        <v>0</v>
      </c>
      <c r="Q227" s="52"/>
      <c r="R227" s="44"/>
    </row>
    <row r="228" spans="1:18" s="29" customFormat="1">
      <c r="A228" s="592"/>
      <c r="B228" s="307"/>
      <c r="C228" s="305"/>
      <c r="D228" s="305"/>
      <c r="E228" s="305"/>
      <c r="F228" s="305"/>
      <c r="G228" s="314"/>
      <c r="H228" s="571"/>
      <c r="Q228" s="52"/>
      <c r="R228" s="44"/>
    </row>
    <row r="229" spans="1:18" s="29" customFormat="1" ht="15.6">
      <c r="A229" s="592"/>
      <c r="B229" s="307"/>
      <c r="C229" s="305"/>
      <c r="D229" s="305"/>
      <c r="E229" s="305"/>
      <c r="F229" s="305"/>
      <c r="G229" s="312" t="s">
        <v>110</v>
      </c>
      <c r="H229" s="129">
        <f>IFERROR(MIN(SUM(H206+H220+H227),G194),0)</f>
        <v>0</v>
      </c>
      <c r="Q229" s="52"/>
      <c r="R229" s="44"/>
    </row>
    <row r="230" spans="1:18" s="29" customFormat="1" ht="16.2" thickBot="1">
      <c r="A230" s="594"/>
      <c r="B230" s="361"/>
      <c r="C230" s="362"/>
      <c r="D230" s="362"/>
      <c r="E230" s="362"/>
      <c r="F230" s="362"/>
      <c r="G230" s="364"/>
      <c r="H230" s="606"/>
      <c r="Q230" s="52"/>
      <c r="R230" s="44"/>
    </row>
    <row r="231" spans="1:18" s="29" customFormat="1" ht="15.6">
      <c r="A231" s="642" t="s">
        <v>129</v>
      </c>
      <c r="B231" s="455"/>
      <c r="C231" s="455"/>
      <c r="D231" s="455"/>
      <c r="E231" s="455"/>
      <c r="F231" s="456" t="s">
        <v>42</v>
      </c>
      <c r="G231" s="457">
        <v>20</v>
      </c>
      <c r="H231" s="643" t="s">
        <v>41</v>
      </c>
      <c r="Q231" s="52"/>
      <c r="R231" s="44"/>
    </row>
    <row r="232" spans="1:18" s="29" customFormat="1" ht="15.6">
      <c r="A232" s="592"/>
      <c r="B232" s="329"/>
      <c r="C232" s="305"/>
      <c r="D232" s="305"/>
      <c r="E232" s="305"/>
      <c r="F232" s="305"/>
      <c r="G232" s="314"/>
      <c r="H232" s="571"/>
      <c r="Q232" s="52"/>
      <c r="R232" s="44"/>
    </row>
    <row r="233" spans="1:18" s="29" customFormat="1" ht="33" customHeight="1">
      <c r="A233" s="854" t="s">
        <v>0</v>
      </c>
      <c r="B233" s="855"/>
      <c r="C233" s="132"/>
      <c r="D233" s="132"/>
      <c r="E233" s="133" t="s">
        <v>4</v>
      </c>
      <c r="F233" s="133" t="s">
        <v>69</v>
      </c>
      <c r="G233" s="134" t="s">
        <v>21</v>
      </c>
      <c r="H233" s="644" t="s">
        <v>62</v>
      </c>
      <c r="Q233" s="52"/>
      <c r="R233" s="44"/>
    </row>
    <row r="234" spans="1:18" s="29" customFormat="1" ht="15.6">
      <c r="A234" s="105" t="s">
        <v>257</v>
      </c>
      <c r="B234" s="105" t="s">
        <v>258</v>
      </c>
      <c r="C234" s="106"/>
      <c r="D234" s="106"/>
      <c r="E234" s="106"/>
      <c r="F234" s="57"/>
      <c r="G234" s="135"/>
      <c r="H234" s="645"/>
      <c r="I234" s="130"/>
      <c r="Q234" s="52"/>
      <c r="R234" s="44"/>
    </row>
    <row r="235" spans="1:18" s="29" customFormat="1" ht="15.6">
      <c r="A235" s="591">
        <v>1.1000000000000001</v>
      </c>
      <c r="B235" s="816" t="s">
        <v>122</v>
      </c>
      <c r="C235" s="817"/>
      <c r="D235" s="818"/>
      <c r="E235" s="155"/>
      <c r="F235" s="136"/>
      <c r="G235" s="137"/>
      <c r="H235" s="547">
        <f t="shared" ref="H235:H240" si="5">F235*G235</f>
        <v>0</v>
      </c>
      <c r="Q235" s="52"/>
      <c r="R235" s="44"/>
    </row>
    <row r="236" spans="1:18" s="29" customFormat="1" ht="15.6">
      <c r="A236" s="589">
        <v>1.2</v>
      </c>
      <c r="B236" s="844" t="s">
        <v>123</v>
      </c>
      <c r="C236" s="845"/>
      <c r="D236" s="846"/>
      <c r="E236" s="155"/>
      <c r="F236" s="136"/>
      <c r="G236" s="137"/>
      <c r="H236" s="547">
        <f t="shared" si="5"/>
        <v>0</v>
      </c>
      <c r="Q236" s="52"/>
      <c r="R236" s="44"/>
    </row>
    <row r="237" spans="1:18" s="29" customFormat="1" ht="15.6">
      <c r="A237" s="591">
        <v>1.3</v>
      </c>
      <c r="B237" s="816" t="s">
        <v>114</v>
      </c>
      <c r="C237" s="817"/>
      <c r="D237" s="818"/>
      <c r="E237" s="155"/>
      <c r="F237" s="136"/>
      <c r="G237" s="137"/>
      <c r="H237" s="547">
        <f t="shared" si="5"/>
        <v>0</v>
      </c>
      <c r="Q237" s="52"/>
      <c r="R237" s="44"/>
    </row>
    <row r="238" spans="1:18" s="29" customFormat="1" ht="15.6">
      <c r="A238" s="591">
        <v>1.4</v>
      </c>
      <c r="B238" s="816" t="s">
        <v>282</v>
      </c>
      <c r="C238" s="817"/>
      <c r="D238" s="818"/>
      <c r="E238" s="155"/>
      <c r="F238" s="136"/>
      <c r="G238" s="137"/>
      <c r="H238" s="547">
        <f t="shared" si="5"/>
        <v>0</v>
      </c>
      <c r="Q238" s="52"/>
      <c r="R238" s="44"/>
    </row>
    <row r="239" spans="1:18" s="29" customFormat="1" ht="15.6">
      <c r="A239" s="591">
        <v>1.5</v>
      </c>
      <c r="B239" s="816"/>
      <c r="C239" s="817"/>
      <c r="D239" s="818"/>
      <c r="E239" s="155"/>
      <c r="F239" s="136"/>
      <c r="G239" s="137"/>
      <c r="H239" s="547">
        <f t="shared" si="5"/>
        <v>0</v>
      </c>
      <c r="Q239" s="52"/>
      <c r="R239" s="44"/>
    </row>
    <row r="240" spans="1:18" s="29" customFormat="1" ht="15.6">
      <c r="A240" s="591">
        <v>1.6</v>
      </c>
      <c r="B240" s="816"/>
      <c r="C240" s="817"/>
      <c r="D240" s="818"/>
      <c r="E240" s="155"/>
      <c r="F240" s="136"/>
      <c r="G240" s="137"/>
      <c r="H240" s="547">
        <f t="shared" si="5"/>
        <v>0</v>
      </c>
      <c r="Q240" s="52"/>
      <c r="R240" s="44"/>
    </row>
    <row r="241" spans="1:18" s="29" customFormat="1" ht="15.6">
      <c r="A241" s="105" t="s">
        <v>260</v>
      </c>
      <c r="B241" s="105" t="s">
        <v>259</v>
      </c>
      <c r="C241" s="106"/>
      <c r="D241" s="106"/>
      <c r="E241" s="106"/>
      <c r="F241" s="57"/>
      <c r="G241" s="135"/>
      <c r="H241" s="645"/>
      <c r="Q241" s="52"/>
      <c r="R241" s="44"/>
    </row>
    <row r="242" spans="1:18" s="29" customFormat="1" ht="30.6" customHeight="1">
      <c r="A242" s="620">
        <v>2.1</v>
      </c>
      <c r="B242" s="825" t="s">
        <v>620</v>
      </c>
      <c r="C242" s="842"/>
      <c r="D242" s="843"/>
      <c r="E242" s="148" t="s">
        <v>367</v>
      </c>
      <c r="F242" s="389">
        <v>2</v>
      </c>
      <c r="G242" s="390"/>
      <c r="H242" s="547">
        <f>IFERROR(VLOOKUP(E242,J243:K246,2,FALSE),0)</f>
        <v>0</v>
      </c>
      <c r="J242" s="29" t="s">
        <v>367</v>
      </c>
      <c r="K242" s="29">
        <v>0</v>
      </c>
      <c r="Q242" s="52"/>
      <c r="R242" s="44"/>
    </row>
    <row r="243" spans="1:18" s="29" customFormat="1" ht="15.6">
      <c r="A243" s="592"/>
      <c r="B243" s="304"/>
      <c r="C243" s="305"/>
      <c r="D243" s="305"/>
      <c r="E243" s="305"/>
      <c r="F243" s="305"/>
      <c r="G243" s="312" t="s">
        <v>130</v>
      </c>
      <c r="H243" s="138">
        <f>IFERROR(MIN(SUM(H235:H242),G231),0)</f>
        <v>0</v>
      </c>
      <c r="J243" s="29" t="s">
        <v>363</v>
      </c>
      <c r="K243" s="29">
        <v>2</v>
      </c>
      <c r="Q243" s="44"/>
      <c r="R243" s="44"/>
    </row>
    <row r="244" spans="1:18" s="29" customFormat="1">
      <c r="A244" s="592"/>
      <c r="B244" s="307"/>
      <c r="C244" s="305"/>
      <c r="D244" s="305"/>
      <c r="E244" s="305"/>
      <c r="F244" s="305"/>
      <c r="G244" s="314"/>
      <c r="H244" s="571"/>
      <c r="J244" s="29" t="s">
        <v>364</v>
      </c>
      <c r="K244" s="29">
        <v>2</v>
      </c>
      <c r="Q244" s="44"/>
      <c r="R244" s="44"/>
    </row>
    <row r="245" spans="1:18" s="29" customFormat="1" ht="15.6">
      <c r="A245" s="592"/>
      <c r="B245" s="307"/>
      <c r="C245" s="305"/>
      <c r="D245" s="305"/>
      <c r="E245" s="305"/>
      <c r="F245" s="305"/>
      <c r="G245" s="312" t="s">
        <v>68</v>
      </c>
      <c r="H245" s="617">
        <f>IFERROR(H89+H192+H229+H243,0)</f>
        <v>0</v>
      </c>
      <c r="J245" s="29" t="s">
        <v>365</v>
      </c>
      <c r="K245" s="29">
        <v>2</v>
      </c>
      <c r="Q245" s="44"/>
      <c r="R245" s="44"/>
    </row>
    <row r="246" spans="1:18" s="29" customFormat="1">
      <c r="A246" s="592"/>
      <c r="B246" s="307"/>
      <c r="C246" s="305"/>
      <c r="D246" s="305"/>
      <c r="E246" s="305"/>
      <c r="F246" s="305"/>
      <c r="G246" s="314"/>
      <c r="H246" s="571"/>
      <c r="J246" s="29" t="s">
        <v>366</v>
      </c>
      <c r="K246" s="29">
        <v>2</v>
      </c>
      <c r="Q246" s="52"/>
      <c r="R246" s="44"/>
    </row>
    <row r="247" spans="1:18" s="29" customFormat="1" ht="15.75" customHeight="1">
      <c r="A247" s="592"/>
      <c r="B247" s="327" t="s">
        <v>37</v>
      </c>
      <c r="C247" s="314"/>
      <c r="D247" s="809" t="s">
        <v>372</v>
      </c>
      <c r="E247" s="809"/>
      <c r="F247" s="809"/>
      <c r="G247" s="314"/>
      <c r="H247" s="646"/>
      <c r="Q247" s="52"/>
      <c r="R247" s="44"/>
    </row>
    <row r="248" spans="1:18" s="29" customFormat="1" ht="15.6">
      <c r="A248" s="592"/>
      <c r="B248" s="328"/>
      <c r="C248" s="314"/>
      <c r="D248" s="809"/>
      <c r="E248" s="809"/>
      <c r="F248" s="809"/>
      <c r="G248" s="314"/>
      <c r="H248" s="646"/>
      <c r="Q248" s="52"/>
      <c r="R248" s="44"/>
    </row>
    <row r="249" spans="1:18" s="29" customFormat="1" ht="15.6">
      <c r="A249" s="647" t="s">
        <v>261</v>
      </c>
      <c r="B249" s="328" t="s">
        <v>99</v>
      </c>
      <c r="C249" s="347">
        <f>IFERROR(SUM(G32+G35+G37+G38+G47+G50),0)</f>
        <v>0</v>
      </c>
      <c r="D249" s="314" t="s">
        <v>265</v>
      </c>
      <c r="E249" s="137"/>
      <c r="F249" s="314" t="s">
        <v>266</v>
      </c>
      <c r="G249" s="139">
        <f>MIN(IFERROR(SUM(C249+E249),0),100%)</f>
        <v>0</v>
      </c>
      <c r="H249" s="571"/>
      <c r="L249" s="52"/>
      <c r="M249" s="44"/>
    </row>
    <row r="250" spans="1:18" s="29" customFormat="1" ht="15.6">
      <c r="A250" s="647" t="s">
        <v>262</v>
      </c>
      <c r="B250" s="328" t="s">
        <v>100</v>
      </c>
      <c r="C250" s="347">
        <f>IFERROR(SUM(F19+G96+G98+G100+G103+G106+G107+G108+G109+G110),0)</f>
        <v>0</v>
      </c>
      <c r="D250" s="314" t="s">
        <v>265</v>
      </c>
      <c r="E250" s="137"/>
      <c r="F250" s="314" t="s">
        <v>266</v>
      </c>
      <c r="G250" s="139">
        <f>MIN(IFERROR(SUM(C250+E250),0),100%)</f>
        <v>0</v>
      </c>
      <c r="H250" s="571"/>
      <c r="L250" s="52"/>
      <c r="M250" s="44"/>
    </row>
    <row r="251" spans="1:18" s="29" customFormat="1" ht="15.6">
      <c r="A251" s="647" t="s">
        <v>263</v>
      </c>
      <c r="B251" s="328" t="s">
        <v>101</v>
      </c>
      <c r="C251" s="347">
        <f>IFERROR(G206,0)</f>
        <v>0</v>
      </c>
      <c r="D251" s="314" t="s">
        <v>265</v>
      </c>
      <c r="E251" s="137"/>
      <c r="F251" s="286" t="s">
        <v>266</v>
      </c>
      <c r="G251" s="139">
        <f>MIN(IFERROR(SUM(C251+E251),0),100%)</f>
        <v>0</v>
      </c>
      <c r="H251" s="562"/>
      <c r="I251" s="3"/>
      <c r="J251" s="3"/>
      <c r="K251" s="3"/>
      <c r="L251" s="52"/>
      <c r="M251" s="44"/>
    </row>
    <row r="252" spans="1:18" s="29" customFormat="1">
      <c r="A252" s="622"/>
      <c r="B252" s="320"/>
      <c r="C252" s="323"/>
      <c r="D252" s="323"/>
      <c r="E252" s="323"/>
      <c r="F252" s="323"/>
      <c r="G252" s="648"/>
      <c r="H252" s="649"/>
      <c r="J252" s="3"/>
      <c r="K252" s="3"/>
      <c r="L252" s="3"/>
      <c r="M252" s="3"/>
      <c r="N252" s="3"/>
      <c r="O252" s="3"/>
      <c r="P252" s="3"/>
      <c r="Q252" s="52"/>
      <c r="R252" s="44"/>
    </row>
    <row r="253" spans="1:18" s="29" customFormat="1">
      <c r="A253" s="161"/>
      <c r="B253" s="3"/>
      <c r="C253" s="3"/>
      <c r="D253" s="3"/>
      <c r="E253" s="3"/>
      <c r="F253" s="3"/>
      <c r="G253" s="10"/>
      <c r="H253" s="3"/>
      <c r="J253" s="3"/>
      <c r="K253" s="3"/>
      <c r="L253" s="3"/>
      <c r="M253" s="3"/>
      <c r="N253" s="3"/>
      <c r="O253" s="3"/>
      <c r="P253" s="3"/>
      <c r="Q253" s="52"/>
      <c r="R253" s="44"/>
    </row>
    <row r="254" spans="1:18" s="29" customFormat="1">
      <c r="A254" s="161"/>
      <c r="B254" s="3"/>
      <c r="C254" s="3"/>
      <c r="D254" s="3"/>
      <c r="E254" s="3"/>
      <c r="F254" s="3"/>
      <c r="G254" s="10"/>
      <c r="H254" s="3"/>
      <c r="J254" s="3"/>
      <c r="K254" s="3"/>
      <c r="L254" s="3"/>
      <c r="M254" s="3"/>
      <c r="N254" s="3"/>
      <c r="O254" s="3"/>
      <c r="P254" s="3"/>
      <c r="Q254" s="52"/>
      <c r="R254" s="44"/>
    </row>
    <row r="255" spans="1:18" s="29" customFormat="1">
      <c r="A255" s="161"/>
      <c r="B255" s="3"/>
      <c r="C255" s="3"/>
      <c r="D255" s="3"/>
      <c r="E255" s="3"/>
      <c r="F255" s="3"/>
      <c r="G255" s="10"/>
      <c r="H255" s="3"/>
      <c r="J255" s="3"/>
      <c r="K255" s="3"/>
      <c r="L255" s="3"/>
      <c r="M255" s="3"/>
      <c r="N255" s="3"/>
      <c r="O255" s="3"/>
      <c r="P255" s="3"/>
      <c r="Q255" s="52"/>
      <c r="R255" s="44"/>
    </row>
    <row r="256" spans="1:18" s="29" customFormat="1">
      <c r="A256" s="161"/>
      <c r="B256" s="3"/>
      <c r="C256" s="3"/>
      <c r="D256" s="3"/>
      <c r="E256" s="3"/>
      <c r="F256" s="3"/>
      <c r="G256" s="10"/>
      <c r="H256" s="3"/>
      <c r="J256" s="3"/>
      <c r="K256" s="3"/>
      <c r="L256" s="3"/>
      <c r="M256" s="3"/>
      <c r="N256" s="3"/>
      <c r="O256" s="3"/>
      <c r="P256" s="3"/>
      <c r="Q256" s="44"/>
      <c r="R256" s="44"/>
    </row>
    <row r="257" spans="1:18" s="29" customFormat="1">
      <c r="A257" s="161"/>
      <c r="B257" s="3"/>
      <c r="C257" s="3"/>
      <c r="D257" s="3"/>
      <c r="E257" s="3"/>
      <c r="F257" s="3"/>
      <c r="G257" s="10"/>
      <c r="H257" s="3"/>
      <c r="J257" s="3"/>
      <c r="K257" s="3"/>
      <c r="L257" s="3"/>
      <c r="M257" s="3"/>
      <c r="N257" s="3"/>
      <c r="O257" s="3"/>
      <c r="P257" s="3"/>
      <c r="Q257" s="44"/>
      <c r="R257" s="44"/>
    </row>
    <row r="258" spans="1:18" s="29" customFormat="1">
      <c r="A258" s="161"/>
      <c r="B258" s="3"/>
      <c r="C258" s="3"/>
      <c r="D258" s="3"/>
      <c r="E258" s="3"/>
      <c r="F258" s="3"/>
      <c r="G258" s="10"/>
      <c r="H258" s="3"/>
      <c r="J258" s="3"/>
      <c r="K258" s="3"/>
      <c r="L258" s="3"/>
      <c r="M258" s="3"/>
      <c r="N258" s="3"/>
      <c r="O258" s="3"/>
      <c r="P258" s="3"/>
      <c r="Q258" s="44"/>
      <c r="R258" s="44"/>
    </row>
    <row r="259" spans="1:18" s="29" customFormat="1">
      <c r="A259" s="161"/>
      <c r="B259" s="3"/>
      <c r="C259" s="3"/>
      <c r="D259" s="3"/>
      <c r="E259" s="3"/>
      <c r="F259" s="3"/>
      <c r="G259" s="10"/>
      <c r="H259" s="3"/>
      <c r="J259" s="3"/>
      <c r="K259" s="3"/>
      <c r="L259" s="3"/>
      <c r="M259" s="3"/>
      <c r="N259" s="3"/>
      <c r="O259" s="3"/>
      <c r="P259" s="3"/>
      <c r="Q259" s="44"/>
      <c r="R259" s="44"/>
    </row>
  </sheetData>
  <sheetProtection algorithmName="SHA-512" hashValue="7nYlFaW2dMUoYEc+jz781biX0kiH+yi6gHUHVYatvxeW1xI270VNrSyHAYJVaoWEQNqkB+C86RRYRR6AHY1p6Q==" saltValue="E6CiiiWH2Luh591L5ZALTg==" spinCount="100000" sheet="1" selectLockedCells="1"/>
  <mergeCells count="236">
    <mergeCell ref="B23:C23"/>
    <mergeCell ref="B24:C24"/>
    <mergeCell ref="B25:C25"/>
    <mergeCell ref="B96:D96"/>
    <mergeCell ref="B99:D99"/>
    <mergeCell ref="A98:A99"/>
    <mergeCell ref="B98:D98"/>
    <mergeCell ref="E98:E99"/>
    <mergeCell ref="F98:F99"/>
    <mergeCell ref="B32:D32"/>
    <mergeCell ref="B42:D42"/>
    <mergeCell ref="B41:D41"/>
    <mergeCell ref="A32:A33"/>
    <mergeCell ref="E32:E33"/>
    <mergeCell ref="F32:F33"/>
    <mergeCell ref="B40:D40"/>
    <mergeCell ref="E40:E45"/>
    <mergeCell ref="B82:C82"/>
    <mergeCell ref="B84:C84"/>
    <mergeCell ref="B85:C85"/>
    <mergeCell ref="B86:C86"/>
    <mergeCell ref="E74:F74"/>
    <mergeCell ref="B69:C69"/>
    <mergeCell ref="B67:C67"/>
    <mergeCell ref="A4:B4"/>
    <mergeCell ref="A7:B7"/>
    <mergeCell ref="D7:G7"/>
    <mergeCell ref="B20:C20"/>
    <mergeCell ref="B21:C21"/>
    <mergeCell ref="B22:C22"/>
    <mergeCell ref="D11:D12"/>
    <mergeCell ref="E11:E12"/>
    <mergeCell ref="F11:F12"/>
    <mergeCell ref="B14:C14"/>
    <mergeCell ref="B15:C15"/>
    <mergeCell ref="A11:B12"/>
    <mergeCell ref="B17:C17"/>
    <mergeCell ref="B19:C19"/>
    <mergeCell ref="B16:C16"/>
    <mergeCell ref="G32:G33"/>
    <mergeCell ref="H32:H33"/>
    <mergeCell ref="B33:D33"/>
    <mergeCell ref="B35:D35"/>
    <mergeCell ref="A38:A39"/>
    <mergeCell ref="B38:D39"/>
    <mergeCell ref="E38:E39"/>
    <mergeCell ref="H38:H39"/>
    <mergeCell ref="B37:D37"/>
    <mergeCell ref="B66:C66"/>
    <mergeCell ref="B68:C68"/>
    <mergeCell ref="G98:G99"/>
    <mergeCell ref="H98:H99"/>
    <mergeCell ref="B76:C76"/>
    <mergeCell ref="B78:C78"/>
    <mergeCell ref="B117:D117"/>
    <mergeCell ref="B64:C64"/>
    <mergeCell ref="B74:C74"/>
    <mergeCell ref="B65:C65"/>
    <mergeCell ref="B70:C70"/>
    <mergeCell ref="B71:C71"/>
    <mergeCell ref="B73:C73"/>
    <mergeCell ref="B77:C77"/>
    <mergeCell ref="B79:C79"/>
    <mergeCell ref="B81:C81"/>
    <mergeCell ref="D69:D72"/>
    <mergeCell ref="B72:C72"/>
    <mergeCell ref="B106:D106"/>
    <mergeCell ref="B107:D107"/>
    <mergeCell ref="B115:D115"/>
    <mergeCell ref="B108:D108"/>
    <mergeCell ref="B110:D110"/>
    <mergeCell ref="B114:D114"/>
    <mergeCell ref="D147:D148"/>
    <mergeCell ref="E147:E148"/>
    <mergeCell ref="F147:G147"/>
    <mergeCell ref="F148:G148"/>
    <mergeCell ref="A151:B152"/>
    <mergeCell ref="C151:C152"/>
    <mergeCell ref="D151:D152"/>
    <mergeCell ref="B159:C159"/>
    <mergeCell ref="B172:C172"/>
    <mergeCell ref="B169:C169"/>
    <mergeCell ref="E151:F151"/>
    <mergeCell ref="H162:H165"/>
    <mergeCell ref="E163:F163"/>
    <mergeCell ref="A100:A101"/>
    <mergeCell ref="E164:F164"/>
    <mergeCell ref="E165:F165"/>
    <mergeCell ref="B166:C167"/>
    <mergeCell ref="B170:C170"/>
    <mergeCell ref="A174:A175"/>
    <mergeCell ref="B174:C174"/>
    <mergeCell ref="D174:D175"/>
    <mergeCell ref="E174:E175"/>
    <mergeCell ref="F174:F175"/>
    <mergeCell ref="A166:A167"/>
    <mergeCell ref="A162:A165"/>
    <mergeCell ref="B162:C165"/>
    <mergeCell ref="E162:F162"/>
    <mergeCell ref="B171:C171"/>
    <mergeCell ref="G162:G165"/>
    <mergeCell ref="G174:G175"/>
    <mergeCell ref="H174:H175"/>
    <mergeCell ref="B175:C175"/>
    <mergeCell ref="B129:C129"/>
    <mergeCell ref="B134:C134"/>
    <mergeCell ref="B135:C135"/>
    <mergeCell ref="H40:H45"/>
    <mergeCell ref="B43:D43"/>
    <mergeCell ref="B48:D48"/>
    <mergeCell ref="B49:D49"/>
    <mergeCell ref="B56:D56"/>
    <mergeCell ref="B57:D57"/>
    <mergeCell ref="B58:D58"/>
    <mergeCell ref="A61:B62"/>
    <mergeCell ref="D61:D62"/>
    <mergeCell ref="E61:F61"/>
    <mergeCell ref="G61:G62"/>
    <mergeCell ref="H61:H62"/>
    <mergeCell ref="B54:D54"/>
    <mergeCell ref="B44:D44"/>
    <mergeCell ref="B45:D45"/>
    <mergeCell ref="B53:D53"/>
    <mergeCell ref="B47:D47"/>
    <mergeCell ref="B50:D50"/>
    <mergeCell ref="B100:D100"/>
    <mergeCell ref="E100:E101"/>
    <mergeCell ref="B101:D101"/>
    <mergeCell ref="A103:A104"/>
    <mergeCell ref="E103:E104"/>
    <mergeCell ref="F103:F104"/>
    <mergeCell ref="G103:G104"/>
    <mergeCell ref="H103:H104"/>
    <mergeCell ref="F100:F101"/>
    <mergeCell ref="G100:G101"/>
    <mergeCell ref="H100:H101"/>
    <mergeCell ref="B103:D103"/>
    <mergeCell ref="B104:D104"/>
    <mergeCell ref="B113:D113"/>
    <mergeCell ref="B109:D109"/>
    <mergeCell ref="Q106:Q107"/>
    <mergeCell ref="B118:D118"/>
    <mergeCell ref="B119:D119"/>
    <mergeCell ref="B125:C125"/>
    <mergeCell ref="A127:A128"/>
    <mergeCell ref="D127:D128"/>
    <mergeCell ref="E127:E128"/>
    <mergeCell ref="F127:F128"/>
    <mergeCell ref="G127:G128"/>
    <mergeCell ref="H127:H128"/>
    <mergeCell ref="B128:C128"/>
    <mergeCell ref="B127:C127"/>
    <mergeCell ref="H131:H132"/>
    <mergeCell ref="B132:C132"/>
    <mergeCell ref="B138:C138"/>
    <mergeCell ref="B139:C139"/>
    <mergeCell ref="B140:C140"/>
    <mergeCell ref="B141:C141"/>
    <mergeCell ref="B142:C142"/>
    <mergeCell ref="A145:B145"/>
    <mergeCell ref="F145:G145"/>
    <mergeCell ref="A131:A132"/>
    <mergeCell ref="B131:C131"/>
    <mergeCell ref="D131:D132"/>
    <mergeCell ref="E131:E132"/>
    <mergeCell ref="F131:F132"/>
    <mergeCell ref="G131:G132"/>
    <mergeCell ref="H151:H152"/>
    <mergeCell ref="B155:C155"/>
    <mergeCell ref="B156:C156"/>
    <mergeCell ref="B157:C157"/>
    <mergeCell ref="B158:C158"/>
    <mergeCell ref="A160:A161"/>
    <mergeCell ref="B160:C161"/>
    <mergeCell ref="E160:F160"/>
    <mergeCell ref="G160:G161"/>
    <mergeCell ref="H160:H161"/>
    <mergeCell ref="E161:F161"/>
    <mergeCell ref="G151:G152"/>
    <mergeCell ref="G184:G185"/>
    <mergeCell ref="H184:H185"/>
    <mergeCell ref="B187:C187"/>
    <mergeCell ref="B188:C188"/>
    <mergeCell ref="B189:C189"/>
    <mergeCell ref="E189:F189"/>
    <mergeCell ref="H176:H177"/>
    <mergeCell ref="B177:C177"/>
    <mergeCell ref="A196:B196"/>
    <mergeCell ref="B179:C179"/>
    <mergeCell ref="B180:C180"/>
    <mergeCell ref="E176:E177"/>
    <mergeCell ref="F176:F177"/>
    <mergeCell ref="G176:G177"/>
    <mergeCell ref="B181:C181"/>
    <mergeCell ref="A184:B185"/>
    <mergeCell ref="C184:C185"/>
    <mergeCell ref="D184:D185"/>
    <mergeCell ref="E184:F184"/>
    <mergeCell ref="A176:A177"/>
    <mergeCell ref="B176:C176"/>
    <mergeCell ref="D176:D177"/>
    <mergeCell ref="B199:C199"/>
    <mergeCell ref="B201:C201"/>
    <mergeCell ref="A208:B209"/>
    <mergeCell ref="C208:C209"/>
    <mergeCell ref="D208:D209"/>
    <mergeCell ref="E208:F208"/>
    <mergeCell ref="G208:G209"/>
    <mergeCell ref="H208:H209"/>
    <mergeCell ref="B212:C212"/>
    <mergeCell ref="B205:C205"/>
    <mergeCell ref="B204:C204"/>
    <mergeCell ref="B203:C203"/>
    <mergeCell ref="B213:C213"/>
    <mergeCell ref="B214:C214"/>
    <mergeCell ref="B215:C215"/>
    <mergeCell ref="B218:C218"/>
    <mergeCell ref="B219:C219"/>
    <mergeCell ref="A222:B223"/>
    <mergeCell ref="C222:C223"/>
    <mergeCell ref="D222:D223"/>
    <mergeCell ref="E222:F222"/>
    <mergeCell ref="B217:C217"/>
    <mergeCell ref="B239:D239"/>
    <mergeCell ref="B240:D240"/>
    <mergeCell ref="B242:D242"/>
    <mergeCell ref="D247:F248"/>
    <mergeCell ref="G222:G223"/>
    <mergeCell ref="H222:H223"/>
    <mergeCell ref="B225:C225"/>
    <mergeCell ref="B226:C226"/>
    <mergeCell ref="A233:B233"/>
    <mergeCell ref="B235:D235"/>
    <mergeCell ref="B236:D236"/>
    <mergeCell ref="B237:D237"/>
    <mergeCell ref="B238:D238"/>
  </mergeCells>
  <dataValidations count="3">
    <dataValidation type="list" allowBlank="1" showInputMessage="1" showErrorMessage="1" sqref="A7" xr:uid="{05498E9E-39FD-4959-B848-8EFF405241D3}">
      <formula1>$J$1:$J$7</formula1>
    </dataValidation>
    <dataValidation type="list" allowBlank="1" showInputMessage="1" showErrorMessage="1" sqref="E242" xr:uid="{6F750520-3F6C-4927-A486-35E7344241C6}">
      <formula1>$J$242:$J$246</formula1>
    </dataValidation>
    <dataValidation type="list" allowBlank="1" showInputMessage="1" showErrorMessage="1" sqref="F148:G148" xr:uid="{7BA8A4EB-CE3A-4A56-B43C-C3A5307BAFCC}">
      <formula1>$K$145:$P$145</formula1>
    </dataValidation>
  </dataValidations>
  <pageMargins left="0.25" right="0.25" top="0.75" bottom="0.75" header="0.3" footer="0.3"/>
  <pageSetup paperSize="9" scale="55" fitToHeight="4" orientation="portrait" r:id="rId1"/>
  <headerFooter>
    <oddFooter>&amp;F</oddFooter>
  </headerFooter>
  <rowBreaks count="3" manualBreakCount="3">
    <brk id="60" max="7" man="1"/>
    <brk id="121" max="7" man="1"/>
    <brk id="18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19</vt:i4>
      </vt:variant>
    </vt:vector>
  </HeadingPairs>
  <TitlesOfParts>
    <vt:vector size="39" baseType="lpstr">
      <vt:lpstr>Manpower allocation</vt:lpstr>
      <vt:lpstr>Point Allocation</vt:lpstr>
      <vt:lpstr>Min B-Score</vt:lpstr>
      <vt:lpstr>Explanatory Notes</vt:lpstr>
      <vt:lpstr>Summary</vt:lpstr>
      <vt:lpstr>Block 1</vt:lpstr>
      <vt:lpstr>Block 2</vt:lpstr>
      <vt:lpstr>Block 3</vt:lpstr>
      <vt:lpstr>Block 4</vt:lpstr>
      <vt:lpstr>Block 5</vt:lpstr>
      <vt:lpstr>Block 6</vt:lpstr>
      <vt:lpstr>Block 7</vt:lpstr>
      <vt:lpstr>Block 8</vt:lpstr>
      <vt:lpstr>Block 9</vt:lpstr>
      <vt:lpstr>Block 10</vt:lpstr>
      <vt:lpstr>Basement Block 1</vt:lpstr>
      <vt:lpstr>Basement Block 2</vt:lpstr>
      <vt:lpstr>Basement Block 3</vt:lpstr>
      <vt:lpstr>Basement Block 4</vt:lpstr>
      <vt:lpstr>Basement Block 5</vt:lpstr>
      <vt:lpstr>'Basement Block 1'!Print_Area</vt:lpstr>
      <vt:lpstr>'Basement Block 2'!Print_Area</vt:lpstr>
      <vt:lpstr>'Basement Block 3'!Print_Area</vt:lpstr>
      <vt:lpstr>'Basement Block 4'!Print_Area</vt:lpstr>
      <vt:lpstr>'Basement Block 5'!Print_Area</vt:lpstr>
      <vt:lpstr>'Block 1'!Print_Area</vt:lpstr>
      <vt:lpstr>'Block 10'!Print_Area</vt:lpstr>
      <vt:lpstr>'Block 2'!Print_Area</vt:lpstr>
      <vt:lpstr>'Block 3'!Print_Area</vt:lpstr>
      <vt:lpstr>'Block 4'!Print_Area</vt:lpstr>
      <vt:lpstr>'Block 5'!Print_Area</vt:lpstr>
      <vt:lpstr>'Block 6'!Print_Area</vt:lpstr>
      <vt:lpstr>'Block 7'!Print_Area</vt:lpstr>
      <vt:lpstr>'Block 8'!Print_Area</vt:lpstr>
      <vt:lpstr>'Block 9'!Print_Area</vt:lpstr>
      <vt:lpstr>'Explanatory Notes'!Print_Area</vt:lpstr>
      <vt:lpstr>'Min B-Score'!Print_Area</vt:lpstr>
      <vt:lpstr>Summary!Print_Area</vt:lpstr>
      <vt:lpstr>'Block 1'!Print_Titles</vt:lpstr>
    </vt:vector>
  </TitlesOfParts>
  <Company>WOG 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WONG_Jia_Min@bca.gov.sg</dc:creator>
  <cp:lastModifiedBy>Jia Min WONG (BCA)</cp:lastModifiedBy>
  <cp:lastPrinted>2022-05-10T08:25:14Z</cp:lastPrinted>
  <dcterms:created xsi:type="dcterms:W3CDTF">2018-03-10T08:58:57Z</dcterms:created>
  <dcterms:modified xsi:type="dcterms:W3CDTF">2023-04-05T15:07:45Z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b51e0fc-1c37-41ff-9297-afacea94f5a0_Extended_MSFT_Method">
    <vt:lpwstr>Manual</vt:lpwstr>
  </property>
  <property fmtid="{D5CDD505-2E9C-101B-9397-08002B2CF9AE}" pid="3" name="MSIP_Label_cb51e0fc-1c37-41ff-9297-afacea94f5a0_ActionId">
    <vt:lpwstr>67f273ec-b7e2-4c84-a71e-010aeea1c810</vt:lpwstr>
  </property>
  <property fmtid="{D5CDD505-2E9C-101B-9397-08002B2CF9AE}" pid="4" name="MSIP_Label_cb51e0fc-1c37-41ff-9297-afacea94f5a0_Application">
    <vt:lpwstr>Microsoft Azure Information Protection</vt:lpwstr>
  </property>
  <property fmtid="{D5CDD505-2E9C-101B-9397-08002B2CF9AE}" pid="5" name="MSIP_Label_cb51e0fc-1c37-41ff-9297-afacea94f5a0_Name">
    <vt:lpwstr>RESTRICTED</vt:lpwstr>
  </property>
  <property fmtid="{D5CDD505-2E9C-101B-9397-08002B2CF9AE}" pid="6" name="MSIP_Label_cb51e0fc-1c37-41ff-9297-afacea94f5a0_SetDate">
    <vt:lpwstr>2021-01-14T06:12:10.5632093Z</vt:lpwstr>
  </property>
  <property fmtid="{D5CDD505-2E9C-101B-9397-08002B2CF9AE}" pid="7" name="MSIP_Label_cb51e0fc-1c37-41ff-9297-afacea94f5a0_Owner">
    <vt:lpwstr>TEE_Liang_Song@bca.gov.sg</vt:lpwstr>
  </property>
  <property fmtid="{D5CDD505-2E9C-101B-9397-08002B2CF9AE}" pid="8" name="MSIP_Label_cb51e0fc-1c37-41ff-9297-afacea94f5a0_SiteId">
    <vt:lpwstr>0b11c524-9a1c-4e1b-84cb-6336aefc2243</vt:lpwstr>
  </property>
  <property fmtid="{D5CDD505-2E9C-101B-9397-08002B2CF9AE}" pid="9" name="MSIP_Label_cb51e0fc-1c37-41ff-9297-afacea94f5a0_Enabled">
    <vt:lpwstr>True</vt:lpwstr>
  </property>
  <property fmtid="{D5CDD505-2E9C-101B-9397-08002B2CF9AE}" pid="10" name="MSIP_Label_54803508-8490-4252-b331-d9b72689e942_Enabled">
    <vt:lpwstr>true</vt:lpwstr>
  </property>
  <property fmtid="{D5CDD505-2E9C-101B-9397-08002B2CF9AE}" pid="11" name="MSIP_Label_54803508-8490-4252-b331-d9b72689e942_SetDate">
    <vt:lpwstr>2021-12-28T05:25:28Z</vt:lpwstr>
  </property>
  <property fmtid="{D5CDD505-2E9C-101B-9397-08002B2CF9AE}" pid="12" name="MSIP_Label_54803508-8490-4252-b331-d9b72689e942_Method">
    <vt:lpwstr>Privileged</vt:lpwstr>
  </property>
  <property fmtid="{D5CDD505-2E9C-101B-9397-08002B2CF9AE}" pid="13" name="MSIP_Label_54803508-8490-4252-b331-d9b72689e942_Name">
    <vt:lpwstr>Non Sensitive_0</vt:lpwstr>
  </property>
  <property fmtid="{D5CDD505-2E9C-101B-9397-08002B2CF9AE}" pid="14" name="MSIP_Label_54803508-8490-4252-b331-d9b72689e942_SiteId">
    <vt:lpwstr>0b11c524-9a1c-4e1b-84cb-6336aefc2243</vt:lpwstr>
  </property>
  <property fmtid="{D5CDD505-2E9C-101B-9397-08002B2CF9AE}" pid="15" name="MSIP_Label_54803508-8490-4252-b331-d9b72689e942_ActionId">
    <vt:lpwstr>67f273ec-b7e2-4c84-a71e-010aeea1c810</vt:lpwstr>
  </property>
  <property fmtid="{D5CDD505-2E9C-101B-9397-08002B2CF9AE}" pid="16" name="MSIP_Label_54803508-8490-4252-b331-d9b72689e942_ContentBits">
    <vt:lpwstr>0</vt:lpwstr>
  </property>
</Properties>
</file>